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6840" yWindow="3300" windowWidth="31020" windowHeight="23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" i="1" l="1"/>
  <c r="P28" i="1"/>
  <c r="U28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T114" i="1"/>
  <c r="P114" i="1"/>
  <c r="O114" i="1"/>
  <c r="Q114" i="1"/>
  <c r="R114" i="1"/>
  <c r="S114" i="1"/>
  <c r="U114" i="1"/>
  <c r="V116" i="1"/>
  <c r="V115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T145" i="1"/>
  <c r="P145" i="1"/>
  <c r="U145" i="1"/>
  <c r="V146" i="1"/>
  <c r="V147" i="1"/>
  <c r="O145" i="1"/>
  <c r="Q145" i="1"/>
  <c r="R145" i="1"/>
  <c r="S145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V178" i="1"/>
  <c r="V177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T176" i="1"/>
  <c r="P176" i="1"/>
  <c r="O176" i="1"/>
  <c r="Q176" i="1"/>
  <c r="R176" i="1"/>
  <c r="S176" i="1"/>
  <c r="U176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I88" i="1"/>
  <c r="H88" i="1"/>
  <c r="I87" i="1"/>
  <c r="H87" i="1"/>
  <c r="I86" i="1"/>
  <c r="H86" i="1"/>
  <c r="I85" i="1"/>
  <c r="H85" i="1"/>
  <c r="I84" i="1"/>
  <c r="H84" i="1"/>
  <c r="I83" i="1"/>
  <c r="H83" i="1"/>
  <c r="P83" i="1"/>
  <c r="T83" i="1"/>
  <c r="U83" i="1"/>
  <c r="P84" i="1"/>
  <c r="T84" i="1"/>
  <c r="U84" i="1"/>
  <c r="P85" i="1"/>
  <c r="T85" i="1"/>
  <c r="U85" i="1"/>
  <c r="P86" i="1"/>
  <c r="T86" i="1"/>
  <c r="U86" i="1"/>
  <c r="P87" i="1"/>
  <c r="T87" i="1"/>
  <c r="U87" i="1"/>
  <c r="P88" i="1"/>
  <c r="T88" i="1"/>
  <c r="U88" i="1"/>
  <c r="V85" i="1"/>
  <c r="V84" i="1"/>
  <c r="O84" i="1"/>
  <c r="Q84" i="1"/>
  <c r="R84" i="1"/>
  <c r="S84" i="1"/>
  <c r="O85" i="1"/>
  <c r="Q85" i="1"/>
  <c r="R85" i="1"/>
  <c r="S85" i="1"/>
  <c r="O86" i="1"/>
  <c r="Q86" i="1"/>
  <c r="R86" i="1"/>
  <c r="S86" i="1"/>
  <c r="O87" i="1"/>
  <c r="Q87" i="1"/>
  <c r="R87" i="1"/>
  <c r="S87" i="1"/>
  <c r="O88" i="1"/>
  <c r="Q88" i="1"/>
  <c r="R88" i="1"/>
  <c r="S88" i="1"/>
  <c r="I57" i="1"/>
  <c r="H57" i="1"/>
  <c r="I56" i="1"/>
  <c r="H56" i="1"/>
  <c r="I55" i="1"/>
  <c r="H55" i="1"/>
  <c r="I54" i="1"/>
  <c r="H54" i="1"/>
  <c r="I53" i="1"/>
  <c r="H53" i="1"/>
  <c r="I52" i="1"/>
  <c r="H52" i="1"/>
  <c r="P57" i="1"/>
  <c r="T57" i="1"/>
  <c r="H7" i="1"/>
  <c r="R7" i="1"/>
  <c r="R15" i="1"/>
  <c r="P52" i="1"/>
  <c r="H15" i="1"/>
  <c r="I15" i="1"/>
  <c r="O83" i="1"/>
  <c r="Q83" i="1"/>
  <c r="R83" i="1"/>
  <c r="S83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T52" i="1"/>
  <c r="U52" i="1"/>
  <c r="P53" i="1"/>
  <c r="T53" i="1"/>
  <c r="U53" i="1"/>
  <c r="P54" i="1"/>
  <c r="T54" i="1"/>
  <c r="U54" i="1"/>
  <c r="P55" i="1"/>
  <c r="T55" i="1"/>
  <c r="U55" i="1"/>
  <c r="P56" i="1"/>
  <c r="T56" i="1"/>
  <c r="U56" i="1"/>
  <c r="U57" i="1"/>
  <c r="V53" i="1"/>
  <c r="V54" i="1"/>
  <c r="O53" i="1"/>
  <c r="Q53" i="1"/>
  <c r="R53" i="1"/>
  <c r="S53" i="1"/>
  <c r="O54" i="1"/>
  <c r="Q54" i="1"/>
  <c r="R54" i="1"/>
  <c r="S54" i="1"/>
  <c r="O55" i="1"/>
  <c r="Q55" i="1"/>
  <c r="R55" i="1"/>
  <c r="S55" i="1"/>
  <c r="O56" i="1"/>
  <c r="Q56" i="1"/>
  <c r="R56" i="1"/>
  <c r="S56" i="1"/>
  <c r="O57" i="1"/>
  <c r="Q57" i="1"/>
  <c r="R57" i="1"/>
  <c r="S57" i="1"/>
  <c r="Q52" i="1"/>
  <c r="R52" i="1"/>
  <c r="S52" i="1"/>
  <c r="O52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I261" i="1"/>
  <c r="H261" i="1"/>
  <c r="I260" i="1"/>
  <c r="H260" i="1"/>
  <c r="H259" i="1"/>
  <c r="K259" i="1"/>
  <c r="I259" i="1"/>
  <c r="L259" i="1"/>
  <c r="M259" i="1"/>
  <c r="K260" i="1"/>
  <c r="L260" i="1"/>
  <c r="M260" i="1"/>
  <c r="K261" i="1"/>
  <c r="L261" i="1"/>
  <c r="M261" i="1"/>
  <c r="I236" i="1"/>
  <c r="H236" i="1"/>
  <c r="I235" i="1"/>
  <c r="H235" i="1"/>
  <c r="I234" i="1"/>
  <c r="H234" i="1"/>
  <c r="I223" i="1"/>
  <c r="H223" i="1"/>
  <c r="I255" i="1"/>
  <c r="H255" i="1"/>
  <c r="I254" i="1"/>
  <c r="H254" i="1"/>
  <c r="O259" i="1"/>
  <c r="H6" i="1"/>
  <c r="R6" i="1"/>
  <c r="R14" i="1"/>
  <c r="P259" i="1"/>
  <c r="Q259" i="1"/>
  <c r="R259" i="1"/>
  <c r="S259" i="1"/>
  <c r="H14" i="1"/>
  <c r="I14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53" i="1"/>
  <c r="H5" i="1"/>
  <c r="R5" i="1"/>
  <c r="R13" i="1"/>
  <c r="P253" i="1"/>
  <c r="Q253" i="1"/>
  <c r="H253" i="1"/>
  <c r="I253" i="1"/>
  <c r="R253" i="1"/>
  <c r="S253" i="1"/>
  <c r="H13" i="1"/>
  <c r="I1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K253" i="1"/>
  <c r="L253" i="1"/>
  <c r="M253" i="1"/>
  <c r="K254" i="1"/>
  <c r="L254" i="1"/>
  <c r="M254" i="1"/>
  <c r="K255" i="1"/>
  <c r="L255" i="1"/>
  <c r="M255" i="1"/>
  <c r="P225" i="1"/>
  <c r="T225" i="1"/>
  <c r="H225" i="1"/>
  <c r="I225" i="1"/>
  <c r="U225" i="1"/>
  <c r="P226" i="1"/>
  <c r="T226" i="1"/>
  <c r="H226" i="1"/>
  <c r="I226" i="1"/>
  <c r="U226" i="1"/>
  <c r="P227" i="1"/>
  <c r="T227" i="1"/>
  <c r="H227" i="1"/>
  <c r="I227" i="1"/>
  <c r="U227" i="1"/>
  <c r="P228" i="1"/>
  <c r="T228" i="1"/>
  <c r="H228" i="1"/>
  <c r="I228" i="1"/>
  <c r="U228" i="1"/>
  <c r="P229" i="1"/>
  <c r="T229" i="1"/>
  <c r="H229" i="1"/>
  <c r="I229" i="1"/>
  <c r="U229" i="1"/>
  <c r="P230" i="1"/>
  <c r="T230" i="1"/>
  <c r="H230" i="1"/>
  <c r="I230" i="1"/>
  <c r="U230" i="1"/>
  <c r="V226" i="1"/>
  <c r="I224" i="1"/>
  <c r="H224" i="1"/>
  <c r="I222" i="1"/>
  <c r="H222" i="1"/>
  <c r="H4" i="1"/>
  <c r="R4" i="1"/>
  <c r="R12" i="1"/>
  <c r="P244" i="1"/>
  <c r="H12" i="1"/>
  <c r="I12" i="1"/>
  <c r="T244" i="1"/>
  <c r="H244" i="1"/>
  <c r="I244" i="1"/>
  <c r="U244" i="1"/>
  <c r="P245" i="1"/>
  <c r="T245" i="1"/>
  <c r="H245" i="1"/>
  <c r="I245" i="1"/>
  <c r="U245" i="1"/>
  <c r="P246" i="1"/>
  <c r="T246" i="1"/>
  <c r="H246" i="1"/>
  <c r="I246" i="1"/>
  <c r="U246" i="1"/>
  <c r="P247" i="1"/>
  <c r="T247" i="1"/>
  <c r="H247" i="1"/>
  <c r="I247" i="1"/>
  <c r="U247" i="1"/>
  <c r="P248" i="1"/>
  <c r="T248" i="1"/>
  <c r="H248" i="1"/>
  <c r="I248" i="1"/>
  <c r="U248" i="1"/>
  <c r="P249" i="1"/>
  <c r="T249" i="1"/>
  <c r="H249" i="1"/>
  <c r="I249" i="1"/>
  <c r="U249" i="1"/>
  <c r="V246" i="1"/>
  <c r="V245" i="1"/>
  <c r="O247" i="1"/>
  <c r="Q247" i="1"/>
  <c r="R247" i="1"/>
  <c r="S247" i="1"/>
  <c r="O248" i="1"/>
  <c r="Q248" i="1"/>
  <c r="R248" i="1"/>
  <c r="S248" i="1"/>
  <c r="O249" i="1"/>
  <c r="Q249" i="1"/>
  <c r="R249" i="1"/>
  <c r="S249" i="1"/>
  <c r="K247" i="1"/>
  <c r="L247" i="1"/>
  <c r="M247" i="1"/>
  <c r="K248" i="1"/>
  <c r="L248" i="1"/>
  <c r="M248" i="1"/>
  <c r="K249" i="1"/>
  <c r="L249" i="1"/>
  <c r="M249" i="1"/>
  <c r="H3" i="1"/>
  <c r="R3" i="1"/>
  <c r="R11" i="1"/>
  <c r="P238" i="1"/>
  <c r="H11" i="1"/>
  <c r="I11" i="1"/>
  <c r="T238" i="1"/>
  <c r="H238" i="1"/>
  <c r="I238" i="1"/>
  <c r="U238" i="1"/>
  <c r="P239" i="1"/>
  <c r="T239" i="1"/>
  <c r="H239" i="1"/>
  <c r="I239" i="1"/>
  <c r="U239" i="1"/>
  <c r="P240" i="1"/>
  <c r="T240" i="1"/>
  <c r="H240" i="1"/>
  <c r="I240" i="1"/>
  <c r="U240" i="1"/>
  <c r="P241" i="1"/>
  <c r="T241" i="1"/>
  <c r="H241" i="1"/>
  <c r="I241" i="1"/>
  <c r="U241" i="1"/>
  <c r="P242" i="1"/>
  <c r="T242" i="1"/>
  <c r="H242" i="1"/>
  <c r="I242" i="1"/>
  <c r="U242" i="1"/>
  <c r="P243" i="1"/>
  <c r="T243" i="1"/>
  <c r="H243" i="1"/>
  <c r="I243" i="1"/>
  <c r="U243" i="1"/>
  <c r="V240" i="1"/>
  <c r="V239" i="1"/>
  <c r="P231" i="1"/>
  <c r="T231" i="1"/>
  <c r="H231" i="1"/>
  <c r="I231" i="1"/>
  <c r="U231" i="1"/>
  <c r="P232" i="1"/>
  <c r="T232" i="1"/>
  <c r="H232" i="1"/>
  <c r="I232" i="1"/>
  <c r="U232" i="1"/>
  <c r="P233" i="1"/>
  <c r="T233" i="1"/>
  <c r="H233" i="1"/>
  <c r="I233" i="1"/>
  <c r="U233" i="1"/>
  <c r="P234" i="1"/>
  <c r="T234" i="1"/>
  <c r="U234" i="1"/>
  <c r="P235" i="1"/>
  <c r="T235" i="1"/>
  <c r="U235" i="1"/>
  <c r="P236" i="1"/>
  <c r="T236" i="1"/>
  <c r="U236" i="1"/>
  <c r="V232" i="1"/>
  <c r="P213" i="1"/>
  <c r="T213" i="1"/>
  <c r="H213" i="1"/>
  <c r="I213" i="1"/>
  <c r="U213" i="1"/>
  <c r="P214" i="1"/>
  <c r="T214" i="1"/>
  <c r="H214" i="1"/>
  <c r="I214" i="1"/>
  <c r="U214" i="1"/>
  <c r="P215" i="1"/>
  <c r="T215" i="1"/>
  <c r="H215" i="1"/>
  <c r="I215" i="1"/>
  <c r="U215" i="1"/>
  <c r="P216" i="1"/>
  <c r="T216" i="1"/>
  <c r="H216" i="1"/>
  <c r="I216" i="1"/>
  <c r="U216" i="1"/>
  <c r="P217" i="1"/>
  <c r="T217" i="1"/>
  <c r="H217" i="1"/>
  <c r="I217" i="1"/>
  <c r="U217" i="1"/>
  <c r="P218" i="1"/>
  <c r="T218" i="1"/>
  <c r="H218" i="1"/>
  <c r="I218" i="1"/>
  <c r="U218" i="1"/>
  <c r="V214" i="1"/>
  <c r="V233" i="1"/>
  <c r="V227" i="1"/>
  <c r="P222" i="1"/>
  <c r="T222" i="1"/>
  <c r="U222" i="1"/>
  <c r="P219" i="1"/>
  <c r="T219" i="1"/>
  <c r="H219" i="1"/>
  <c r="I219" i="1"/>
  <c r="U219" i="1"/>
  <c r="P220" i="1"/>
  <c r="T220" i="1"/>
  <c r="H220" i="1"/>
  <c r="I220" i="1"/>
  <c r="U220" i="1"/>
  <c r="P221" i="1"/>
  <c r="T221" i="1"/>
  <c r="H221" i="1"/>
  <c r="I221" i="1"/>
  <c r="U221" i="1"/>
  <c r="P224" i="1"/>
  <c r="T224" i="1"/>
  <c r="U224" i="1"/>
  <c r="V221" i="1"/>
  <c r="V220" i="1"/>
  <c r="V215" i="1"/>
  <c r="O234" i="1"/>
  <c r="Q234" i="1"/>
  <c r="R234" i="1"/>
  <c r="S234" i="1"/>
  <c r="O235" i="1"/>
  <c r="Q235" i="1"/>
  <c r="R235" i="1"/>
  <c r="S235" i="1"/>
  <c r="O236" i="1"/>
  <c r="Q236" i="1"/>
  <c r="R236" i="1"/>
  <c r="S236" i="1"/>
  <c r="O228" i="1"/>
  <c r="Q228" i="1"/>
  <c r="R228" i="1"/>
  <c r="S228" i="1"/>
  <c r="O229" i="1"/>
  <c r="Q229" i="1"/>
  <c r="R229" i="1"/>
  <c r="S229" i="1"/>
  <c r="O230" i="1"/>
  <c r="Q230" i="1"/>
  <c r="R230" i="1"/>
  <c r="S230" i="1"/>
  <c r="O222" i="1"/>
  <c r="Q222" i="1"/>
  <c r="R222" i="1"/>
  <c r="S222" i="1"/>
  <c r="O223" i="1"/>
  <c r="P223" i="1"/>
  <c r="Q223" i="1"/>
  <c r="R223" i="1"/>
  <c r="S223" i="1"/>
  <c r="T223" i="1"/>
  <c r="O224" i="1"/>
  <c r="Q224" i="1"/>
  <c r="R224" i="1"/>
  <c r="S224" i="1"/>
  <c r="O216" i="1"/>
  <c r="Q216" i="1"/>
  <c r="R216" i="1"/>
  <c r="S216" i="1"/>
  <c r="O217" i="1"/>
  <c r="Q217" i="1"/>
  <c r="R217" i="1"/>
  <c r="S217" i="1"/>
  <c r="O218" i="1"/>
  <c r="Q218" i="1"/>
  <c r="R218" i="1"/>
  <c r="S218" i="1"/>
  <c r="K222" i="1"/>
  <c r="L222" i="1"/>
  <c r="M222" i="1"/>
  <c r="K223" i="1"/>
  <c r="L223" i="1"/>
  <c r="M223" i="1"/>
  <c r="K224" i="1"/>
  <c r="L224" i="1"/>
  <c r="M224" i="1"/>
  <c r="K225" i="1"/>
  <c r="L225" i="1"/>
  <c r="J225" i="1"/>
  <c r="M225" i="1"/>
  <c r="K226" i="1"/>
  <c r="L226" i="1"/>
  <c r="J226" i="1"/>
  <c r="M226" i="1"/>
  <c r="K227" i="1"/>
  <c r="L227" i="1"/>
  <c r="J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J231" i="1"/>
  <c r="M231" i="1"/>
  <c r="K232" i="1"/>
  <c r="L232" i="1"/>
  <c r="J232" i="1"/>
  <c r="M232" i="1"/>
  <c r="K233" i="1"/>
  <c r="L233" i="1"/>
  <c r="J233" i="1"/>
  <c r="M233" i="1"/>
  <c r="K234" i="1"/>
  <c r="L234" i="1"/>
  <c r="M234" i="1"/>
  <c r="K235" i="1"/>
  <c r="L235" i="1"/>
  <c r="M235" i="1"/>
  <c r="K236" i="1"/>
  <c r="L236" i="1"/>
  <c r="M236" i="1"/>
  <c r="K216" i="1"/>
  <c r="L216" i="1"/>
  <c r="M216" i="1"/>
  <c r="K217" i="1"/>
  <c r="L217" i="1"/>
  <c r="M217" i="1"/>
  <c r="K218" i="1"/>
  <c r="L218" i="1"/>
  <c r="M218" i="1"/>
  <c r="K219" i="1"/>
  <c r="L219" i="1"/>
  <c r="J219" i="1"/>
  <c r="M219" i="1"/>
  <c r="K220" i="1"/>
  <c r="L220" i="1"/>
  <c r="J220" i="1"/>
  <c r="M220" i="1"/>
  <c r="K221" i="1"/>
  <c r="L221" i="1"/>
  <c r="J221" i="1"/>
  <c r="M221" i="1"/>
  <c r="I211" i="1"/>
  <c r="H211" i="1"/>
  <c r="I210" i="1"/>
  <c r="H210" i="1"/>
  <c r="I209" i="1"/>
  <c r="H209" i="1"/>
  <c r="I205" i="1"/>
  <c r="H205" i="1"/>
  <c r="I204" i="1"/>
  <c r="H204" i="1"/>
  <c r="I203" i="1"/>
  <c r="H203" i="1"/>
  <c r="I199" i="1"/>
  <c r="H199" i="1"/>
  <c r="I198" i="1"/>
  <c r="H198" i="1"/>
  <c r="I197" i="1"/>
  <c r="H197" i="1"/>
  <c r="P209" i="1"/>
  <c r="T209" i="1"/>
  <c r="U209" i="1"/>
  <c r="P210" i="1"/>
  <c r="T210" i="1"/>
  <c r="U210" i="1"/>
  <c r="P211" i="1"/>
  <c r="T211" i="1"/>
  <c r="U211" i="1"/>
  <c r="P206" i="1"/>
  <c r="T206" i="1"/>
  <c r="H206" i="1"/>
  <c r="I206" i="1"/>
  <c r="U206" i="1"/>
  <c r="P207" i="1"/>
  <c r="T207" i="1"/>
  <c r="H207" i="1"/>
  <c r="I207" i="1"/>
  <c r="U207" i="1"/>
  <c r="P208" i="1"/>
  <c r="T208" i="1"/>
  <c r="H208" i="1"/>
  <c r="I208" i="1"/>
  <c r="U208" i="1"/>
  <c r="V208" i="1"/>
  <c r="V207" i="1"/>
  <c r="P203" i="1"/>
  <c r="T203" i="1"/>
  <c r="U203" i="1"/>
  <c r="P204" i="1"/>
  <c r="T204" i="1"/>
  <c r="U204" i="1"/>
  <c r="P205" i="1"/>
  <c r="T205" i="1"/>
  <c r="U205" i="1"/>
  <c r="P200" i="1"/>
  <c r="T200" i="1"/>
  <c r="H200" i="1"/>
  <c r="I200" i="1"/>
  <c r="U200" i="1"/>
  <c r="P201" i="1"/>
  <c r="T201" i="1"/>
  <c r="H201" i="1"/>
  <c r="I201" i="1"/>
  <c r="U201" i="1"/>
  <c r="P202" i="1"/>
  <c r="T202" i="1"/>
  <c r="H202" i="1"/>
  <c r="I202" i="1"/>
  <c r="U202" i="1"/>
  <c r="V202" i="1"/>
  <c r="V201" i="1"/>
  <c r="P197" i="1"/>
  <c r="T197" i="1"/>
  <c r="U197" i="1"/>
  <c r="P198" i="1"/>
  <c r="T198" i="1"/>
  <c r="U198" i="1"/>
  <c r="P199" i="1"/>
  <c r="T199" i="1"/>
  <c r="U199" i="1"/>
  <c r="P194" i="1"/>
  <c r="T194" i="1"/>
  <c r="H194" i="1"/>
  <c r="I194" i="1"/>
  <c r="U194" i="1"/>
  <c r="P195" i="1"/>
  <c r="T195" i="1"/>
  <c r="H195" i="1"/>
  <c r="I195" i="1"/>
  <c r="U195" i="1"/>
  <c r="P196" i="1"/>
  <c r="T196" i="1"/>
  <c r="H196" i="1"/>
  <c r="I196" i="1"/>
  <c r="U196" i="1"/>
  <c r="V196" i="1"/>
  <c r="V195" i="1"/>
  <c r="O209" i="1"/>
  <c r="Q209" i="1"/>
  <c r="R209" i="1"/>
  <c r="S209" i="1"/>
  <c r="O210" i="1"/>
  <c r="Q210" i="1"/>
  <c r="R210" i="1"/>
  <c r="S210" i="1"/>
  <c r="O211" i="1"/>
  <c r="Q211" i="1"/>
  <c r="R211" i="1"/>
  <c r="S211" i="1"/>
  <c r="O203" i="1"/>
  <c r="Q203" i="1"/>
  <c r="R203" i="1"/>
  <c r="S203" i="1"/>
  <c r="O204" i="1"/>
  <c r="Q204" i="1"/>
  <c r="R204" i="1"/>
  <c r="S204" i="1"/>
  <c r="O205" i="1"/>
  <c r="Q205" i="1"/>
  <c r="R205" i="1"/>
  <c r="S205" i="1"/>
  <c r="O197" i="1"/>
  <c r="Q197" i="1"/>
  <c r="R197" i="1"/>
  <c r="S197" i="1"/>
  <c r="O198" i="1"/>
  <c r="Q198" i="1"/>
  <c r="R198" i="1"/>
  <c r="S198" i="1"/>
  <c r="O199" i="1"/>
  <c r="Q199" i="1"/>
  <c r="R199" i="1"/>
  <c r="S199" i="1"/>
  <c r="K209" i="1"/>
  <c r="L209" i="1"/>
  <c r="M209" i="1"/>
  <c r="K210" i="1"/>
  <c r="L210" i="1"/>
  <c r="M210" i="1"/>
  <c r="K211" i="1"/>
  <c r="L211" i="1"/>
  <c r="M211" i="1"/>
  <c r="K203" i="1"/>
  <c r="L203" i="1"/>
  <c r="M203" i="1"/>
  <c r="K204" i="1"/>
  <c r="L204" i="1"/>
  <c r="M204" i="1"/>
  <c r="K205" i="1"/>
  <c r="L205" i="1"/>
  <c r="M205" i="1"/>
  <c r="K197" i="1"/>
  <c r="L197" i="1"/>
  <c r="M197" i="1"/>
  <c r="K198" i="1"/>
  <c r="L198" i="1"/>
  <c r="M198" i="1"/>
  <c r="K199" i="1"/>
  <c r="L199" i="1"/>
  <c r="M199" i="1"/>
  <c r="P188" i="1"/>
  <c r="T188" i="1"/>
  <c r="H188" i="1"/>
  <c r="I188" i="1"/>
  <c r="U188" i="1"/>
  <c r="P189" i="1"/>
  <c r="T189" i="1"/>
  <c r="H189" i="1"/>
  <c r="I189" i="1"/>
  <c r="U189" i="1"/>
  <c r="P190" i="1"/>
  <c r="T190" i="1"/>
  <c r="H190" i="1"/>
  <c r="I190" i="1"/>
  <c r="U190" i="1"/>
  <c r="P191" i="1"/>
  <c r="T191" i="1"/>
  <c r="H191" i="1"/>
  <c r="I191" i="1"/>
  <c r="U191" i="1"/>
  <c r="P192" i="1"/>
  <c r="T192" i="1"/>
  <c r="H192" i="1"/>
  <c r="I192" i="1"/>
  <c r="U192" i="1"/>
  <c r="P193" i="1"/>
  <c r="T193" i="1"/>
  <c r="H193" i="1"/>
  <c r="I193" i="1"/>
  <c r="U193" i="1"/>
  <c r="V190" i="1"/>
  <c r="V189" i="1"/>
  <c r="K192" i="1"/>
  <c r="L192" i="1"/>
  <c r="M192" i="1"/>
  <c r="K193" i="1"/>
  <c r="L193" i="1"/>
  <c r="M193" i="1"/>
  <c r="Q191" i="1"/>
  <c r="Q192" i="1"/>
  <c r="Q193" i="1"/>
  <c r="R191" i="1"/>
  <c r="R192" i="1"/>
  <c r="R193" i="1"/>
  <c r="O191" i="1"/>
  <c r="O192" i="1"/>
  <c r="O193" i="1"/>
  <c r="S191" i="1"/>
  <c r="S192" i="1"/>
  <c r="S193" i="1"/>
  <c r="K191" i="1"/>
  <c r="L191" i="1"/>
  <c r="M191" i="1"/>
  <c r="P152" i="1"/>
  <c r="T152" i="1"/>
  <c r="H152" i="1"/>
  <c r="I152" i="1"/>
  <c r="U152" i="1"/>
  <c r="P153" i="1"/>
  <c r="T153" i="1"/>
  <c r="H153" i="1"/>
  <c r="I153" i="1"/>
  <c r="U153" i="1"/>
  <c r="P154" i="1"/>
  <c r="T154" i="1"/>
  <c r="H154" i="1"/>
  <c r="I154" i="1"/>
  <c r="U154" i="1"/>
  <c r="P155" i="1"/>
  <c r="T155" i="1"/>
  <c r="H155" i="1"/>
  <c r="I155" i="1"/>
  <c r="U155" i="1"/>
  <c r="P156" i="1"/>
  <c r="T156" i="1"/>
  <c r="H156" i="1"/>
  <c r="I156" i="1"/>
  <c r="U156" i="1"/>
  <c r="P157" i="1"/>
  <c r="T157" i="1"/>
  <c r="H157" i="1"/>
  <c r="I157" i="1"/>
  <c r="U157" i="1"/>
  <c r="V153" i="1"/>
  <c r="V154" i="1"/>
  <c r="P158" i="1"/>
  <c r="T158" i="1"/>
  <c r="H158" i="1"/>
  <c r="I158" i="1"/>
  <c r="U158" i="1"/>
  <c r="P159" i="1"/>
  <c r="T159" i="1"/>
  <c r="H159" i="1"/>
  <c r="I159" i="1"/>
  <c r="U159" i="1"/>
  <c r="P160" i="1"/>
  <c r="T160" i="1"/>
  <c r="H160" i="1"/>
  <c r="I160" i="1"/>
  <c r="U160" i="1"/>
  <c r="P161" i="1"/>
  <c r="T161" i="1"/>
  <c r="H161" i="1"/>
  <c r="I161" i="1"/>
  <c r="U161" i="1"/>
  <c r="P162" i="1"/>
  <c r="T162" i="1"/>
  <c r="H162" i="1"/>
  <c r="I162" i="1"/>
  <c r="U162" i="1"/>
  <c r="P163" i="1"/>
  <c r="T163" i="1"/>
  <c r="H163" i="1"/>
  <c r="I163" i="1"/>
  <c r="U163" i="1"/>
  <c r="V159" i="1"/>
  <c r="V160" i="1"/>
  <c r="P170" i="1"/>
  <c r="T170" i="1"/>
  <c r="H170" i="1"/>
  <c r="I170" i="1"/>
  <c r="U170" i="1"/>
  <c r="P171" i="1"/>
  <c r="T171" i="1"/>
  <c r="H171" i="1"/>
  <c r="I171" i="1"/>
  <c r="U171" i="1"/>
  <c r="P172" i="1"/>
  <c r="T172" i="1"/>
  <c r="H172" i="1"/>
  <c r="I172" i="1"/>
  <c r="U172" i="1"/>
  <c r="P173" i="1"/>
  <c r="T173" i="1"/>
  <c r="H173" i="1"/>
  <c r="I173" i="1"/>
  <c r="U173" i="1"/>
  <c r="P174" i="1"/>
  <c r="T174" i="1"/>
  <c r="H174" i="1"/>
  <c r="I174" i="1"/>
  <c r="U174" i="1"/>
  <c r="P175" i="1"/>
  <c r="T175" i="1"/>
  <c r="H175" i="1"/>
  <c r="I175" i="1"/>
  <c r="U175" i="1"/>
  <c r="V172" i="1"/>
  <c r="V171" i="1"/>
  <c r="O173" i="1"/>
  <c r="Q173" i="1"/>
  <c r="R173" i="1"/>
  <c r="S173" i="1"/>
  <c r="O174" i="1"/>
  <c r="Q174" i="1"/>
  <c r="R174" i="1"/>
  <c r="S174" i="1"/>
  <c r="O175" i="1"/>
  <c r="Q175" i="1"/>
  <c r="R175" i="1"/>
  <c r="S175" i="1"/>
  <c r="K173" i="1"/>
  <c r="L173" i="1"/>
  <c r="M173" i="1"/>
  <c r="K174" i="1"/>
  <c r="L174" i="1"/>
  <c r="M174" i="1"/>
  <c r="K175" i="1"/>
  <c r="L175" i="1"/>
  <c r="M175" i="1"/>
  <c r="P164" i="1"/>
  <c r="T164" i="1"/>
  <c r="H164" i="1"/>
  <c r="I164" i="1"/>
  <c r="U164" i="1"/>
  <c r="P165" i="1"/>
  <c r="T165" i="1"/>
  <c r="H165" i="1"/>
  <c r="I165" i="1"/>
  <c r="U165" i="1"/>
  <c r="P166" i="1"/>
  <c r="T166" i="1"/>
  <c r="H166" i="1"/>
  <c r="I166" i="1"/>
  <c r="U166" i="1"/>
  <c r="P167" i="1"/>
  <c r="T167" i="1"/>
  <c r="H167" i="1"/>
  <c r="I167" i="1"/>
  <c r="U167" i="1"/>
  <c r="P168" i="1"/>
  <c r="T168" i="1"/>
  <c r="H168" i="1"/>
  <c r="I168" i="1"/>
  <c r="U168" i="1"/>
  <c r="P169" i="1"/>
  <c r="T169" i="1"/>
  <c r="H169" i="1"/>
  <c r="I169" i="1"/>
  <c r="U169" i="1"/>
  <c r="V166" i="1"/>
  <c r="V165" i="1"/>
  <c r="O167" i="1"/>
  <c r="Q167" i="1"/>
  <c r="R167" i="1"/>
  <c r="S167" i="1"/>
  <c r="O168" i="1"/>
  <c r="Q168" i="1"/>
  <c r="R168" i="1"/>
  <c r="S168" i="1"/>
  <c r="O169" i="1"/>
  <c r="Q169" i="1"/>
  <c r="R169" i="1"/>
  <c r="S169" i="1"/>
  <c r="K167" i="1"/>
  <c r="L167" i="1"/>
  <c r="M167" i="1"/>
  <c r="K168" i="1"/>
  <c r="L168" i="1"/>
  <c r="M168" i="1"/>
  <c r="K169" i="1"/>
  <c r="L169" i="1"/>
  <c r="M169" i="1"/>
  <c r="O161" i="1"/>
  <c r="Q161" i="1"/>
  <c r="R161" i="1"/>
  <c r="S161" i="1"/>
  <c r="O162" i="1"/>
  <c r="Q162" i="1"/>
  <c r="R162" i="1"/>
  <c r="S162" i="1"/>
  <c r="O163" i="1"/>
  <c r="Q163" i="1"/>
  <c r="R163" i="1"/>
  <c r="S163" i="1"/>
  <c r="K161" i="1"/>
  <c r="L161" i="1"/>
  <c r="M161" i="1"/>
  <c r="K162" i="1"/>
  <c r="L162" i="1"/>
  <c r="M162" i="1"/>
  <c r="K163" i="1"/>
  <c r="L163" i="1"/>
  <c r="M163" i="1"/>
  <c r="I144" i="1"/>
  <c r="H144" i="1"/>
  <c r="P139" i="1"/>
  <c r="T139" i="1"/>
  <c r="H139" i="1"/>
  <c r="I139" i="1"/>
  <c r="U139" i="1"/>
  <c r="P140" i="1"/>
  <c r="T140" i="1"/>
  <c r="H140" i="1"/>
  <c r="I140" i="1"/>
  <c r="U140" i="1"/>
  <c r="P141" i="1"/>
  <c r="T141" i="1"/>
  <c r="H141" i="1"/>
  <c r="I141" i="1"/>
  <c r="U141" i="1"/>
  <c r="P142" i="1"/>
  <c r="T142" i="1"/>
  <c r="H142" i="1"/>
  <c r="I142" i="1"/>
  <c r="U142" i="1"/>
  <c r="P143" i="1"/>
  <c r="T143" i="1"/>
  <c r="H143" i="1"/>
  <c r="I143" i="1"/>
  <c r="U143" i="1"/>
  <c r="P144" i="1"/>
  <c r="T144" i="1"/>
  <c r="U144" i="1"/>
  <c r="V141" i="1"/>
  <c r="V140" i="1"/>
  <c r="O142" i="1"/>
  <c r="Q142" i="1"/>
  <c r="R142" i="1"/>
  <c r="S142" i="1"/>
  <c r="O143" i="1"/>
  <c r="Q143" i="1"/>
  <c r="R143" i="1"/>
  <c r="S143" i="1"/>
  <c r="O144" i="1"/>
  <c r="Q144" i="1"/>
  <c r="R144" i="1"/>
  <c r="S144" i="1"/>
  <c r="K142" i="1"/>
  <c r="L142" i="1"/>
  <c r="M142" i="1"/>
  <c r="K143" i="1"/>
  <c r="L143" i="1"/>
  <c r="M143" i="1"/>
  <c r="K144" i="1"/>
  <c r="L144" i="1"/>
  <c r="M144" i="1"/>
  <c r="P127" i="1"/>
  <c r="T127" i="1"/>
  <c r="H127" i="1"/>
  <c r="I127" i="1"/>
  <c r="U127" i="1"/>
  <c r="P128" i="1"/>
  <c r="T128" i="1"/>
  <c r="H128" i="1"/>
  <c r="I128" i="1"/>
  <c r="U128" i="1"/>
  <c r="P129" i="1"/>
  <c r="T129" i="1"/>
  <c r="H129" i="1"/>
  <c r="I129" i="1"/>
  <c r="U129" i="1"/>
  <c r="P130" i="1"/>
  <c r="T130" i="1"/>
  <c r="H130" i="1"/>
  <c r="I130" i="1"/>
  <c r="U130" i="1"/>
  <c r="P131" i="1"/>
  <c r="T131" i="1"/>
  <c r="H131" i="1"/>
  <c r="I131" i="1"/>
  <c r="U131" i="1"/>
  <c r="P132" i="1"/>
  <c r="T132" i="1"/>
  <c r="H132" i="1"/>
  <c r="I132" i="1"/>
  <c r="U132" i="1"/>
  <c r="V129" i="1"/>
  <c r="P133" i="1"/>
  <c r="T133" i="1"/>
  <c r="H133" i="1"/>
  <c r="I133" i="1"/>
  <c r="U133" i="1"/>
  <c r="P134" i="1"/>
  <c r="T134" i="1"/>
  <c r="H134" i="1"/>
  <c r="I134" i="1"/>
  <c r="U134" i="1"/>
  <c r="P135" i="1"/>
  <c r="T135" i="1"/>
  <c r="H135" i="1"/>
  <c r="I135" i="1"/>
  <c r="U135" i="1"/>
  <c r="P136" i="1"/>
  <c r="T136" i="1"/>
  <c r="H136" i="1"/>
  <c r="I136" i="1"/>
  <c r="U136" i="1"/>
  <c r="P137" i="1"/>
  <c r="T137" i="1"/>
  <c r="H137" i="1"/>
  <c r="I137" i="1"/>
  <c r="U137" i="1"/>
  <c r="P138" i="1"/>
  <c r="T138" i="1"/>
  <c r="H138" i="1"/>
  <c r="I138" i="1"/>
  <c r="U138" i="1"/>
  <c r="V135" i="1"/>
  <c r="V134" i="1"/>
  <c r="O136" i="1"/>
  <c r="Q136" i="1"/>
  <c r="R136" i="1"/>
  <c r="S136" i="1"/>
  <c r="O137" i="1"/>
  <c r="Q137" i="1"/>
  <c r="R137" i="1"/>
  <c r="S137" i="1"/>
  <c r="O138" i="1"/>
  <c r="Q138" i="1"/>
  <c r="R138" i="1"/>
  <c r="S138" i="1"/>
  <c r="K136" i="1"/>
  <c r="L136" i="1"/>
  <c r="M136" i="1"/>
  <c r="K137" i="1"/>
  <c r="L137" i="1"/>
  <c r="M137" i="1"/>
  <c r="K138" i="1"/>
  <c r="L138" i="1"/>
  <c r="M138" i="1"/>
  <c r="V128" i="1"/>
  <c r="P121" i="1"/>
  <c r="T121" i="1"/>
  <c r="H121" i="1"/>
  <c r="I121" i="1"/>
  <c r="U121" i="1"/>
  <c r="P122" i="1"/>
  <c r="T122" i="1"/>
  <c r="H122" i="1"/>
  <c r="I122" i="1"/>
  <c r="U122" i="1"/>
  <c r="P123" i="1"/>
  <c r="T123" i="1"/>
  <c r="H123" i="1"/>
  <c r="I123" i="1"/>
  <c r="U123" i="1"/>
  <c r="P124" i="1"/>
  <c r="T124" i="1"/>
  <c r="H124" i="1"/>
  <c r="I124" i="1"/>
  <c r="U124" i="1"/>
  <c r="P125" i="1"/>
  <c r="T125" i="1"/>
  <c r="H125" i="1"/>
  <c r="I125" i="1"/>
  <c r="U125" i="1"/>
  <c r="P126" i="1"/>
  <c r="T126" i="1"/>
  <c r="H126" i="1"/>
  <c r="I126" i="1"/>
  <c r="U126" i="1"/>
  <c r="V123" i="1"/>
  <c r="V122" i="1"/>
  <c r="O130" i="1"/>
  <c r="Q130" i="1"/>
  <c r="R130" i="1"/>
  <c r="S130" i="1"/>
  <c r="O131" i="1"/>
  <c r="Q131" i="1"/>
  <c r="R131" i="1"/>
  <c r="S131" i="1"/>
  <c r="O132" i="1"/>
  <c r="Q132" i="1"/>
  <c r="R132" i="1"/>
  <c r="S132" i="1"/>
  <c r="K130" i="1"/>
  <c r="L130" i="1"/>
  <c r="M130" i="1"/>
  <c r="K131" i="1"/>
  <c r="L131" i="1"/>
  <c r="M131" i="1"/>
  <c r="K132" i="1"/>
  <c r="L132" i="1"/>
  <c r="M132" i="1"/>
  <c r="P108" i="1"/>
  <c r="T108" i="1"/>
  <c r="H108" i="1"/>
  <c r="I108" i="1"/>
  <c r="U108" i="1"/>
  <c r="P109" i="1"/>
  <c r="T109" i="1"/>
  <c r="H109" i="1"/>
  <c r="I109" i="1"/>
  <c r="U109" i="1"/>
  <c r="P110" i="1"/>
  <c r="T110" i="1"/>
  <c r="H110" i="1"/>
  <c r="I110" i="1"/>
  <c r="U110" i="1"/>
  <c r="P111" i="1"/>
  <c r="T111" i="1"/>
  <c r="H111" i="1"/>
  <c r="I111" i="1"/>
  <c r="U111" i="1"/>
  <c r="P112" i="1"/>
  <c r="T112" i="1"/>
  <c r="H112" i="1"/>
  <c r="I112" i="1"/>
  <c r="U112" i="1"/>
  <c r="P113" i="1"/>
  <c r="T113" i="1"/>
  <c r="H113" i="1"/>
  <c r="I113" i="1"/>
  <c r="U113" i="1"/>
  <c r="V110" i="1"/>
  <c r="V109" i="1"/>
  <c r="P102" i="1"/>
  <c r="T102" i="1"/>
  <c r="H102" i="1"/>
  <c r="I102" i="1"/>
  <c r="U102" i="1"/>
  <c r="P103" i="1"/>
  <c r="T103" i="1"/>
  <c r="H103" i="1"/>
  <c r="I103" i="1"/>
  <c r="U103" i="1"/>
  <c r="P104" i="1"/>
  <c r="T104" i="1"/>
  <c r="H104" i="1"/>
  <c r="I104" i="1"/>
  <c r="U104" i="1"/>
  <c r="P105" i="1"/>
  <c r="T105" i="1"/>
  <c r="H105" i="1"/>
  <c r="I105" i="1"/>
  <c r="U105" i="1"/>
  <c r="P106" i="1"/>
  <c r="T106" i="1"/>
  <c r="H106" i="1"/>
  <c r="I106" i="1"/>
  <c r="U106" i="1"/>
  <c r="P107" i="1"/>
  <c r="T107" i="1"/>
  <c r="H107" i="1"/>
  <c r="I107" i="1"/>
  <c r="U107" i="1"/>
  <c r="V104" i="1"/>
  <c r="V103" i="1"/>
  <c r="O111" i="1"/>
  <c r="Q111" i="1"/>
  <c r="R111" i="1"/>
  <c r="S111" i="1"/>
  <c r="O112" i="1"/>
  <c r="Q112" i="1"/>
  <c r="R112" i="1"/>
  <c r="S112" i="1"/>
  <c r="O113" i="1"/>
  <c r="Q113" i="1"/>
  <c r="R113" i="1"/>
  <c r="S113" i="1"/>
  <c r="K111" i="1"/>
  <c r="L111" i="1"/>
  <c r="M111" i="1"/>
  <c r="K112" i="1"/>
  <c r="L112" i="1"/>
  <c r="M112" i="1"/>
  <c r="K113" i="1"/>
  <c r="L113" i="1"/>
  <c r="M113" i="1"/>
  <c r="O105" i="1"/>
  <c r="Q105" i="1"/>
  <c r="R105" i="1"/>
  <c r="S105" i="1"/>
  <c r="O106" i="1"/>
  <c r="Q106" i="1"/>
  <c r="R106" i="1"/>
  <c r="S106" i="1"/>
  <c r="O107" i="1"/>
  <c r="Q107" i="1"/>
  <c r="R107" i="1"/>
  <c r="S107" i="1"/>
  <c r="K105" i="1"/>
  <c r="L105" i="1"/>
  <c r="M105" i="1"/>
  <c r="K106" i="1"/>
  <c r="L106" i="1"/>
  <c r="M106" i="1"/>
  <c r="K107" i="1"/>
  <c r="L107" i="1"/>
  <c r="M107" i="1"/>
  <c r="P96" i="1"/>
  <c r="T96" i="1"/>
  <c r="H96" i="1"/>
  <c r="I96" i="1"/>
  <c r="U96" i="1"/>
  <c r="P97" i="1"/>
  <c r="T97" i="1"/>
  <c r="H97" i="1"/>
  <c r="I97" i="1"/>
  <c r="U97" i="1"/>
  <c r="P98" i="1"/>
  <c r="T98" i="1"/>
  <c r="H98" i="1"/>
  <c r="I98" i="1"/>
  <c r="U98" i="1"/>
  <c r="P99" i="1"/>
  <c r="T99" i="1"/>
  <c r="H99" i="1"/>
  <c r="I99" i="1"/>
  <c r="U99" i="1"/>
  <c r="P100" i="1"/>
  <c r="T100" i="1"/>
  <c r="H100" i="1"/>
  <c r="I100" i="1"/>
  <c r="U100" i="1"/>
  <c r="P101" i="1"/>
  <c r="T101" i="1"/>
  <c r="H101" i="1"/>
  <c r="I101" i="1"/>
  <c r="U101" i="1"/>
  <c r="V98" i="1"/>
  <c r="V97" i="1"/>
  <c r="P90" i="1"/>
  <c r="T90" i="1"/>
  <c r="H90" i="1"/>
  <c r="I90" i="1"/>
  <c r="U90" i="1"/>
  <c r="P91" i="1"/>
  <c r="T91" i="1"/>
  <c r="H91" i="1"/>
  <c r="I91" i="1"/>
  <c r="U91" i="1"/>
  <c r="P92" i="1"/>
  <c r="T92" i="1"/>
  <c r="H92" i="1"/>
  <c r="I92" i="1"/>
  <c r="U92" i="1"/>
  <c r="P93" i="1"/>
  <c r="T93" i="1"/>
  <c r="H93" i="1"/>
  <c r="I93" i="1"/>
  <c r="U93" i="1"/>
  <c r="P94" i="1"/>
  <c r="T94" i="1"/>
  <c r="H94" i="1"/>
  <c r="I94" i="1"/>
  <c r="U94" i="1"/>
  <c r="P95" i="1"/>
  <c r="T95" i="1"/>
  <c r="H95" i="1"/>
  <c r="I95" i="1"/>
  <c r="U95" i="1"/>
  <c r="V92" i="1"/>
  <c r="V91" i="1"/>
  <c r="O99" i="1"/>
  <c r="Q99" i="1"/>
  <c r="R99" i="1"/>
  <c r="S99" i="1"/>
  <c r="O100" i="1"/>
  <c r="Q100" i="1"/>
  <c r="R100" i="1"/>
  <c r="S100" i="1"/>
  <c r="O101" i="1"/>
  <c r="Q101" i="1"/>
  <c r="R101" i="1"/>
  <c r="S101" i="1"/>
  <c r="K99" i="1"/>
  <c r="L99" i="1"/>
  <c r="M99" i="1"/>
  <c r="K100" i="1"/>
  <c r="L100" i="1"/>
  <c r="M100" i="1"/>
  <c r="K101" i="1"/>
  <c r="L101" i="1"/>
  <c r="M101" i="1"/>
  <c r="P77" i="1"/>
  <c r="T77" i="1"/>
  <c r="H77" i="1"/>
  <c r="I77" i="1"/>
  <c r="U77" i="1"/>
  <c r="P78" i="1"/>
  <c r="T78" i="1"/>
  <c r="H78" i="1"/>
  <c r="I78" i="1"/>
  <c r="U78" i="1"/>
  <c r="P79" i="1"/>
  <c r="T79" i="1"/>
  <c r="H79" i="1"/>
  <c r="I79" i="1"/>
  <c r="U79" i="1"/>
  <c r="P80" i="1"/>
  <c r="T80" i="1"/>
  <c r="H80" i="1"/>
  <c r="I80" i="1"/>
  <c r="U80" i="1"/>
  <c r="P81" i="1"/>
  <c r="T81" i="1"/>
  <c r="H81" i="1"/>
  <c r="I81" i="1"/>
  <c r="U81" i="1"/>
  <c r="P82" i="1"/>
  <c r="T82" i="1"/>
  <c r="H82" i="1"/>
  <c r="I82" i="1"/>
  <c r="U82" i="1"/>
  <c r="V79" i="1"/>
  <c r="V78" i="1"/>
  <c r="P71" i="1"/>
  <c r="T71" i="1"/>
  <c r="H71" i="1"/>
  <c r="I71" i="1"/>
  <c r="U71" i="1"/>
  <c r="P72" i="1"/>
  <c r="T72" i="1"/>
  <c r="H72" i="1"/>
  <c r="I72" i="1"/>
  <c r="U72" i="1"/>
  <c r="P73" i="1"/>
  <c r="T73" i="1"/>
  <c r="H73" i="1"/>
  <c r="I73" i="1"/>
  <c r="U73" i="1"/>
  <c r="P74" i="1"/>
  <c r="T74" i="1"/>
  <c r="H74" i="1"/>
  <c r="I74" i="1"/>
  <c r="U74" i="1"/>
  <c r="P75" i="1"/>
  <c r="T75" i="1"/>
  <c r="H75" i="1"/>
  <c r="I75" i="1"/>
  <c r="U75" i="1"/>
  <c r="P76" i="1"/>
  <c r="T76" i="1"/>
  <c r="H76" i="1"/>
  <c r="I76" i="1"/>
  <c r="U76" i="1"/>
  <c r="V73" i="1"/>
  <c r="V72" i="1"/>
  <c r="O80" i="1"/>
  <c r="Q80" i="1"/>
  <c r="R80" i="1"/>
  <c r="S80" i="1"/>
  <c r="O81" i="1"/>
  <c r="Q81" i="1"/>
  <c r="R81" i="1"/>
  <c r="S81" i="1"/>
  <c r="O82" i="1"/>
  <c r="Q82" i="1"/>
  <c r="R82" i="1"/>
  <c r="S82" i="1"/>
  <c r="K80" i="1"/>
  <c r="L80" i="1"/>
  <c r="M80" i="1"/>
  <c r="K81" i="1"/>
  <c r="L81" i="1"/>
  <c r="M81" i="1"/>
  <c r="K82" i="1"/>
  <c r="L82" i="1"/>
  <c r="M82" i="1"/>
  <c r="O74" i="1"/>
  <c r="Q74" i="1"/>
  <c r="R74" i="1"/>
  <c r="S74" i="1"/>
  <c r="O75" i="1"/>
  <c r="Q75" i="1"/>
  <c r="R75" i="1"/>
  <c r="S75" i="1"/>
  <c r="O76" i="1"/>
  <c r="Q76" i="1"/>
  <c r="R76" i="1"/>
  <c r="S76" i="1"/>
  <c r="K74" i="1"/>
  <c r="L74" i="1"/>
  <c r="M74" i="1"/>
  <c r="K75" i="1"/>
  <c r="L75" i="1"/>
  <c r="M75" i="1"/>
  <c r="K76" i="1"/>
  <c r="L76" i="1"/>
  <c r="M76" i="1"/>
  <c r="P65" i="1"/>
  <c r="T65" i="1"/>
  <c r="H65" i="1"/>
  <c r="I65" i="1"/>
  <c r="U65" i="1"/>
  <c r="P66" i="1"/>
  <c r="T66" i="1"/>
  <c r="H66" i="1"/>
  <c r="I66" i="1"/>
  <c r="U66" i="1"/>
  <c r="P67" i="1"/>
  <c r="T67" i="1"/>
  <c r="H67" i="1"/>
  <c r="I67" i="1"/>
  <c r="U67" i="1"/>
  <c r="P68" i="1"/>
  <c r="T68" i="1"/>
  <c r="H68" i="1"/>
  <c r="I68" i="1"/>
  <c r="U68" i="1"/>
  <c r="P69" i="1"/>
  <c r="T69" i="1"/>
  <c r="H69" i="1"/>
  <c r="I69" i="1"/>
  <c r="U69" i="1"/>
  <c r="P70" i="1"/>
  <c r="T70" i="1"/>
  <c r="H70" i="1"/>
  <c r="I70" i="1"/>
  <c r="U70" i="1"/>
  <c r="V67" i="1"/>
  <c r="V66" i="1"/>
  <c r="P59" i="1"/>
  <c r="T59" i="1"/>
  <c r="H59" i="1"/>
  <c r="I59" i="1"/>
  <c r="U59" i="1"/>
  <c r="P60" i="1"/>
  <c r="T60" i="1"/>
  <c r="H60" i="1"/>
  <c r="I60" i="1"/>
  <c r="U60" i="1"/>
  <c r="P61" i="1"/>
  <c r="T61" i="1"/>
  <c r="H61" i="1"/>
  <c r="I61" i="1"/>
  <c r="U61" i="1"/>
  <c r="P62" i="1"/>
  <c r="T62" i="1"/>
  <c r="H62" i="1"/>
  <c r="I62" i="1"/>
  <c r="U62" i="1"/>
  <c r="P63" i="1"/>
  <c r="T63" i="1"/>
  <c r="H63" i="1"/>
  <c r="I63" i="1"/>
  <c r="U63" i="1"/>
  <c r="P64" i="1"/>
  <c r="T64" i="1"/>
  <c r="H64" i="1"/>
  <c r="I64" i="1"/>
  <c r="U64" i="1"/>
  <c r="V61" i="1"/>
  <c r="V60" i="1"/>
  <c r="O68" i="1"/>
  <c r="Q68" i="1"/>
  <c r="R68" i="1"/>
  <c r="S68" i="1"/>
  <c r="O69" i="1"/>
  <c r="Q69" i="1"/>
  <c r="R69" i="1"/>
  <c r="S69" i="1"/>
  <c r="O70" i="1"/>
  <c r="Q70" i="1"/>
  <c r="R70" i="1"/>
  <c r="S70" i="1"/>
  <c r="K68" i="1"/>
  <c r="L68" i="1"/>
  <c r="M68" i="1"/>
  <c r="K69" i="1"/>
  <c r="L69" i="1"/>
  <c r="M69" i="1"/>
  <c r="K70" i="1"/>
  <c r="L70" i="1"/>
  <c r="M70" i="1"/>
  <c r="O62" i="1"/>
  <c r="Q62" i="1"/>
  <c r="R62" i="1"/>
  <c r="S62" i="1"/>
  <c r="O63" i="1"/>
  <c r="Q63" i="1"/>
  <c r="R63" i="1"/>
  <c r="S63" i="1"/>
  <c r="O64" i="1"/>
  <c r="Q64" i="1"/>
  <c r="R64" i="1"/>
  <c r="S64" i="1"/>
  <c r="K62" i="1"/>
  <c r="L62" i="1"/>
  <c r="M62" i="1"/>
  <c r="K63" i="1"/>
  <c r="L63" i="1"/>
  <c r="M63" i="1"/>
  <c r="K64" i="1"/>
  <c r="L64" i="1"/>
  <c r="M64" i="1"/>
  <c r="P46" i="1"/>
  <c r="T46" i="1"/>
  <c r="H46" i="1"/>
  <c r="I46" i="1"/>
  <c r="U46" i="1"/>
  <c r="P47" i="1"/>
  <c r="T47" i="1"/>
  <c r="H47" i="1"/>
  <c r="I47" i="1"/>
  <c r="U47" i="1"/>
  <c r="P48" i="1"/>
  <c r="T48" i="1"/>
  <c r="H48" i="1"/>
  <c r="I48" i="1"/>
  <c r="U48" i="1"/>
  <c r="P49" i="1"/>
  <c r="T49" i="1"/>
  <c r="H49" i="1"/>
  <c r="I49" i="1"/>
  <c r="U49" i="1"/>
  <c r="P50" i="1"/>
  <c r="T50" i="1"/>
  <c r="H50" i="1"/>
  <c r="I50" i="1"/>
  <c r="U50" i="1"/>
  <c r="P51" i="1"/>
  <c r="T51" i="1"/>
  <c r="H51" i="1"/>
  <c r="I51" i="1"/>
  <c r="U51" i="1"/>
  <c r="V48" i="1"/>
  <c r="V47" i="1"/>
  <c r="P40" i="1"/>
  <c r="T40" i="1"/>
  <c r="H40" i="1"/>
  <c r="I40" i="1"/>
  <c r="U40" i="1"/>
  <c r="P41" i="1"/>
  <c r="T41" i="1"/>
  <c r="H41" i="1"/>
  <c r="I41" i="1"/>
  <c r="U41" i="1"/>
  <c r="P42" i="1"/>
  <c r="T42" i="1"/>
  <c r="H42" i="1"/>
  <c r="I42" i="1"/>
  <c r="U42" i="1"/>
  <c r="P43" i="1"/>
  <c r="T43" i="1"/>
  <c r="H43" i="1"/>
  <c r="I43" i="1"/>
  <c r="U43" i="1"/>
  <c r="P44" i="1"/>
  <c r="T44" i="1"/>
  <c r="H44" i="1"/>
  <c r="I44" i="1"/>
  <c r="U44" i="1"/>
  <c r="P45" i="1"/>
  <c r="T45" i="1"/>
  <c r="H45" i="1"/>
  <c r="I45" i="1"/>
  <c r="U45" i="1"/>
  <c r="V42" i="1"/>
  <c r="V41" i="1"/>
  <c r="O49" i="1"/>
  <c r="Q49" i="1"/>
  <c r="R49" i="1"/>
  <c r="S49" i="1"/>
  <c r="O50" i="1"/>
  <c r="Q50" i="1"/>
  <c r="R50" i="1"/>
  <c r="S50" i="1"/>
  <c r="O51" i="1"/>
  <c r="Q51" i="1"/>
  <c r="R51" i="1"/>
  <c r="S51" i="1"/>
  <c r="K49" i="1"/>
  <c r="L49" i="1"/>
  <c r="M49" i="1"/>
  <c r="K50" i="1"/>
  <c r="L50" i="1"/>
  <c r="M50" i="1"/>
  <c r="K51" i="1"/>
  <c r="L51" i="1"/>
  <c r="M51" i="1"/>
  <c r="K43" i="1"/>
  <c r="L43" i="1"/>
  <c r="M43" i="1"/>
  <c r="K44" i="1"/>
  <c r="L44" i="1"/>
  <c r="M44" i="1"/>
  <c r="K45" i="1"/>
  <c r="L45" i="1"/>
  <c r="M45" i="1"/>
  <c r="O43" i="1"/>
  <c r="Q43" i="1"/>
  <c r="R43" i="1"/>
  <c r="S43" i="1"/>
  <c r="O44" i="1"/>
  <c r="Q44" i="1"/>
  <c r="R44" i="1"/>
  <c r="S44" i="1"/>
  <c r="O45" i="1"/>
  <c r="Q45" i="1"/>
  <c r="R45" i="1"/>
  <c r="S45" i="1"/>
  <c r="P34" i="1"/>
  <c r="T34" i="1"/>
  <c r="H34" i="1"/>
  <c r="I34" i="1"/>
  <c r="U34" i="1"/>
  <c r="P35" i="1"/>
  <c r="T35" i="1"/>
  <c r="H35" i="1"/>
  <c r="I35" i="1"/>
  <c r="U35" i="1"/>
  <c r="P36" i="1"/>
  <c r="T36" i="1"/>
  <c r="H36" i="1"/>
  <c r="I36" i="1"/>
  <c r="U36" i="1"/>
  <c r="P37" i="1"/>
  <c r="T37" i="1"/>
  <c r="H37" i="1"/>
  <c r="I37" i="1"/>
  <c r="U37" i="1"/>
  <c r="P38" i="1"/>
  <c r="T38" i="1"/>
  <c r="H38" i="1"/>
  <c r="I38" i="1"/>
  <c r="U38" i="1"/>
  <c r="P39" i="1"/>
  <c r="T39" i="1"/>
  <c r="H39" i="1"/>
  <c r="I39" i="1"/>
  <c r="U39" i="1"/>
  <c r="V36" i="1"/>
  <c r="V35" i="1"/>
  <c r="K37" i="1"/>
  <c r="L37" i="1"/>
  <c r="M37" i="1"/>
  <c r="K38" i="1"/>
  <c r="L38" i="1"/>
  <c r="M38" i="1"/>
  <c r="K39" i="1"/>
  <c r="L39" i="1"/>
  <c r="M39" i="1"/>
  <c r="O37" i="1"/>
  <c r="Q37" i="1"/>
  <c r="R37" i="1"/>
  <c r="S37" i="1"/>
  <c r="O38" i="1"/>
  <c r="Q38" i="1"/>
  <c r="R38" i="1"/>
  <c r="S38" i="1"/>
  <c r="O39" i="1"/>
  <c r="Q39" i="1"/>
  <c r="R39" i="1"/>
  <c r="S39" i="1"/>
  <c r="I33" i="1"/>
  <c r="H33" i="1"/>
  <c r="I32" i="1"/>
  <c r="H32" i="1"/>
  <c r="I31" i="1"/>
  <c r="H31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K31" i="1"/>
  <c r="L31" i="1"/>
  <c r="M31" i="1"/>
  <c r="K32" i="1"/>
  <c r="L32" i="1"/>
  <c r="M32" i="1"/>
  <c r="K33" i="1"/>
  <c r="L33" i="1"/>
  <c r="M33" i="1"/>
  <c r="O155" i="1"/>
  <c r="Q155" i="1"/>
  <c r="R155" i="1"/>
  <c r="S155" i="1"/>
  <c r="O156" i="1"/>
  <c r="Q156" i="1"/>
  <c r="R156" i="1"/>
  <c r="S156" i="1"/>
  <c r="O157" i="1"/>
  <c r="Q157" i="1"/>
  <c r="R157" i="1"/>
  <c r="S157" i="1"/>
  <c r="K155" i="1"/>
  <c r="L155" i="1"/>
  <c r="M155" i="1"/>
  <c r="K156" i="1"/>
  <c r="L156" i="1"/>
  <c r="M156" i="1"/>
  <c r="K157" i="1"/>
  <c r="L157" i="1"/>
  <c r="M157" i="1"/>
  <c r="K125" i="1"/>
  <c r="L125" i="1"/>
  <c r="M125" i="1"/>
  <c r="K126" i="1"/>
  <c r="L126" i="1"/>
  <c r="M126" i="1"/>
  <c r="O124" i="1"/>
  <c r="Q124" i="1"/>
  <c r="R124" i="1"/>
  <c r="S124" i="1"/>
  <c r="O125" i="1"/>
  <c r="Q125" i="1"/>
  <c r="R125" i="1"/>
  <c r="S125" i="1"/>
  <c r="O126" i="1"/>
  <c r="Q126" i="1"/>
  <c r="R126" i="1"/>
  <c r="S126" i="1"/>
  <c r="K124" i="1"/>
  <c r="L124" i="1"/>
  <c r="M124" i="1"/>
  <c r="K93" i="1"/>
  <c r="L93" i="1"/>
  <c r="M93" i="1"/>
  <c r="K94" i="1"/>
  <c r="L94" i="1"/>
  <c r="M94" i="1"/>
  <c r="K95" i="1"/>
  <c r="L95" i="1"/>
  <c r="M95" i="1"/>
  <c r="O93" i="1"/>
  <c r="Q93" i="1"/>
  <c r="R93" i="1"/>
  <c r="S93" i="1"/>
  <c r="O94" i="1"/>
  <c r="Q94" i="1"/>
  <c r="R94" i="1"/>
  <c r="S94" i="1"/>
  <c r="O95" i="1"/>
  <c r="Q95" i="1"/>
  <c r="R95" i="1"/>
  <c r="S95" i="1"/>
  <c r="X204" i="1"/>
  <c r="X203" i="1"/>
  <c r="X202" i="1"/>
  <c r="X191" i="1"/>
  <c r="X190" i="1"/>
  <c r="X189" i="1"/>
  <c r="X171" i="1"/>
  <c r="X170" i="1"/>
  <c r="X169" i="1"/>
  <c r="P258" i="1"/>
  <c r="T258" i="1"/>
  <c r="P294" i="1"/>
  <c r="T294" i="1"/>
  <c r="P278" i="1"/>
  <c r="T278" i="1"/>
  <c r="P279" i="1"/>
  <c r="T279" i="1"/>
  <c r="P277" i="1"/>
  <c r="T277" i="1"/>
  <c r="P275" i="1"/>
  <c r="T275" i="1"/>
  <c r="P276" i="1"/>
  <c r="T276" i="1"/>
  <c r="P274" i="1"/>
  <c r="T274" i="1"/>
  <c r="P272" i="1"/>
  <c r="T272" i="1"/>
  <c r="P273" i="1"/>
  <c r="T273" i="1"/>
  <c r="P271" i="1"/>
  <c r="T271" i="1"/>
  <c r="P269" i="1"/>
  <c r="T269" i="1"/>
  <c r="P270" i="1"/>
  <c r="T270" i="1"/>
  <c r="P268" i="1"/>
  <c r="T268" i="1"/>
  <c r="I305" i="1"/>
  <c r="H305" i="1"/>
  <c r="I304" i="1"/>
  <c r="H304" i="1"/>
  <c r="I302" i="1"/>
  <c r="H302" i="1"/>
  <c r="I301" i="1"/>
  <c r="H301" i="1"/>
  <c r="I299" i="1"/>
  <c r="H299" i="1"/>
  <c r="P304" i="1"/>
  <c r="T304" i="1"/>
  <c r="P305" i="1"/>
  <c r="T305" i="1"/>
  <c r="P303" i="1"/>
  <c r="T303" i="1"/>
  <c r="P301" i="1"/>
  <c r="T301" i="1"/>
  <c r="P302" i="1"/>
  <c r="T302" i="1"/>
  <c r="P300" i="1"/>
  <c r="T300" i="1"/>
  <c r="P298" i="1"/>
  <c r="T298" i="1"/>
  <c r="P299" i="1"/>
  <c r="T299" i="1"/>
  <c r="P297" i="1"/>
  <c r="T297" i="1"/>
  <c r="P295" i="1"/>
  <c r="T295" i="1"/>
  <c r="P296" i="1"/>
  <c r="T296" i="1"/>
  <c r="O304" i="1"/>
  <c r="Q304" i="1"/>
  <c r="R304" i="1"/>
  <c r="O305" i="1"/>
  <c r="Q305" i="1"/>
  <c r="R305" i="1"/>
  <c r="O301" i="1"/>
  <c r="Q301" i="1"/>
  <c r="R301" i="1"/>
  <c r="O302" i="1"/>
  <c r="Q302" i="1"/>
  <c r="R302" i="1"/>
  <c r="O298" i="1"/>
  <c r="Q298" i="1"/>
  <c r="H298" i="1"/>
  <c r="I298" i="1"/>
  <c r="R298" i="1"/>
  <c r="O299" i="1"/>
  <c r="Q299" i="1"/>
  <c r="R299" i="1"/>
  <c r="O295" i="1"/>
  <c r="Q295" i="1"/>
  <c r="H295" i="1"/>
  <c r="I295" i="1"/>
  <c r="R295" i="1"/>
  <c r="O296" i="1"/>
  <c r="Q296" i="1"/>
  <c r="H296" i="1"/>
  <c r="I296" i="1"/>
  <c r="R296" i="1"/>
  <c r="H303" i="1"/>
  <c r="I303" i="1"/>
  <c r="U303" i="1"/>
  <c r="U304" i="1"/>
  <c r="U305" i="1"/>
  <c r="V305" i="1"/>
  <c r="V304" i="1"/>
  <c r="H300" i="1"/>
  <c r="I300" i="1"/>
  <c r="U300" i="1"/>
  <c r="U301" i="1"/>
  <c r="U302" i="1"/>
  <c r="V302" i="1"/>
  <c r="V301" i="1"/>
  <c r="U298" i="1"/>
  <c r="H297" i="1"/>
  <c r="I297" i="1"/>
  <c r="U297" i="1"/>
  <c r="U299" i="1"/>
  <c r="V299" i="1"/>
  <c r="V298" i="1"/>
  <c r="H294" i="1"/>
  <c r="I294" i="1"/>
  <c r="U294" i="1"/>
  <c r="U295" i="1"/>
  <c r="U296" i="1"/>
  <c r="V296" i="1"/>
  <c r="V295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K295" i="1"/>
  <c r="L295" i="1"/>
  <c r="M295" i="1"/>
  <c r="K296" i="1"/>
  <c r="L296" i="1"/>
  <c r="M296" i="1"/>
  <c r="K297" i="1"/>
  <c r="L297" i="1"/>
  <c r="J297" i="1"/>
  <c r="M297" i="1"/>
  <c r="K298" i="1"/>
  <c r="L298" i="1"/>
  <c r="M298" i="1"/>
  <c r="K299" i="1"/>
  <c r="L299" i="1"/>
  <c r="M299" i="1"/>
  <c r="K300" i="1"/>
  <c r="L300" i="1"/>
  <c r="J300" i="1"/>
  <c r="M300" i="1"/>
  <c r="K301" i="1"/>
  <c r="L301" i="1"/>
  <c r="M301" i="1"/>
  <c r="K302" i="1"/>
  <c r="L302" i="1"/>
  <c r="M302" i="1"/>
  <c r="K303" i="1"/>
  <c r="L303" i="1"/>
  <c r="J303" i="1"/>
  <c r="M303" i="1"/>
  <c r="K304" i="1"/>
  <c r="L304" i="1"/>
  <c r="M304" i="1"/>
  <c r="K305" i="1"/>
  <c r="L305" i="1"/>
  <c r="M305" i="1"/>
  <c r="I292" i="1"/>
  <c r="H292" i="1"/>
  <c r="I291" i="1"/>
  <c r="H291" i="1"/>
  <c r="I289" i="1"/>
  <c r="H289" i="1"/>
  <c r="I288" i="1"/>
  <c r="H288" i="1"/>
  <c r="I286" i="1"/>
  <c r="H286" i="1"/>
  <c r="I285" i="1"/>
  <c r="H285" i="1"/>
  <c r="I283" i="1"/>
  <c r="H283" i="1"/>
  <c r="H282" i="1"/>
  <c r="K282" i="1"/>
  <c r="I282" i="1"/>
  <c r="L282" i="1"/>
  <c r="M282" i="1"/>
  <c r="K283" i="1"/>
  <c r="L283" i="1"/>
  <c r="M283" i="1"/>
  <c r="H284" i="1"/>
  <c r="K284" i="1"/>
  <c r="I284" i="1"/>
  <c r="L284" i="1"/>
  <c r="J284" i="1"/>
  <c r="M284" i="1"/>
  <c r="K285" i="1"/>
  <c r="L285" i="1"/>
  <c r="M285" i="1"/>
  <c r="K286" i="1"/>
  <c r="L286" i="1"/>
  <c r="M286" i="1"/>
  <c r="H287" i="1"/>
  <c r="K287" i="1"/>
  <c r="I287" i="1"/>
  <c r="L287" i="1"/>
  <c r="J287" i="1"/>
  <c r="M287" i="1"/>
  <c r="K288" i="1"/>
  <c r="L288" i="1"/>
  <c r="M288" i="1"/>
  <c r="K289" i="1"/>
  <c r="L289" i="1"/>
  <c r="M289" i="1"/>
  <c r="H290" i="1"/>
  <c r="K290" i="1"/>
  <c r="I290" i="1"/>
  <c r="L290" i="1"/>
  <c r="J290" i="1"/>
  <c r="M290" i="1"/>
  <c r="K291" i="1"/>
  <c r="L291" i="1"/>
  <c r="M291" i="1"/>
  <c r="K292" i="1"/>
  <c r="L292" i="1"/>
  <c r="M292" i="1"/>
  <c r="O291" i="1"/>
  <c r="P291" i="1"/>
  <c r="Q291" i="1"/>
  <c r="R291" i="1"/>
  <c r="O292" i="1"/>
  <c r="P292" i="1"/>
  <c r="Q292" i="1"/>
  <c r="R292" i="1"/>
  <c r="P290" i="1"/>
  <c r="O288" i="1"/>
  <c r="P288" i="1"/>
  <c r="Q288" i="1"/>
  <c r="R288" i="1"/>
  <c r="O289" i="1"/>
  <c r="P289" i="1"/>
  <c r="Q289" i="1"/>
  <c r="R289" i="1"/>
  <c r="P287" i="1"/>
  <c r="O285" i="1"/>
  <c r="P285" i="1"/>
  <c r="Q285" i="1"/>
  <c r="R285" i="1"/>
  <c r="O286" i="1"/>
  <c r="P286" i="1"/>
  <c r="Q286" i="1"/>
  <c r="R286" i="1"/>
  <c r="P284" i="1"/>
  <c r="O282" i="1"/>
  <c r="P282" i="1"/>
  <c r="Q282" i="1"/>
  <c r="R282" i="1"/>
  <c r="O283" i="1"/>
  <c r="P283" i="1"/>
  <c r="Q283" i="1"/>
  <c r="R283" i="1"/>
  <c r="P281" i="1"/>
  <c r="T290" i="1"/>
  <c r="U290" i="1"/>
  <c r="T291" i="1"/>
  <c r="U291" i="1"/>
  <c r="T292" i="1"/>
  <c r="U292" i="1"/>
  <c r="V292" i="1"/>
  <c r="V291" i="1"/>
  <c r="T287" i="1"/>
  <c r="U287" i="1"/>
  <c r="T288" i="1"/>
  <c r="U288" i="1"/>
  <c r="T289" i="1"/>
  <c r="U289" i="1"/>
  <c r="V289" i="1"/>
  <c r="V288" i="1"/>
  <c r="T284" i="1"/>
  <c r="U284" i="1"/>
  <c r="T285" i="1"/>
  <c r="U285" i="1"/>
  <c r="T286" i="1"/>
  <c r="U286" i="1"/>
  <c r="V286" i="1"/>
  <c r="V285" i="1"/>
  <c r="T281" i="1"/>
  <c r="H281" i="1"/>
  <c r="I281" i="1"/>
  <c r="U281" i="1"/>
  <c r="T282" i="1"/>
  <c r="U282" i="1"/>
  <c r="T283" i="1"/>
  <c r="U283" i="1"/>
  <c r="V283" i="1"/>
  <c r="V282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I279" i="1"/>
  <c r="H279" i="1"/>
  <c r="I278" i="1"/>
  <c r="H278" i="1"/>
  <c r="I276" i="1"/>
  <c r="H276" i="1"/>
  <c r="I275" i="1"/>
  <c r="H275" i="1"/>
  <c r="I272" i="1"/>
  <c r="H272" i="1"/>
  <c r="I273" i="1"/>
  <c r="H273" i="1"/>
  <c r="J241" i="1"/>
  <c r="J270" i="1"/>
  <c r="I270" i="1"/>
  <c r="H270" i="1"/>
  <c r="J269" i="1"/>
  <c r="I269" i="1"/>
  <c r="H269" i="1"/>
  <c r="K269" i="1"/>
  <c r="L269" i="1"/>
  <c r="M269" i="1"/>
  <c r="K270" i="1"/>
  <c r="L270" i="1"/>
  <c r="M270" i="1"/>
  <c r="H271" i="1"/>
  <c r="K271" i="1"/>
  <c r="I271" i="1"/>
  <c r="L271" i="1"/>
  <c r="J271" i="1"/>
  <c r="M271" i="1"/>
  <c r="K272" i="1"/>
  <c r="L272" i="1"/>
  <c r="M272" i="1"/>
  <c r="K273" i="1"/>
  <c r="L273" i="1"/>
  <c r="M273" i="1"/>
  <c r="H274" i="1"/>
  <c r="K274" i="1"/>
  <c r="I274" i="1"/>
  <c r="L274" i="1"/>
  <c r="J274" i="1"/>
  <c r="M274" i="1"/>
  <c r="K275" i="1"/>
  <c r="L275" i="1"/>
  <c r="M275" i="1"/>
  <c r="K276" i="1"/>
  <c r="L276" i="1"/>
  <c r="M276" i="1"/>
  <c r="H277" i="1"/>
  <c r="K277" i="1"/>
  <c r="I277" i="1"/>
  <c r="L277" i="1"/>
  <c r="J277" i="1"/>
  <c r="M277" i="1"/>
  <c r="K278" i="1"/>
  <c r="L278" i="1"/>
  <c r="M278" i="1"/>
  <c r="K279" i="1"/>
  <c r="L279" i="1"/>
  <c r="M279" i="1"/>
  <c r="K241" i="1"/>
  <c r="L241" i="1"/>
  <c r="M241" i="1"/>
  <c r="K242" i="1"/>
  <c r="L242" i="1"/>
  <c r="M242" i="1"/>
  <c r="K243" i="1"/>
  <c r="L243" i="1"/>
  <c r="M243" i="1"/>
  <c r="O241" i="1"/>
  <c r="Q241" i="1"/>
  <c r="R241" i="1"/>
  <c r="S241" i="1"/>
  <c r="O242" i="1"/>
  <c r="Q242" i="1"/>
  <c r="R242" i="1"/>
  <c r="S242" i="1"/>
  <c r="O243" i="1"/>
  <c r="Q243" i="1"/>
  <c r="R243" i="1"/>
  <c r="S243" i="1"/>
  <c r="O278" i="1"/>
  <c r="Q278" i="1"/>
  <c r="R278" i="1"/>
  <c r="O279" i="1"/>
  <c r="Q279" i="1"/>
  <c r="R279" i="1"/>
  <c r="O275" i="1"/>
  <c r="Q275" i="1"/>
  <c r="R275" i="1"/>
  <c r="O276" i="1"/>
  <c r="Q276" i="1"/>
  <c r="R276" i="1"/>
  <c r="O272" i="1"/>
  <c r="Q272" i="1"/>
  <c r="R272" i="1"/>
  <c r="O273" i="1"/>
  <c r="Q273" i="1"/>
  <c r="R273" i="1"/>
  <c r="O269" i="1"/>
  <c r="Q269" i="1"/>
  <c r="R269" i="1"/>
  <c r="O270" i="1"/>
  <c r="Q270" i="1"/>
  <c r="R270" i="1"/>
  <c r="U277" i="1"/>
  <c r="U278" i="1"/>
  <c r="U279" i="1"/>
  <c r="V279" i="1"/>
  <c r="S279" i="1"/>
  <c r="V278" i="1"/>
  <c r="S278" i="1"/>
  <c r="S277" i="1"/>
  <c r="U274" i="1"/>
  <c r="U275" i="1"/>
  <c r="U276" i="1"/>
  <c r="V276" i="1"/>
  <c r="S276" i="1"/>
  <c r="V275" i="1"/>
  <c r="S275" i="1"/>
  <c r="S274" i="1"/>
  <c r="U271" i="1"/>
  <c r="U272" i="1"/>
  <c r="U273" i="1"/>
  <c r="V273" i="1"/>
  <c r="S273" i="1"/>
  <c r="V272" i="1"/>
  <c r="S272" i="1"/>
  <c r="S271" i="1"/>
  <c r="H268" i="1"/>
  <c r="I268" i="1"/>
  <c r="U268" i="1"/>
  <c r="U269" i="1"/>
  <c r="U270" i="1"/>
  <c r="V270" i="1"/>
  <c r="S270" i="1"/>
  <c r="V269" i="1"/>
  <c r="S269" i="1"/>
  <c r="S268" i="1"/>
  <c r="J258" i="1"/>
  <c r="I258" i="1"/>
  <c r="H258" i="1"/>
  <c r="J257" i="1"/>
  <c r="I257" i="1"/>
  <c r="H257" i="1"/>
  <c r="J252" i="1"/>
  <c r="I252" i="1"/>
  <c r="H252" i="1"/>
  <c r="J251" i="1"/>
  <c r="I251" i="1"/>
  <c r="H251" i="1"/>
  <c r="J246" i="1"/>
  <c r="J245" i="1"/>
  <c r="J240" i="1"/>
  <c r="J239" i="1"/>
  <c r="J215" i="1"/>
  <c r="J214" i="1"/>
  <c r="K239" i="1"/>
  <c r="L239" i="1"/>
  <c r="M239" i="1"/>
  <c r="K240" i="1"/>
  <c r="L240" i="1"/>
  <c r="M240" i="1"/>
  <c r="K244" i="1"/>
  <c r="L244" i="1"/>
  <c r="J244" i="1"/>
  <c r="M244" i="1"/>
  <c r="K245" i="1"/>
  <c r="L245" i="1"/>
  <c r="M245" i="1"/>
  <c r="K246" i="1"/>
  <c r="L246" i="1"/>
  <c r="M246" i="1"/>
  <c r="H250" i="1"/>
  <c r="K250" i="1"/>
  <c r="I250" i="1"/>
  <c r="L250" i="1"/>
  <c r="J250" i="1"/>
  <c r="M250" i="1"/>
  <c r="K251" i="1"/>
  <c r="L251" i="1"/>
  <c r="M251" i="1"/>
  <c r="K252" i="1"/>
  <c r="L252" i="1"/>
  <c r="M252" i="1"/>
  <c r="H256" i="1"/>
  <c r="K256" i="1"/>
  <c r="I256" i="1"/>
  <c r="L256" i="1"/>
  <c r="J256" i="1"/>
  <c r="M256" i="1"/>
  <c r="K257" i="1"/>
  <c r="L257" i="1"/>
  <c r="M257" i="1"/>
  <c r="K258" i="1"/>
  <c r="L258" i="1"/>
  <c r="M258" i="1"/>
  <c r="K214" i="1"/>
  <c r="L214" i="1"/>
  <c r="M214" i="1"/>
  <c r="K215" i="1"/>
  <c r="L215" i="1"/>
  <c r="M215" i="1"/>
  <c r="P257" i="1"/>
  <c r="T257" i="1"/>
  <c r="P256" i="1"/>
  <c r="T256" i="1"/>
  <c r="P251" i="1"/>
  <c r="T251" i="1"/>
  <c r="P252" i="1"/>
  <c r="T252" i="1"/>
  <c r="P250" i="1"/>
  <c r="T250" i="1"/>
  <c r="U256" i="1"/>
  <c r="U257" i="1"/>
  <c r="U258" i="1"/>
  <c r="V258" i="1"/>
  <c r="S258" i="1"/>
  <c r="V257" i="1"/>
  <c r="S257" i="1"/>
  <c r="S256" i="1"/>
  <c r="U250" i="1"/>
  <c r="U251" i="1"/>
  <c r="U252" i="1"/>
  <c r="V252" i="1"/>
  <c r="S252" i="1"/>
  <c r="V251" i="1"/>
  <c r="S251" i="1"/>
  <c r="S250" i="1"/>
  <c r="S246" i="1"/>
  <c r="S245" i="1"/>
  <c r="S244" i="1"/>
  <c r="S240" i="1"/>
  <c r="S239" i="1"/>
  <c r="S238" i="1"/>
  <c r="O257" i="1"/>
  <c r="Q257" i="1"/>
  <c r="R257" i="1"/>
  <c r="O258" i="1"/>
  <c r="Q258" i="1"/>
  <c r="R258" i="1"/>
  <c r="O251" i="1"/>
  <c r="Q251" i="1"/>
  <c r="R251" i="1"/>
  <c r="O252" i="1"/>
  <c r="Q252" i="1"/>
  <c r="R252" i="1"/>
  <c r="O245" i="1"/>
  <c r="Q245" i="1"/>
  <c r="R245" i="1"/>
  <c r="O246" i="1"/>
  <c r="Q246" i="1"/>
  <c r="R246" i="1"/>
  <c r="O239" i="1"/>
  <c r="Q239" i="1"/>
  <c r="R239" i="1"/>
  <c r="O240" i="1"/>
  <c r="Q240" i="1"/>
  <c r="R240" i="1"/>
  <c r="O232" i="1"/>
  <c r="Q232" i="1"/>
  <c r="R232" i="1"/>
  <c r="O233" i="1"/>
  <c r="Q233" i="1"/>
  <c r="R233" i="1"/>
  <c r="O226" i="1"/>
  <c r="Q226" i="1"/>
  <c r="R226" i="1"/>
  <c r="O227" i="1"/>
  <c r="Q227" i="1"/>
  <c r="R227" i="1"/>
  <c r="O220" i="1"/>
  <c r="Q220" i="1"/>
  <c r="R220" i="1"/>
  <c r="O221" i="1"/>
  <c r="Q221" i="1"/>
  <c r="R221" i="1"/>
  <c r="O214" i="1"/>
  <c r="Q214" i="1"/>
  <c r="R214" i="1"/>
  <c r="O215" i="1"/>
  <c r="Q215" i="1"/>
  <c r="R215" i="1"/>
  <c r="S233" i="1"/>
  <c r="S232" i="1"/>
  <c r="S231" i="1"/>
  <c r="S227" i="1"/>
  <c r="S226" i="1"/>
  <c r="S225" i="1"/>
  <c r="S221" i="1"/>
  <c r="S220" i="1"/>
  <c r="S219" i="1"/>
  <c r="S215" i="1"/>
  <c r="S214" i="1"/>
  <c r="S213" i="1"/>
  <c r="H28" i="1"/>
  <c r="I28" i="1"/>
  <c r="P29" i="1"/>
  <c r="T29" i="1"/>
  <c r="H29" i="1"/>
  <c r="I29" i="1"/>
  <c r="U29" i="1"/>
  <c r="P30" i="1"/>
  <c r="T30" i="1"/>
  <c r="H30" i="1"/>
  <c r="I30" i="1"/>
  <c r="U30" i="1"/>
  <c r="X101" i="1"/>
  <c r="X100" i="1"/>
  <c r="AA98" i="1"/>
  <c r="Z98" i="1"/>
  <c r="Y98" i="1"/>
  <c r="V29" i="1"/>
  <c r="X98" i="1"/>
  <c r="AA97" i="1"/>
  <c r="Z97" i="1"/>
  <c r="Y97" i="1"/>
  <c r="X97" i="1"/>
  <c r="J208" i="1"/>
  <c r="J207" i="1"/>
  <c r="J202" i="1"/>
  <c r="J201" i="1"/>
  <c r="J196" i="1"/>
  <c r="J195" i="1"/>
  <c r="J190" i="1"/>
  <c r="J189" i="1"/>
  <c r="J166" i="1"/>
  <c r="J165" i="1"/>
  <c r="J160" i="1"/>
  <c r="J159" i="1"/>
  <c r="J154" i="1"/>
  <c r="J153" i="1"/>
  <c r="J172" i="1"/>
  <c r="J171" i="1"/>
  <c r="P23" i="1"/>
  <c r="T23" i="1"/>
  <c r="J141" i="1"/>
  <c r="J140" i="1"/>
  <c r="O207" i="1"/>
  <c r="Q207" i="1"/>
  <c r="R207" i="1"/>
  <c r="O208" i="1"/>
  <c r="Q208" i="1"/>
  <c r="R208" i="1"/>
  <c r="O201" i="1"/>
  <c r="Q201" i="1"/>
  <c r="R201" i="1"/>
  <c r="O202" i="1"/>
  <c r="Q202" i="1"/>
  <c r="R202" i="1"/>
  <c r="O195" i="1"/>
  <c r="Q195" i="1"/>
  <c r="R195" i="1"/>
  <c r="O196" i="1"/>
  <c r="Q196" i="1"/>
  <c r="R196" i="1"/>
  <c r="O189" i="1"/>
  <c r="Q189" i="1"/>
  <c r="R189" i="1"/>
  <c r="O190" i="1"/>
  <c r="Q190" i="1"/>
  <c r="R190" i="1"/>
  <c r="K189" i="1"/>
  <c r="L189" i="1"/>
  <c r="M189" i="1"/>
  <c r="K190" i="1"/>
  <c r="L190" i="1"/>
  <c r="M190" i="1"/>
  <c r="K194" i="1"/>
  <c r="L194" i="1"/>
  <c r="J194" i="1"/>
  <c r="M194" i="1"/>
  <c r="K195" i="1"/>
  <c r="L195" i="1"/>
  <c r="M195" i="1"/>
  <c r="K196" i="1"/>
  <c r="L196" i="1"/>
  <c r="M196" i="1"/>
  <c r="K200" i="1"/>
  <c r="L200" i="1"/>
  <c r="J200" i="1"/>
  <c r="M200" i="1"/>
  <c r="K201" i="1"/>
  <c r="L201" i="1"/>
  <c r="M201" i="1"/>
  <c r="K202" i="1"/>
  <c r="L202" i="1"/>
  <c r="M202" i="1"/>
  <c r="K206" i="1"/>
  <c r="L206" i="1"/>
  <c r="J206" i="1"/>
  <c r="M206" i="1"/>
  <c r="K207" i="1"/>
  <c r="L207" i="1"/>
  <c r="M207" i="1"/>
  <c r="K208" i="1"/>
  <c r="L208" i="1"/>
  <c r="M208" i="1"/>
  <c r="S208" i="1"/>
  <c r="S207" i="1"/>
  <c r="S206" i="1"/>
  <c r="S202" i="1"/>
  <c r="S201" i="1"/>
  <c r="S200" i="1"/>
  <c r="S196" i="1"/>
  <c r="S195" i="1"/>
  <c r="S194" i="1"/>
  <c r="S190" i="1"/>
  <c r="S189" i="1"/>
  <c r="S188" i="1"/>
  <c r="H185" i="1"/>
  <c r="K185" i="1"/>
  <c r="I185" i="1"/>
  <c r="L185" i="1"/>
  <c r="J185" i="1"/>
  <c r="M185" i="1"/>
  <c r="P185" i="1"/>
  <c r="P186" i="1"/>
  <c r="T186" i="1"/>
  <c r="H186" i="1"/>
  <c r="I186" i="1"/>
  <c r="S186" i="1"/>
  <c r="U186" i="1"/>
  <c r="T185" i="1"/>
  <c r="S185" i="1"/>
  <c r="U185" i="1"/>
  <c r="P184" i="1"/>
  <c r="T184" i="1"/>
  <c r="H184" i="1"/>
  <c r="I184" i="1"/>
  <c r="U184" i="1"/>
  <c r="S184" i="1"/>
  <c r="J135" i="1"/>
  <c r="J134" i="1"/>
  <c r="O171" i="1"/>
  <c r="Q171" i="1"/>
  <c r="R171" i="1"/>
  <c r="S171" i="1"/>
  <c r="O172" i="1"/>
  <c r="Q172" i="1"/>
  <c r="R172" i="1"/>
  <c r="S172" i="1"/>
  <c r="O165" i="1"/>
  <c r="Q165" i="1"/>
  <c r="R165" i="1"/>
  <c r="S165" i="1"/>
  <c r="O166" i="1"/>
  <c r="Q166" i="1"/>
  <c r="R166" i="1"/>
  <c r="S166" i="1"/>
  <c r="O159" i="1"/>
  <c r="Q159" i="1"/>
  <c r="R159" i="1"/>
  <c r="S159" i="1"/>
  <c r="O160" i="1"/>
  <c r="Q160" i="1"/>
  <c r="R160" i="1"/>
  <c r="S160" i="1"/>
  <c r="O153" i="1"/>
  <c r="Q153" i="1"/>
  <c r="R153" i="1"/>
  <c r="S153" i="1"/>
  <c r="O154" i="1"/>
  <c r="Q154" i="1"/>
  <c r="R154" i="1"/>
  <c r="S154" i="1"/>
  <c r="K171" i="1"/>
  <c r="L171" i="1"/>
  <c r="M171" i="1"/>
  <c r="K172" i="1"/>
  <c r="L172" i="1"/>
  <c r="M172" i="1"/>
  <c r="K165" i="1"/>
  <c r="L165" i="1"/>
  <c r="M165" i="1"/>
  <c r="K166" i="1"/>
  <c r="L166" i="1"/>
  <c r="M166" i="1"/>
  <c r="K159" i="1"/>
  <c r="L159" i="1"/>
  <c r="M159" i="1"/>
  <c r="K160" i="1"/>
  <c r="L160" i="1"/>
  <c r="M160" i="1"/>
  <c r="K153" i="1"/>
  <c r="L153" i="1"/>
  <c r="M153" i="1"/>
  <c r="K154" i="1"/>
  <c r="L154" i="1"/>
  <c r="M154" i="1"/>
  <c r="K140" i="1"/>
  <c r="L140" i="1"/>
  <c r="M140" i="1"/>
  <c r="K141" i="1"/>
  <c r="L141" i="1"/>
  <c r="M141" i="1"/>
  <c r="K134" i="1"/>
  <c r="L134" i="1"/>
  <c r="M134" i="1"/>
  <c r="K135" i="1"/>
  <c r="L135" i="1"/>
  <c r="M135" i="1"/>
  <c r="O140" i="1"/>
  <c r="Q140" i="1"/>
  <c r="R140" i="1"/>
  <c r="S140" i="1"/>
  <c r="O141" i="1"/>
  <c r="Q141" i="1"/>
  <c r="R141" i="1"/>
  <c r="S141" i="1"/>
  <c r="O134" i="1"/>
  <c r="Q134" i="1"/>
  <c r="R134" i="1"/>
  <c r="S134" i="1"/>
  <c r="O135" i="1"/>
  <c r="Q135" i="1"/>
  <c r="R135" i="1"/>
  <c r="S135" i="1"/>
  <c r="J129" i="1"/>
  <c r="J128" i="1"/>
  <c r="O128" i="1"/>
  <c r="Q128" i="1"/>
  <c r="R128" i="1"/>
  <c r="S128" i="1"/>
  <c r="O129" i="1"/>
  <c r="Q129" i="1"/>
  <c r="R129" i="1"/>
  <c r="S129" i="1"/>
  <c r="K128" i="1"/>
  <c r="L128" i="1"/>
  <c r="M128" i="1"/>
  <c r="K129" i="1"/>
  <c r="L129" i="1"/>
  <c r="M129" i="1"/>
  <c r="J123" i="1"/>
  <c r="J122" i="1"/>
  <c r="O122" i="1"/>
  <c r="Q122" i="1"/>
  <c r="R122" i="1"/>
  <c r="S122" i="1"/>
  <c r="O123" i="1"/>
  <c r="Q123" i="1"/>
  <c r="R123" i="1"/>
  <c r="S123" i="1"/>
  <c r="K122" i="1"/>
  <c r="L122" i="1"/>
  <c r="M122" i="1"/>
  <c r="K123" i="1"/>
  <c r="L123" i="1"/>
  <c r="M123" i="1"/>
  <c r="V30" i="1"/>
  <c r="J110" i="1"/>
  <c r="J109" i="1"/>
  <c r="J104" i="1"/>
  <c r="J103" i="1"/>
  <c r="O109" i="1"/>
  <c r="Q109" i="1"/>
  <c r="R109" i="1"/>
  <c r="S109" i="1"/>
  <c r="O110" i="1"/>
  <c r="Q110" i="1"/>
  <c r="R110" i="1"/>
  <c r="S110" i="1"/>
  <c r="O103" i="1"/>
  <c r="Q103" i="1"/>
  <c r="R103" i="1"/>
  <c r="S103" i="1"/>
  <c r="O104" i="1"/>
  <c r="Q104" i="1"/>
  <c r="R104" i="1"/>
  <c r="S104" i="1"/>
  <c r="K109" i="1"/>
  <c r="L109" i="1"/>
  <c r="M109" i="1"/>
  <c r="K110" i="1"/>
  <c r="L110" i="1"/>
  <c r="M110" i="1"/>
  <c r="K103" i="1"/>
  <c r="L103" i="1"/>
  <c r="M103" i="1"/>
  <c r="K104" i="1"/>
  <c r="L104" i="1"/>
  <c r="M104" i="1"/>
  <c r="J98" i="1"/>
  <c r="J97" i="1"/>
  <c r="K97" i="1"/>
  <c r="L97" i="1"/>
  <c r="M97" i="1"/>
  <c r="K98" i="1"/>
  <c r="L98" i="1"/>
  <c r="M98" i="1"/>
  <c r="O97" i="1"/>
  <c r="Q97" i="1"/>
  <c r="R97" i="1"/>
  <c r="S97" i="1"/>
  <c r="O98" i="1"/>
  <c r="Q98" i="1"/>
  <c r="R98" i="1"/>
  <c r="S98" i="1"/>
  <c r="J92" i="1"/>
  <c r="J91" i="1"/>
  <c r="O91" i="1"/>
  <c r="Q91" i="1"/>
  <c r="R91" i="1"/>
  <c r="S91" i="1"/>
  <c r="O92" i="1"/>
  <c r="Q92" i="1"/>
  <c r="R92" i="1"/>
  <c r="S92" i="1"/>
  <c r="K91" i="1"/>
  <c r="L91" i="1"/>
  <c r="M91" i="1"/>
  <c r="K92" i="1"/>
  <c r="L92" i="1"/>
  <c r="M92" i="1"/>
  <c r="J79" i="1"/>
  <c r="K79" i="1"/>
  <c r="L79" i="1"/>
  <c r="M79" i="1"/>
  <c r="J73" i="1"/>
  <c r="O79" i="1"/>
  <c r="Q79" i="1"/>
  <c r="R79" i="1"/>
  <c r="S79" i="1"/>
  <c r="O78" i="1"/>
  <c r="Q78" i="1"/>
  <c r="R78" i="1"/>
  <c r="S78" i="1"/>
  <c r="J72" i="1"/>
  <c r="K72" i="1"/>
  <c r="L72" i="1"/>
  <c r="M72" i="1"/>
  <c r="K73" i="1"/>
  <c r="L73" i="1"/>
  <c r="M73" i="1"/>
  <c r="O72" i="1"/>
  <c r="Q72" i="1"/>
  <c r="R72" i="1"/>
  <c r="S72" i="1"/>
  <c r="O73" i="1"/>
  <c r="Q73" i="1"/>
  <c r="R73" i="1"/>
  <c r="S73" i="1"/>
  <c r="J67" i="1"/>
  <c r="J66" i="1"/>
  <c r="K66" i="1"/>
  <c r="L66" i="1"/>
  <c r="M66" i="1"/>
  <c r="K67" i="1"/>
  <c r="L67" i="1"/>
  <c r="M67" i="1"/>
  <c r="O66" i="1"/>
  <c r="Q66" i="1"/>
  <c r="R66" i="1"/>
  <c r="S66" i="1"/>
  <c r="O67" i="1"/>
  <c r="Q67" i="1"/>
  <c r="R67" i="1"/>
  <c r="S67" i="1"/>
  <c r="J61" i="1"/>
  <c r="K61" i="1"/>
  <c r="L61" i="1"/>
  <c r="M61" i="1"/>
  <c r="J60" i="1"/>
  <c r="K60" i="1"/>
  <c r="L60" i="1"/>
  <c r="M60" i="1"/>
  <c r="O60" i="1"/>
  <c r="Q60" i="1"/>
  <c r="R60" i="1"/>
  <c r="S60" i="1"/>
  <c r="O61" i="1"/>
  <c r="Q61" i="1"/>
  <c r="R61" i="1"/>
  <c r="S61" i="1"/>
  <c r="O41" i="1"/>
  <c r="Q41" i="1"/>
  <c r="R41" i="1"/>
  <c r="S41" i="1"/>
  <c r="O42" i="1"/>
  <c r="Q42" i="1"/>
  <c r="R42" i="1"/>
  <c r="S42" i="1"/>
  <c r="K41" i="1"/>
  <c r="L41" i="1"/>
  <c r="J41" i="1"/>
  <c r="M41" i="1"/>
  <c r="K42" i="1"/>
  <c r="L42" i="1"/>
  <c r="J42" i="1"/>
  <c r="M42" i="1"/>
  <c r="K35" i="1"/>
  <c r="L35" i="1"/>
  <c r="J35" i="1"/>
  <c r="M35" i="1"/>
  <c r="K36" i="1"/>
  <c r="L36" i="1"/>
  <c r="J36" i="1"/>
  <c r="M36" i="1"/>
  <c r="O35" i="1"/>
  <c r="Q35" i="1"/>
  <c r="R35" i="1"/>
  <c r="S35" i="1"/>
  <c r="O36" i="1"/>
  <c r="Q36" i="1"/>
  <c r="R36" i="1"/>
  <c r="S36" i="1"/>
  <c r="J30" i="1"/>
  <c r="J29" i="1"/>
  <c r="S28" i="1"/>
  <c r="Q28" i="1"/>
  <c r="R28" i="1"/>
  <c r="O29" i="1"/>
  <c r="Q29" i="1"/>
  <c r="R29" i="1"/>
  <c r="S29" i="1"/>
  <c r="O30" i="1"/>
  <c r="Q30" i="1"/>
  <c r="R30" i="1"/>
  <c r="S30" i="1"/>
  <c r="K29" i="1"/>
  <c r="L29" i="1"/>
  <c r="M29" i="1"/>
  <c r="K30" i="1"/>
  <c r="L30" i="1"/>
  <c r="M30" i="1"/>
  <c r="O48" i="1"/>
  <c r="Q48" i="1"/>
  <c r="R48" i="1"/>
  <c r="S48" i="1"/>
  <c r="K48" i="1"/>
  <c r="L48" i="1"/>
  <c r="J48" i="1"/>
  <c r="M48" i="1"/>
  <c r="K78" i="1"/>
  <c r="L78" i="1"/>
  <c r="J78" i="1"/>
  <c r="M78" i="1"/>
  <c r="Q47" i="1"/>
  <c r="R47" i="1"/>
  <c r="O47" i="1"/>
  <c r="S47" i="1"/>
  <c r="K47" i="1"/>
  <c r="L47" i="1"/>
  <c r="J47" i="1"/>
  <c r="M47" i="1"/>
  <c r="O139" i="1"/>
  <c r="Q139" i="1"/>
  <c r="R139" i="1"/>
  <c r="S139" i="1"/>
  <c r="O170" i="1"/>
  <c r="Q170" i="1"/>
  <c r="R170" i="1"/>
  <c r="S170" i="1"/>
  <c r="K170" i="1"/>
  <c r="L170" i="1"/>
  <c r="J170" i="1"/>
  <c r="M170" i="1"/>
  <c r="O303" i="1"/>
  <c r="Q303" i="1"/>
  <c r="R303" i="1"/>
  <c r="O277" i="1"/>
  <c r="Q277" i="1"/>
  <c r="R277" i="1"/>
  <c r="O290" i="1"/>
  <c r="Q290" i="1"/>
  <c r="R290" i="1"/>
  <c r="J294" i="1"/>
  <c r="M294" i="1"/>
  <c r="J281" i="1"/>
  <c r="M281" i="1"/>
  <c r="O256" i="1"/>
  <c r="Q256" i="1"/>
  <c r="R256" i="1"/>
  <c r="K139" i="1"/>
  <c r="L139" i="1"/>
  <c r="J139" i="1"/>
  <c r="M139" i="1"/>
  <c r="O231" i="1"/>
  <c r="Q231" i="1"/>
  <c r="R231" i="1"/>
  <c r="J238" i="1"/>
  <c r="M238" i="1"/>
  <c r="J213" i="1"/>
  <c r="M213" i="1"/>
  <c r="O206" i="1"/>
  <c r="Q206" i="1"/>
  <c r="R206" i="1"/>
  <c r="O108" i="1"/>
  <c r="Q108" i="1"/>
  <c r="R108" i="1"/>
  <c r="S108" i="1"/>
  <c r="K108" i="1"/>
  <c r="L108" i="1"/>
  <c r="J108" i="1"/>
  <c r="M108" i="1"/>
  <c r="O77" i="1"/>
  <c r="Q77" i="1"/>
  <c r="R77" i="1"/>
  <c r="S77" i="1"/>
  <c r="K77" i="1"/>
  <c r="L77" i="1"/>
  <c r="J77" i="1"/>
  <c r="M77" i="1"/>
  <c r="S46" i="1"/>
  <c r="Q46" i="1"/>
  <c r="R46" i="1"/>
  <c r="O46" i="1"/>
  <c r="K46" i="1"/>
  <c r="L46" i="1"/>
  <c r="J46" i="1"/>
  <c r="M46" i="1"/>
  <c r="J12" i="1"/>
  <c r="J13" i="1"/>
  <c r="J14" i="1"/>
  <c r="J15" i="1"/>
  <c r="J11" i="1"/>
  <c r="I4" i="1"/>
  <c r="I5" i="1"/>
  <c r="I6" i="1"/>
  <c r="I7" i="1"/>
  <c r="I3" i="1"/>
  <c r="P24" i="1"/>
  <c r="T24" i="1"/>
  <c r="H24" i="1"/>
  <c r="I24" i="1"/>
  <c r="U24" i="1"/>
  <c r="P25" i="1"/>
  <c r="T25" i="1"/>
  <c r="H25" i="1"/>
  <c r="I25" i="1"/>
  <c r="U25" i="1"/>
  <c r="H23" i="1"/>
  <c r="I23" i="1"/>
  <c r="U23" i="1"/>
  <c r="S24" i="1"/>
  <c r="S25" i="1"/>
  <c r="S34" i="1"/>
  <c r="S40" i="1"/>
  <c r="S59" i="1"/>
  <c r="S65" i="1"/>
  <c r="S71" i="1"/>
  <c r="S90" i="1"/>
  <c r="S96" i="1"/>
  <c r="S102" i="1"/>
  <c r="S121" i="1"/>
  <c r="S127" i="1"/>
  <c r="S133" i="1"/>
  <c r="S152" i="1"/>
  <c r="S158" i="1"/>
  <c r="S164" i="1"/>
  <c r="S23" i="1"/>
  <c r="J164" i="1"/>
  <c r="J158" i="1"/>
  <c r="J152" i="1"/>
  <c r="O158" i="1"/>
  <c r="Q158" i="1"/>
  <c r="R158" i="1"/>
  <c r="O164" i="1"/>
  <c r="Q164" i="1"/>
  <c r="R164" i="1"/>
  <c r="Q152" i="1"/>
  <c r="O152" i="1"/>
  <c r="R152" i="1"/>
  <c r="M158" i="1"/>
  <c r="M164" i="1"/>
  <c r="M152" i="1"/>
  <c r="K152" i="1"/>
  <c r="L152" i="1"/>
  <c r="K158" i="1"/>
  <c r="L158" i="1"/>
  <c r="K164" i="1"/>
  <c r="L164" i="1"/>
  <c r="K127" i="1"/>
  <c r="L127" i="1"/>
  <c r="J127" i="1"/>
  <c r="M127" i="1"/>
  <c r="K133" i="1"/>
  <c r="L133" i="1"/>
  <c r="J133" i="1"/>
  <c r="M133" i="1"/>
  <c r="O121" i="1"/>
  <c r="O297" i="1"/>
  <c r="Q297" i="1"/>
  <c r="R297" i="1"/>
  <c r="O300" i="1"/>
  <c r="Q300" i="1"/>
  <c r="R300" i="1"/>
  <c r="Q294" i="1"/>
  <c r="O294" i="1"/>
  <c r="R294" i="1"/>
  <c r="O284" i="1"/>
  <c r="Q284" i="1"/>
  <c r="R284" i="1"/>
  <c r="O287" i="1"/>
  <c r="Q287" i="1"/>
  <c r="R287" i="1"/>
  <c r="Q281" i="1"/>
  <c r="O281" i="1"/>
  <c r="R281" i="1"/>
  <c r="K294" i="1"/>
  <c r="L294" i="1"/>
  <c r="L281" i="1"/>
  <c r="K281" i="1"/>
  <c r="O127" i="1"/>
  <c r="Q127" i="1"/>
  <c r="R127" i="1"/>
  <c r="O133" i="1"/>
  <c r="Q133" i="1"/>
  <c r="R133" i="1"/>
  <c r="Q121" i="1"/>
  <c r="K121" i="1"/>
  <c r="L121" i="1"/>
  <c r="J121" i="1"/>
  <c r="M121" i="1"/>
  <c r="R121" i="1"/>
  <c r="O244" i="1"/>
  <c r="Q244" i="1"/>
  <c r="R244" i="1"/>
  <c r="O250" i="1"/>
  <c r="Q250" i="1"/>
  <c r="R250" i="1"/>
  <c r="Q238" i="1"/>
  <c r="O238" i="1"/>
  <c r="R238" i="1"/>
  <c r="O225" i="1"/>
  <c r="Q225" i="1"/>
  <c r="R225" i="1"/>
  <c r="O219" i="1"/>
  <c r="Q219" i="1"/>
  <c r="R219" i="1"/>
  <c r="Q213" i="1"/>
  <c r="O213" i="1"/>
  <c r="R213" i="1"/>
  <c r="K238" i="1"/>
  <c r="L238" i="1"/>
  <c r="L213" i="1"/>
  <c r="K213" i="1"/>
  <c r="J90" i="1"/>
  <c r="O90" i="1"/>
  <c r="Q90" i="1"/>
  <c r="R90" i="1"/>
  <c r="O96" i="1"/>
  <c r="Q96" i="1"/>
  <c r="R96" i="1"/>
  <c r="O102" i="1"/>
  <c r="J96" i="1"/>
  <c r="Q102" i="1"/>
  <c r="R102" i="1"/>
  <c r="J102" i="1"/>
  <c r="K96" i="1"/>
  <c r="L96" i="1"/>
  <c r="M96" i="1"/>
  <c r="K102" i="1"/>
  <c r="L102" i="1"/>
  <c r="M102" i="1"/>
  <c r="M90" i="1"/>
  <c r="L90" i="1"/>
  <c r="K90" i="1"/>
  <c r="O71" i="1"/>
  <c r="Q71" i="1"/>
  <c r="R71" i="1"/>
  <c r="K71" i="1"/>
  <c r="L71" i="1"/>
  <c r="J71" i="1"/>
  <c r="M71" i="1"/>
  <c r="O65" i="1"/>
  <c r="Q65" i="1"/>
  <c r="R65" i="1"/>
  <c r="J65" i="1"/>
  <c r="M65" i="1"/>
  <c r="L65" i="1"/>
  <c r="K65" i="1"/>
  <c r="Q59" i="1"/>
  <c r="R59" i="1"/>
  <c r="O59" i="1"/>
  <c r="J59" i="1"/>
  <c r="M59" i="1"/>
  <c r="L59" i="1"/>
  <c r="K59" i="1"/>
  <c r="Q274" i="1"/>
  <c r="R274" i="1"/>
  <c r="Q24" i="1"/>
  <c r="R24" i="1"/>
  <c r="Q25" i="1"/>
  <c r="R25" i="1"/>
  <c r="Q34" i="1"/>
  <c r="R34" i="1"/>
  <c r="Q40" i="1"/>
  <c r="R40" i="1"/>
  <c r="Q184" i="1"/>
  <c r="R184" i="1"/>
  <c r="Q185" i="1"/>
  <c r="R185" i="1"/>
  <c r="Q186" i="1"/>
  <c r="R186" i="1"/>
  <c r="Q188" i="1"/>
  <c r="R188" i="1"/>
  <c r="Q194" i="1"/>
  <c r="R194" i="1"/>
  <c r="Q200" i="1"/>
  <c r="R200" i="1"/>
  <c r="P263" i="1"/>
  <c r="Q263" i="1"/>
  <c r="H263" i="1"/>
  <c r="I263" i="1"/>
  <c r="R263" i="1"/>
  <c r="P264" i="1"/>
  <c r="Q264" i="1"/>
  <c r="H264" i="1"/>
  <c r="I264" i="1"/>
  <c r="R264" i="1"/>
  <c r="P265" i="1"/>
  <c r="Q265" i="1"/>
  <c r="H265" i="1"/>
  <c r="I265" i="1"/>
  <c r="R265" i="1"/>
  <c r="Q268" i="1"/>
  <c r="R268" i="1"/>
  <c r="Q271" i="1"/>
  <c r="R271" i="1"/>
  <c r="Q23" i="1"/>
  <c r="R23" i="1"/>
  <c r="O264" i="1"/>
  <c r="O265" i="1"/>
  <c r="O268" i="1"/>
  <c r="O271" i="1"/>
  <c r="O274" i="1"/>
  <c r="O263" i="1"/>
  <c r="O185" i="1"/>
  <c r="O186" i="1"/>
  <c r="O188" i="1"/>
  <c r="O194" i="1"/>
  <c r="O200" i="1"/>
  <c r="O184" i="1"/>
  <c r="O40" i="1"/>
  <c r="O24" i="1"/>
  <c r="O25" i="1"/>
  <c r="O28" i="1"/>
  <c r="O34" i="1"/>
  <c r="O23" i="1"/>
  <c r="K264" i="1"/>
  <c r="L264" i="1"/>
  <c r="J264" i="1"/>
  <c r="M264" i="1"/>
  <c r="K265" i="1"/>
  <c r="L265" i="1"/>
  <c r="J265" i="1"/>
  <c r="M265" i="1"/>
  <c r="K268" i="1"/>
  <c r="L268" i="1"/>
  <c r="J268" i="1"/>
  <c r="M268" i="1"/>
  <c r="J263" i="1"/>
  <c r="M263" i="1"/>
  <c r="L263" i="1"/>
  <c r="K263" i="1"/>
  <c r="K186" i="1"/>
  <c r="L186" i="1"/>
  <c r="J186" i="1"/>
  <c r="M186" i="1"/>
  <c r="K188" i="1"/>
  <c r="L188" i="1"/>
  <c r="J188" i="1"/>
  <c r="M188" i="1"/>
  <c r="J184" i="1"/>
  <c r="M184" i="1"/>
  <c r="L184" i="1"/>
  <c r="K184" i="1"/>
  <c r="K34" i="1"/>
  <c r="L34" i="1"/>
  <c r="J34" i="1"/>
  <c r="M34" i="1"/>
  <c r="K40" i="1"/>
  <c r="L40" i="1"/>
  <c r="J40" i="1"/>
  <c r="M40" i="1"/>
  <c r="J28" i="1"/>
  <c r="M28" i="1"/>
  <c r="L28" i="1"/>
  <c r="K28" i="1"/>
  <c r="K24" i="1"/>
  <c r="L24" i="1"/>
  <c r="J24" i="1"/>
  <c r="M24" i="1"/>
  <c r="K25" i="1"/>
  <c r="L25" i="1"/>
  <c r="J25" i="1"/>
  <c r="M25" i="1"/>
  <c r="J23" i="1"/>
  <c r="M23" i="1"/>
  <c r="L23" i="1"/>
  <c r="K23" i="1"/>
</calcChain>
</file>

<file path=xl/sharedStrings.xml><?xml version="1.0" encoding="utf-8"?>
<sst xmlns="http://schemas.openxmlformats.org/spreadsheetml/2006/main" count="35" uniqueCount="25">
  <si>
    <t>FeNiAl</t>
  </si>
  <si>
    <t>B2 NiAl</t>
  </si>
  <si>
    <t>&lt;100&gt; interface</t>
  </si>
  <si>
    <t>&lt;110&gt; interface</t>
  </si>
  <si>
    <t>nve</t>
  </si>
  <si>
    <t>nph iso</t>
  </si>
  <si>
    <t>&lt;111&gt; interface</t>
  </si>
  <si>
    <t>bcc fe</t>
  </si>
  <si>
    <t>x</t>
  </si>
  <si>
    <t>y</t>
  </si>
  <si>
    <t>z</t>
  </si>
  <si>
    <t>fcc al</t>
  </si>
  <si>
    <t>fcc ni</t>
  </si>
  <si>
    <t>E/atom</t>
  </si>
  <si>
    <t>Eform</t>
  </si>
  <si>
    <t>Eform/atom</t>
  </si>
  <si>
    <t>Ef/at/Area</t>
  </si>
  <si>
    <t>nph iso 10x10x60</t>
  </si>
  <si>
    <t>nph iso 10x10x50</t>
  </si>
  <si>
    <t>nph iso 10x10x100</t>
  </si>
  <si>
    <t>nph iso 20x20x50</t>
  </si>
  <si>
    <t>nph iso 20x20x100</t>
  </si>
  <si>
    <t>Ef/area</t>
  </si>
  <si>
    <t>E_f-E_B2</t>
  </si>
  <si>
    <t>(E_f-E_B2)/Area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</si>
</sst>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99.56507000000001</c:v>
                </c:pt>
                <c:pt idx="1">
                  <c:v>199.48273</c:v>
                </c:pt>
                <c:pt idx="2">
                  <c:v>298.25349</c:v>
                </c:pt>
                <c:pt idx="3">
                  <c:v>401.62708</c:v>
                </c:pt>
                <c:pt idx="4">
                  <c:v>499.7905</c:v>
                </c:pt>
                <c:pt idx="5">
                  <c:v>596.6171000000001</c:v>
                </c:pt>
              </c:numCache>
            </c:numRef>
          </c:xVal>
          <c:yVal>
            <c:numRef>
              <c:f>Sheet1!$I$11:$I$16</c:f>
              <c:numCache>
                <c:formatCode>General</c:formatCode>
                <c:ptCount val="6"/>
                <c:pt idx="0">
                  <c:v>-0.60594567</c:v>
                </c:pt>
                <c:pt idx="1">
                  <c:v>-0.605678907500001</c:v>
                </c:pt>
                <c:pt idx="2">
                  <c:v>-0.6064343525</c:v>
                </c:pt>
                <c:pt idx="3">
                  <c:v>-0.6089282075</c:v>
                </c:pt>
                <c:pt idx="4">
                  <c:v>-0.61249331125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94168"/>
        <c:axId val="-2069991096"/>
      </c:scatterChart>
      <c:valAx>
        <c:axId val="-20699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991096"/>
        <c:crosses val="autoZero"/>
        <c:crossBetween val="midCat"/>
      </c:valAx>
      <c:valAx>
        <c:axId val="-2069991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999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(Sheet1!$V$48,Sheet1!$V$79,Sheet1!$V$110,Sheet1!$V$141,Sheet1!$V$172)</c:f>
                <c:numCache>
                  <c:formatCode>General</c:formatCode>
                  <c:ptCount val="5"/>
                  <c:pt idx="0">
                    <c:v>0.00315982459557403</c:v>
                  </c:pt>
                  <c:pt idx="1">
                    <c:v>0.00287058802645013</c:v>
                  </c:pt>
                  <c:pt idx="2">
                    <c:v>0.00325570595600787</c:v>
                  </c:pt>
                  <c:pt idx="3">
                    <c:v>0.00130304533954719</c:v>
                  </c:pt>
                  <c:pt idx="4">
                    <c:v>0.00215806188156725</c:v>
                  </c:pt>
                </c:numCache>
              </c:numRef>
            </c:plus>
            <c:minus>
              <c:numRef>
                <c:f>(Sheet1!$V$48,Sheet1!$V$79,Sheet1!$V$110,Sheet1!$V$141,Sheet1!$V$172)</c:f>
                <c:numCache>
                  <c:formatCode>General</c:formatCode>
                  <c:ptCount val="5"/>
                  <c:pt idx="0">
                    <c:v>0.00315982459557403</c:v>
                  </c:pt>
                  <c:pt idx="1">
                    <c:v>0.00287058802645013</c:v>
                  </c:pt>
                  <c:pt idx="2">
                    <c:v>0.00325570595600787</c:v>
                  </c:pt>
                  <c:pt idx="3">
                    <c:v>0.00130304533954719</c:v>
                  </c:pt>
                  <c:pt idx="4">
                    <c:v>0.00215806188156725</c:v>
                  </c:pt>
                </c:numCache>
              </c:numRef>
            </c:minus>
          </c:errBars>
          <c:yVal>
            <c:numRef>
              <c:f>(Sheet1!$V$47,Sheet1!$V$78,Sheet1!$V$109,Sheet1!$V$140,Sheet1!$V$171)</c:f>
              <c:numCache>
                <c:formatCode>General</c:formatCode>
                <c:ptCount val="5"/>
                <c:pt idx="0">
                  <c:v>-0.00805623375721093</c:v>
                </c:pt>
                <c:pt idx="1">
                  <c:v>-0.00802342172371763</c:v>
                </c:pt>
                <c:pt idx="2">
                  <c:v>-0.0101565617396032</c:v>
                </c:pt>
                <c:pt idx="3">
                  <c:v>-0.00797125954476375</c:v>
                </c:pt>
                <c:pt idx="4">
                  <c:v>-0.00987331816304026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(Sheet1!$AA$97,Sheet1!$AA$97,Sheet1!$AA$97,Sheet1!$AA$97,Sheet1!$AA$97)</c:f>
              <c:numCache>
                <c:formatCode>General</c:formatCode>
                <c:ptCount val="5"/>
                <c:pt idx="0">
                  <c:v>-0.00881615898566716</c:v>
                </c:pt>
                <c:pt idx="1">
                  <c:v>-0.00881615898566716</c:v>
                </c:pt>
                <c:pt idx="2">
                  <c:v>-0.00881615898566716</c:v>
                </c:pt>
                <c:pt idx="3">
                  <c:v>-0.00881615898566716</c:v>
                </c:pt>
                <c:pt idx="4">
                  <c:v>-0.00881615898566716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30856"/>
        <c:axId val="-2069927848"/>
      </c:scatterChart>
      <c:valAx>
        <c:axId val="-206993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927848"/>
        <c:crosses val="autoZero"/>
        <c:crossBetween val="midCat"/>
      </c:valAx>
      <c:valAx>
        <c:axId val="-2069927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9930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(Sheet1!$V$30,Sheet1!$V$61,Sheet1!$V$92,Sheet1!$V$123,Sheet1!$V$154)</c:f>
                <c:numCache>
                  <c:formatCode>General</c:formatCode>
                  <c:ptCount val="5"/>
                  <c:pt idx="0">
                    <c:v>0.000346188163148207</c:v>
                  </c:pt>
                  <c:pt idx="1">
                    <c:v>0.00100250136561788</c:v>
                  </c:pt>
                  <c:pt idx="2">
                    <c:v>0.00172940497105308</c:v>
                  </c:pt>
                  <c:pt idx="3">
                    <c:v>0.00018967001474327</c:v>
                  </c:pt>
                  <c:pt idx="4">
                    <c:v>0.000481316535934901</c:v>
                  </c:pt>
                </c:numCache>
              </c:numRef>
            </c:plus>
            <c:minus>
              <c:numRef>
                <c:f>(Sheet1!$V$30,Sheet1!$V$61,Sheet1!$V$92,Sheet1!$V$123,Sheet1!$V$154)</c:f>
                <c:numCache>
                  <c:formatCode>General</c:formatCode>
                  <c:ptCount val="5"/>
                  <c:pt idx="0">
                    <c:v>0.000346188163148207</c:v>
                  </c:pt>
                  <c:pt idx="1">
                    <c:v>0.00100250136561788</c:v>
                  </c:pt>
                  <c:pt idx="2">
                    <c:v>0.00172940497105308</c:v>
                  </c:pt>
                  <c:pt idx="3">
                    <c:v>0.00018967001474327</c:v>
                  </c:pt>
                  <c:pt idx="4">
                    <c:v>0.000481316535934901</c:v>
                  </c:pt>
                </c:numCache>
              </c:numRef>
            </c:minus>
          </c:errBars>
          <c:yVal>
            <c:numRef>
              <c:f>(Sheet1!$V$29,Sheet1!$V$60,Sheet1!$V$91,Sheet1!$V$122,Sheet1!$V$153)</c:f>
              <c:numCache>
                <c:formatCode>General</c:formatCode>
                <c:ptCount val="5"/>
                <c:pt idx="0">
                  <c:v>-0.00275110818606424</c:v>
                </c:pt>
                <c:pt idx="1">
                  <c:v>-0.00163698496961321</c:v>
                </c:pt>
                <c:pt idx="2">
                  <c:v>0.000836715807919656</c:v>
                </c:pt>
                <c:pt idx="3">
                  <c:v>-0.00243888858526557</c:v>
                </c:pt>
                <c:pt idx="4">
                  <c:v>0.000444531491884514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(Sheet1!$X$97,Sheet1!$X$97,Sheet1!$X$97,Sheet1!$X$97,Sheet1!$X$97)</c:f>
              <c:numCache>
                <c:formatCode>General</c:formatCode>
                <c:ptCount val="5"/>
                <c:pt idx="0">
                  <c:v>-0.00110914688822777</c:v>
                </c:pt>
                <c:pt idx="1">
                  <c:v>-0.00110914688822777</c:v>
                </c:pt>
                <c:pt idx="2">
                  <c:v>-0.00110914688822777</c:v>
                </c:pt>
                <c:pt idx="3">
                  <c:v>-0.00110914688822777</c:v>
                </c:pt>
                <c:pt idx="4">
                  <c:v>-0.00110914688822777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66872"/>
        <c:axId val="-2076608952"/>
      </c:scatterChart>
      <c:valAx>
        <c:axId val="212066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08952"/>
        <c:crosses val="autoZero"/>
        <c:crossBetween val="midCat"/>
      </c:valAx>
      <c:valAx>
        <c:axId val="-2076608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066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(Sheet1!$V$36,Sheet1!$V$67,Sheet1!$V$98,Sheet1!$V$129,Sheet1!$V$160)</c:f>
                <c:numCache>
                  <c:formatCode>General</c:formatCode>
                  <c:ptCount val="5"/>
                  <c:pt idx="0">
                    <c:v>0.00144341677481069</c:v>
                  </c:pt>
                  <c:pt idx="1">
                    <c:v>0.00125258566320959</c:v>
                  </c:pt>
                  <c:pt idx="2">
                    <c:v>0.00231264352479626</c:v>
                  </c:pt>
                  <c:pt idx="3">
                    <c:v>0.000538823567972707</c:v>
                  </c:pt>
                  <c:pt idx="4">
                    <c:v>0.00161348656226041</c:v>
                  </c:pt>
                </c:numCache>
              </c:numRef>
            </c:plus>
            <c:minus>
              <c:numRef>
                <c:f>(Sheet1!$V$36,Sheet1!$V$67,Sheet1!$V$98,Sheet1!$V$129,Sheet1!$V$160)</c:f>
                <c:numCache>
                  <c:formatCode>General</c:formatCode>
                  <c:ptCount val="5"/>
                  <c:pt idx="0">
                    <c:v>0.00144341677481069</c:v>
                  </c:pt>
                  <c:pt idx="1">
                    <c:v>0.00125258566320959</c:v>
                  </c:pt>
                  <c:pt idx="2">
                    <c:v>0.00231264352479626</c:v>
                  </c:pt>
                  <c:pt idx="3">
                    <c:v>0.000538823567972707</c:v>
                  </c:pt>
                  <c:pt idx="4">
                    <c:v>0.00161348656226041</c:v>
                  </c:pt>
                </c:numCache>
              </c:numRef>
            </c:minus>
          </c:errBars>
          <c:yVal>
            <c:numRef>
              <c:f>(Sheet1!$V$35,Sheet1!$V$66,Sheet1!$V$97,Sheet1!$V$128,Sheet1!$V$159)</c:f>
              <c:numCache>
                <c:formatCode>General</c:formatCode>
                <c:ptCount val="5"/>
                <c:pt idx="0">
                  <c:v>-0.00435726227114136</c:v>
                </c:pt>
                <c:pt idx="1">
                  <c:v>-0.00318065182452817</c:v>
                </c:pt>
                <c:pt idx="2">
                  <c:v>-0.00311297242297663</c:v>
                </c:pt>
                <c:pt idx="3">
                  <c:v>-0.00430055341200176</c:v>
                </c:pt>
                <c:pt idx="4">
                  <c:v>-0.00327441578244937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(Sheet1!$Y$97,Sheet1!$Y$97,Sheet1!$Y$97,Sheet1!$Y$97,Sheet1!$Y$97)</c:f>
              <c:numCache>
                <c:formatCode>General</c:formatCode>
                <c:ptCount val="5"/>
                <c:pt idx="0">
                  <c:v>-0.00364517114261946</c:v>
                </c:pt>
                <c:pt idx="1">
                  <c:v>-0.00364517114261946</c:v>
                </c:pt>
                <c:pt idx="2">
                  <c:v>-0.00364517114261946</c:v>
                </c:pt>
                <c:pt idx="3">
                  <c:v>-0.00364517114261946</c:v>
                </c:pt>
                <c:pt idx="4">
                  <c:v>-0.00364517114261946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052056"/>
        <c:axId val="-2073765560"/>
      </c:scatterChart>
      <c:valAx>
        <c:axId val="-20740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65560"/>
        <c:crosses val="autoZero"/>
        <c:crossBetween val="midCat"/>
      </c:valAx>
      <c:valAx>
        <c:axId val="-2073765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405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(Sheet1!$V$42,Sheet1!$V$73,Sheet1!$V$104,Sheet1!$V$135,Sheet1!$V$166)</c:f>
                <c:numCache>
                  <c:formatCode>General</c:formatCode>
                  <c:ptCount val="5"/>
                  <c:pt idx="0">
                    <c:v>0.00217199066971433</c:v>
                  </c:pt>
                  <c:pt idx="1">
                    <c:v>0.00159578618432228</c:v>
                  </c:pt>
                  <c:pt idx="2">
                    <c:v>0.00332073044209097</c:v>
                  </c:pt>
                  <c:pt idx="3">
                    <c:v>0.000653021227086431</c:v>
                  </c:pt>
                  <c:pt idx="4">
                    <c:v>0.000963522933827571</c:v>
                  </c:pt>
                </c:numCache>
              </c:numRef>
            </c:plus>
            <c:minus>
              <c:numRef>
                <c:f>(Sheet1!$V$42,Sheet1!$V$73,Sheet1!$V$104,Sheet1!$V$135,Sheet1!$V$166)</c:f>
                <c:numCache>
                  <c:formatCode>General</c:formatCode>
                  <c:ptCount val="5"/>
                  <c:pt idx="0">
                    <c:v>0.00217199066971433</c:v>
                  </c:pt>
                  <c:pt idx="1">
                    <c:v>0.00159578618432228</c:v>
                  </c:pt>
                  <c:pt idx="2">
                    <c:v>0.00332073044209097</c:v>
                  </c:pt>
                  <c:pt idx="3">
                    <c:v>0.000653021227086431</c:v>
                  </c:pt>
                  <c:pt idx="4">
                    <c:v>0.000963522933827571</c:v>
                  </c:pt>
                </c:numCache>
              </c:numRef>
            </c:minus>
          </c:errBars>
          <c:yVal>
            <c:numRef>
              <c:f>(Sheet1!$V$41,Sheet1!$V$72,Sheet1!$V$103,Sheet1!$V$134,Sheet1!$V$165)</c:f>
              <c:numCache>
                <c:formatCode>General</c:formatCode>
                <c:ptCount val="5"/>
                <c:pt idx="0">
                  <c:v>-0.00171716951367375</c:v>
                </c:pt>
                <c:pt idx="1">
                  <c:v>-0.00251690305920764</c:v>
                </c:pt>
                <c:pt idx="2">
                  <c:v>-0.000253024492870653</c:v>
                </c:pt>
                <c:pt idx="3">
                  <c:v>-0.00219542812072996</c:v>
                </c:pt>
                <c:pt idx="4">
                  <c:v>0.000717027205051178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(Sheet1!$Z$97,Sheet1!$Z$97,Sheet1!$Z$97,Sheet1!$Z$97,Sheet1!$Z$97)</c:f>
              <c:numCache>
                <c:formatCode>General</c:formatCode>
                <c:ptCount val="5"/>
                <c:pt idx="0">
                  <c:v>-0.00119309959628617</c:v>
                </c:pt>
                <c:pt idx="1">
                  <c:v>-0.00119309959628617</c:v>
                </c:pt>
                <c:pt idx="2">
                  <c:v>-0.00119309959628617</c:v>
                </c:pt>
                <c:pt idx="3">
                  <c:v>-0.00119309959628617</c:v>
                </c:pt>
                <c:pt idx="4">
                  <c:v>-0.00119309959628617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040408"/>
        <c:axId val="-2074049512"/>
      </c:scatterChart>
      <c:valAx>
        <c:axId val="-20740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49512"/>
        <c:crosses val="autoZero"/>
        <c:crossBetween val="midCat"/>
      </c:valAx>
      <c:valAx>
        <c:axId val="-2074049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4040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(Sheet1!$V$48,Sheet1!$V$79,Sheet1!$V$110,Sheet1!$V$141,Sheet1!$V$172)</c:f>
                <c:numCache>
                  <c:formatCode>General</c:formatCode>
                  <c:ptCount val="5"/>
                  <c:pt idx="0">
                    <c:v>0.00315982459557403</c:v>
                  </c:pt>
                  <c:pt idx="1">
                    <c:v>0.00287058802645013</c:v>
                  </c:pt>
                  <c:pt idx="2">
                    <c:v>0.00325570595600787</c:v>
                  </c:pt>
                  <c:pt idx="3">
                    <c:v>0.00130304533954719</c:v>
                  </c:pt>
                  <c:pt idx="4">
                    <c:v>0.00215806188156725</c:v>
                  </c:pt>
                </c:numCache>
              </c:numRef>
            </c:plus>
            <c:minus>
              <c:numRef>
                <c:f>(Sheet1!$V$48,Sheet1!$V$79,Sheet1!$V$110,Sheet1!$V$141,Sheet1!$V$172)</c:f>
                <c:numCache>
                  <c:formatCode>General</c:formatCode>
                  <c:ptCount val="5"/>
                  <c:pt idx="0">
                    <c:v>0.00315982459557403</c:v>
                  </c:pt>
                  <c:pt idx="1">
                    <c:v>0.00287058802645013</c:v>
                  </c:pt>
                  <c:pt idx="2">
                    <c:v>0.00325570595600787</c:v>
                  </c:pt>
                  <c:pt idx="3">
                    <c:v>0.00130304533954719</c:v>
                  </c:pt>
                  <c:pt idx="4">
                    <c:v>0.00215806188156725</c:v>
                  </c:pt>
                </c:numCache>
              </c:numRef>
            </c:minus>
          </c:errBars>
          <c:yVal>
            <c:numRef>
              <c:f>(Sheet1!$V$47,Sheet1!$V$78,Sheet1!$V$109,Sheet1!$V$140,Sheet1!$V$171)</c:f>
              <c:numCache>
                <c:formatCode>General</c:formatCode>
                <c:ptCount val="5"/>
                <c:pt idx="0">
                  <c:v>-0.00805623375721093</c:v>
                </c:pt>
                <c:pt idx="1">
                  <c:v>-0.00802342172371763</c:v>
                </c:pt>
                <c:pt idx="2">
                  <c:v>-0.0101565617396032</c:v>
                </c:pt>
                <c:pt idx="3">
                  <c:v>-0.00797125954476375</c:v>
                </c:pt>
                <c:pt idx="4">
                  <c:v>-0.00987331816304026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(Sheet1!$AA$97,Sheet1!$AA$97,Sheet1!$AA$97,Sheet1!$AA$97,Sheet1!$AA$97)</c:f>
              <c:numCache>
                <c:formatCode>General</c:formatCode>
                <c:ptCount val="5"/>
                <c:pt idx="0">
                  <c:v>-0.00881615898566716</c:v>
                </c:pt>
                <c:pt idx="1">
                  <c:v>-0.00881615898566716</c:v>
                </c:pt>
                <c:pt idx="2">
                  <c:v>-0.00881615898566716</c:v>
                </c:pt>
                <c:pt idx="3">
                  <c:v>-0.00881615898566716</c:v>
                </c:pt>
                <c:pt idx="4">
                  <c:v>-0.00881615898566716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069064"/>
        <c:axId val="-2073514616"/>
      </c:scatterChart>
      <c:valAx>
        <c:axId val="-207306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14616"/>
        <c:crosses val="autoZero"/>
        <c:crossBetween val="midCat"/>
      </c:valAx>
      <c:valAx>
        <c:axId val="-2073514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306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(Sheet1!$V$190,Sheet1!$V$215,Sheet1!$V$240)</c:f>
                <c:numCache>
                  <c:formatCode>General</c:formatCode>
                  <c:ptCount val="3"/>
                  <c:pt idx="0">
                    <c:v>0.000375183388192356</c:v>
                  </c:pt>
                  <c:pt idx="1">
                    <c:v>0.000341200783074898</c:v>
                  </c:pt>
                  <c:pt idx="2">
                    <c:v>0.00108243207854767</c:v>
                  </c:pt>
                </c:numCache>
              </c:numRef>
            </c:plus>
            <c:minus>
              <c:numRef>
                <c:f>(Sheet1!$V$190,Sheet1!$V$215,Sheet1!$V$240)</c:f>
                <c:numCache>
                  <c:formatCode>General</c:formatCode>
                  <c:ptCount val="3"/>
                  <c:pt idx="0">
                    <c:v>0.000375183388192356</c:v>
                  </c:pt>
                  <c:pt idx="1">
                    <c:v>0.000341200783074898</c:v>
                  </c:pt>
                  <c:pt idx="2">
                    <c:v>0.00108243207854767</c:v>
                  </c:pt>
                </c:numCache>
              </c:numRef>
            </c:minus>
          </c:errBars>
          <c:yVal>
            <c:numRef>
              <c:f>(Sheet1!$V$189,Sheet1!$V$214,Sheet1!$V$239)</c:f>
              <c:numCache>
                <c:formatCode>General</c:formatCode>
                <c:ptCount val="3"/>
                <c:pt idx="0">
                  <c:v>-0.00234789663898815</c:v>
                </c:pt>
                <c:pt idx="1">
                  <c:v>-0.00170487606834355</c:v>
                </c:pt>
                <c:pt idx="2">
                  <c:v>0.000522930627349306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65080"/>
        <c:axId val="-2069962152"/>
      </c:scatterChart>
      <c:valAx>
        <c:axId val="-20699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962152"/>
        <c:crosses val="autoZero"/>
        <c:crossBetween val="midCat"/>
      </c:valAx>
      <c:valAx>
        <c:axId val="-2069962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996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(Sheet1!$V$196,Sheet1!$V$221,Sheet1!$V$246)</c:f>
                <c:numCache>
                  <c:formatCode>General</c:formatCode>
                  <c:ptCount val="3"/>
                  <c:pt idx="0">
                    <c:v>0.000976793525638493</c:v>
                  </c:pt>
                  <c:pt idx="1">
                    <c:v>0.00114643009056327</c:v>
                  </c:pt>
                  <c:pt idx="2">
                    <c:v>0.00112250516542144</c:v>
                  </c:pt>
                </c:numCache>
              </c:numRef>
            </c:plus>
            <c:minus>
              <c:numRef>
                <c:f>(Sheet1!$V$196,Sheet1!$V$221,Sheet1!$V$246)</c:f>
                <c:numCache>
                  <c:formatCode>General</c:formatCode>
                  <c:ptCount val="3"/>
                  <c:pt idx="0">
                    <c:v>0.000976793525638493</c:v>
                  </c:pt>
                  <c:pt idx="1">
                    <c:v>0.00114643009056327</c:v>
                  </c:pt>
                  <c:pt idx="2">
                    <c:v>0.00112250516542144</c:v>
                  </c:pt>
                </c:numCache>
              </c:numRef>
            </c:minus>
          </c:errBars>
          <c:yVal>
            <c:numRef>
              <c:f>(Sheet1!$V$195,Sheet1!$V$220,Sheet1!$V$245)</c:f>
              <c:numCache>
                <c:formatCode>General</c:formatCode>
                <c:ptCount val="3"/>
                <c:pt idx="0">
                  <c:v>-0.00400506061248715</c:v>
                </c:pt>
                <c:pt idx="1">
                  <c:v>-0.00445295876653065</c:v>
                </c:pt>
                <c:pt idx="2">
                  <c:v>-0.00347267131052792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988072"/>
        <c:axId val="-2073985144"/>
      </c:scatterChart>
      <c:valAx>
        <c:axId val="-20739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85144"/>
        <c:crosses val="autoZero"/>
        <c:crossBetween val="midCat"/>
      </c:valAx>
      <c:valAx>
        <c:axId val="-2073985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398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(Sheet1!$V$202,Sheet1!$V$227,Sheet1!$V$252)</c:f>
                <c:numCache>
                  <c:formatCode>General</c:formatCode>
                  <c:ptCount val="3"/>
                  <c:pt idx="0">
                    <c:v>0.0010910396434849</c:v>
                  </c:pt>
                  <c:pt idx="1">
                    <c:v>0.00152955520746986</c:v>
                  </c:pt>
                  <c:pt idx="2">
                    <c:v>0.00140599232058399</c:v>
                  </c:pt>
                </c:numCache>
              </c:numRef>
            </c:plus>
            <c:minus>
              <c:numRef>
                <c:f>(Sheet1!$V$202,Sheet1!$V$227,Sheet1!$V$252)</c:f>
                <c:numCache>
                  <c:formatCode>General</c:formatCode>
                  <c:ptCount val="3"/>
                  <c:pt idx="0">
                    <c:v>0.0010910396434849</c:v>
                  </c:pt>
                  <c:pt idx="1">
                    <c:v>0.00152955520746986</c:v>
                  </c:pt>
                  <c:pt idx="2">
                    <c:v>0.00140599232058399</c:v>
                  </c:pt>
                </c:numCache>
              </c:numRef>
            </c:minus>
          </c:errBars>
          <c:yVal>
            <c:numRef>
              <c:f>(Sheet1!$V$201,Sheet1!$V$226,Sheet1!$V$251)</c:f>
              <c:numCache>
                <c:formatCode>General</c:formatCode>
                <c:ptCount val="3"/>
                <c:pt idx="0">
                  <c:v>-0.00208756058181409</c:v>
                </c:pt>
                <c:pt idx="1">
                  <c:v>-0.00102122364928916</c:v>
                </c:pt>
                <c:pt idx="2">
                  <c:v>0.00172789715473906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85960"/>
        <c:axId val="-2078883032"/>
      </c:scatterChart>
      <c:valAx>
        <c:axId val="-207888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83032"/>
        <c:crosses val="autoZero"/>
        <c:crossBetween val="midCat"/>
      </c:valAx>
      <c:valAx>
        <c:axId val="-2078883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888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(Sheet1!$V$208,Sheet1!$V$233,Sheet1!$V$258)</c:f>
                <c:numCache>
                  <c:formatCode>General</c:formatCode>
                  <c:ptCount val="3"/>
                  <c:pt idx="0">
                    <c:v>0.00123365107867488</c:v>
                  </c:pt>
                  <c:pt idx="1">
                    <c:v>0.00199232121089732</c:v>
                  </c:pt>
                  <c:pt idx="2">
                    <c:v>0.00402705894175268</c:v>
                  </c:pt>
                </c:numCache>
              </c:numRef>
            </c:plus>
            <c:minus>
              <c:numRef>
                <c:f>(Sheet1!$V$208,Sheet1!$V$233,Sheet1!$V$258)</c:f>
                <c:numCache>
                  <c:formatCode>General</c:formatCode>
                  <c:ptCount val="3"/>
                  <c:pt idx="0">
                    <c:v>0.00123365107867488</c:v>
                  </c:pt>
                  <c:pt idx="1">
                    <c:v>0.00199232121089732</c:v>
                  </c:pt>
                  <c:pt idx="2">
                    <c:v>0.00402705894175268</c:v>
                  </c:pt>
                </c:numCache>
              </c:numRef>
            </c:minus>
          </c:errBars>
          <c:yVal>
            <c:numRef>
              <c:f>(Sheet1!$V$207,Sheet1!$V$232,Sheet1!$V$257)</c:f>
              <c:numCache>
                <c:formatCode>General</c:formatCode>
                <c:ptCount val="3"/>
                <c:pt idx="0">
                  <c:v>-0.00733790219555066</c:v>
                </c:pt>
                <c:pt idx="1">
                  <c:v>-0.00873240694160871</c:v>
                </c:pt>
                <c:pt idx="2">
                  <c:v>-0.00870522625243182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72152"/>
        <c:axId val="-2078869224"/>
      </c:scatterChart>
      <c:valAx>
        <c:axId val="-207887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69224"/>
        <c:crosses val="autoZero"/>
        <c:crossBetween val="midCat"/>
      </c:valAx>
      <c:valAx>
        <c:axId val="-2078869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887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520700</xdr:colOff>
      <xdr:row>2</xdr:row>
      <xdr:rowOff>6350</xdr:rowOff>
    </xdr:from>
    <xdr:to>
      <xdr:col>23</xdr:col>
      <xdr:colOff>812800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501650</xdr:colOff>
      <xdr:row>23</xdr:row>
      <xdr:rowOff>146050</xdr:rowOff>
    </xdr:from>
    <xdr:to>
      <xdr:col>28</xdr:col>
      <xdr:colOff>120650</xdr:colOff>
      <xdr:row>38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520700</xdr:colOff>
      <xdr:row>38</xdr:row>
      <xdr:rowOff>88900</xdr:rowOff>
    </xdr:from>
    <xdr:to>
      <xdr:col>28</xdr:col>
      <xdr:colOff>139700</xdr:colOff>
      <xdr:row>58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546100</xdr:colOff>
      <xdr:row>59</xdr:row>
      <xdr:rowOff>25400</xdr:rowOff>
    </xdr:from>
    <xdr:to>
      <xdr:col>28</xdr:col>
      <xdr:colOff>165100</xdr:colOff>
      <xdr:row>73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74</xdr:row>
      <xdr:rowOff>0</xdr:rowOff>
    </xdr:from>
    <xdr:to>
      <xdr:col>28</xdr:col>
      <xdr:colOff>177800</xdr:colOff>
      <xdr:row>94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349250</xdr:colOff>
      <xdr:row>101</xdr:row>
      <xdr:rowOff>57150</xdr:rowOff>
    </xdr:from>
    <xdr:to>
      <xdr:col>27</xdr:col>
      <xdr:colOff>571500</xdr:colOff>
      <xdr:row>119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368300</xdr:colOff>
      <xdr:row>119</xdr:row>
      <xdr:rowOff>127000</xdr:rowOff>
    </xdr:from>
    <xdr:to>
      <xdr:col>27</xdr:col>
      <xdr:colOff>584200</xdr:colOff>
      <xdr:row>132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355600</xdr:colOff>
      <xdr:row>132</xdr:row>
      <xdr:rowOff>152400</xdr:rowOff>
    </xdr:from>
    <xdr:to>
      <xdr:col>27</xdr:col>
      <xdr:colOff>596900</xdr:colOff>
      <xdr:row>150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355600</xdr:colOff>
      <xdr:row>151</xdr:row>
      <xdr:rowOff>12700</xdr:rowOff>
    </xdr:from>
    <xdr:to>
      <xdr:col>27</xdr:col>
      <xdr:colOff>584200</xdr:colOff>
      <xdr:row>162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457200</xdr:colOff>
      <xdr:row>72</xdr:row>
      <xdr:rowOff>152400</xdr:rowOff>
    </xdr:from>
    <xdr:to>
      <xdr:col>34</xdr:col>
      <xdr:colOff>76200</xdr:colOff>
      <xdr:row>93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5"/>
  <sheetViews>
    <sheetView tabSelected="1" showRuler="0" zoomScale="75" zoomScaleNormal="75" zoomScalePageLayoutView="75" workbookViewId="0">
      <selection activeCell="Z19" sqref="Z19"/>
    </sheetView>
  </sheetViews>
  <sheetFormatPr baseColWidth="10" defaultColWidth="11" defaultRowHeight="15" x14ac:dyDescent="0"/>
  <cols>
    <col min="21" max="21" width="12.83203125" bestFit="1" customWidth="1"/>
  </cols>
  <sheetData>
    <row r="1" spans="1:18">
      <c r="A1" t="s">
        <v>0</v>
      </c>
    </row>
    <row r="2" spans="1:18">
      <c r="A2" t="s">
        <v>7</v>
      </c>
      <c r="K2" t="s">
        <v>11</v>
      </c>
    </row>
    <row r="3" spans="1:18">
      <c r="A3">
        <v>100</v>
      </c>
      <c r="B3">
        <v>101.85328</v>
      </c>
      <c r="C3">
        <v>-8217.9219900000007</v>
      </c>
      <c r="D3">
        <v>-8191.6040199999998</v>
      </c>
      <c r="E3">
        <v>23280.240180000001</v>
      </c>
      <c r="F3">
        <v>-1.7228300000000001</v>
      </c>
      <c r="G3">
        <v>1.9709999999999998E-2</v>
      </c>
      <c r="H3">
        <f>C3/2000</f>
        <v>-4.1089609950000003</v>
      </c>
      <c r="I3">
        <f>E3^(1/3)/10</f>
        <v>2.8553706130419929</v>
      </c>
      <c r="K3">
        <v>100</v>
      </c>
      <c r="L3">
        <v>100.25436000000001</v>
      </c>
      <c r="M3">
        <v>-13388.50542</v>
      </c>
      <c r="N3">
        <v>-13336.68281</v>
      </c>
      <c r="O3">
        <v>66634.997430000003</v>
      </c>
      <c r="P3">
        <v>0.31746000000000002</v>
      </c>
      <c r="Q3">
        <v>8.3799999999999999E-2</v>
      </c>
      <c r="R3">
        <f>M3/4000</f>
        <v>-3.3471263549999999</v>
      </c>
    </row>
    <row r="4" spans="1:18">
      <c r="A4">
        <v>200</v>
      </c>
      <c r="B4">
        <v>204.59528</v>
      </c>
      <c r="C4">
        <v>-8189.6240600000001</v>
      </c>
      <c r="D4">
        <v>-8136.7584699999998</v>
      </c>
      <c r="E4">
        <v>23317.403119999999</v>
      </c>
      <c r="F4">
        <v>-12.03059</v>
      </c>
      <c r="G4">
        <v>2.2749999999999999E-2</v>
      </c>
      <c r="H4">
        <f t="shared" ref="H4:H7" si="0">C4/2000</f>
        <v>-4.0948120299999999</v>
      </c>
      <c r="I4">
        <f t="shared" ref="I4:I7" si="1">E4^(1/3)/10</f>
        <v>2.8568891763053497</v>
      </c>
      <c r="K4">
        <v>200</v>
      </c>
      <c r="L4">
        <v>199.00630000000001</v>
      </c>
      <c r="M4">
        <v>-13337.899670000001</v>
      </c>
      <c r="N4">
        <v>-13235.031059999999</v>
      </c>
      <c r="O4">
        <v>66882.987129999994</v>
      </c>
      <c r="P4">
        <v>-9.3236000000000008</v>
      </c>
      <c r="Q4">
        <v>0.10804999999999999</v>
      </c>
      <c r="R4">
        <f t="shared" ref="R4:R15" si="2">M4/4000</f>
        <v>-3.3344749175000001</v>
      </c>
    </row>
    <row r="5" spans="1:18">
      <c r="A5">
        <v>300</v>
      </c>
      <c r="B5">
        <v>303.69054</v>
      </c>
      <c r="C5">
        <v>-8161.8060500000001</v>
      </c>
      <c r="D5">
        <v>-8083.3351300000004</v>
      </c>
      <c r="E5">
        <v>23369.637119999999</v>
      </c>
      <c r="F5">
        <v>6.6747899999999998</v>
      </c>
      <c r="G5">
        <v>2.5559999999999999E-2</v>
      </c>
      <c r="H5">
        <f t="shared" si="0"/>
        <v>-4.0809030250000005</v>
      </c>
      <c r="I5">
        <f t="shared" si="1"/>
        <v>2.8590208524881651</v>
      </c>
      <c r="K5">
        <v>300</v>
      </c>
      <c r="L5">
        <v>299.47406999999998</v>
      </c>
      <c r="M5">
        <v>-13285.43405</v>
      </c>
      <c r="N5">
        <v>-13130.632519999999</v>
      </c>
      <c r="O5">
        <v>67170.407749999998</v>
      </c>
      <c r="P5">
        <v>-0.59572999999999998</v>
      </c>
      <c r="Q5">
        <v>0.13713</v>
      </c>
      <c r="R5">
        <f t="shared" si="2"/>
        <v>-3.3213585124999998</v>
      </c>
    </row>
    <row r="6" spans="1:18">
      <c r="A6">
        <v>400</v>
      </c>
      <c r="B6">
        <v>406.77075000000002</v>
      </c>
      <c r="C6">
        <v>-8132.6526000000003</v>
      </c>
      <c r="D6">
        <v>-8027.5466800000004</v>
      </c>
      <c r="E6">
        <v>23435.150989999998</v>
      </c>
      <c r="F6">
        <v>79.211399999999998</v>
      </c>
      <c r="G6">
        <v>2.7890000000000002E-2</v>
      </c>
      <c r="H6">
        <f t="shared" si="0"/>
        <v>-4.0663263000000001</v>
      </c>
      <c r="I6">
        <f t="shared" si="1"/>
        <v>2.8616899962485527</v>
      </c>
      <c r="K6">
        <v>400</v>
      </c>
      <c r="L6">
        <v>402.26256999999998</v>
      </c>
      <c r="M6">
        <v>-13230.332560000001</v>
      </c>
      <c r="N6">
        <v>-13022.39848</v>
      </c>
      <c r="O6">
        <v>67497.368910000005</v>
      </c>
      <c r="P6">
        <v>-16.586320000000001</v>
      </c>
      <c r="Q6">
        <v>0.1709</v>
      </c>
      <c r="R6">
        <f t="shared" si="2"/>
        <v>-3.3075831400000002</v>
      </c>
    </row>
    <row r="7" spans="1:18">
      <c r="A7">
        <v>500</v>
      </c>
      <c r="B7">
        <v>503.35993000000002</v>
      </c>
      <c r="C7">
        <v>-8105.1383900000001</v>
      </c>
      <c r="D7">
        <v>-7975.0747000000001</v>
      </c>
      <c r="E7">
        <v>23499.22711</v>
      </c>
      <c r="F7">
        <v>2.3854199999999999</v>
      </c>
      <c r="G7">
        <v>3.1550000000000002E-2</v>
      </c>
      <c r="H7">
        <f t="shared" si="0"/>
        <v>-4.0525691950000002</v>
      </c>
      <c r="I7">
        <f t="shared" si="1"/>
        <v>2.8642957560892688</v>
      </c>
      <c r="K7">
        <v>500</v>
      </c>
      <c r="L7">
        <v>502.94945999999999</v>
      </c>
      <c r="M7">
        <v>-13174.692870000001</v>
      </c>
      <c r="N7">
        <v>-12914.712600000001</v>
      </c>
      <c r="O7">
        <v>67846.662100000001</v>
      </c>
      <c r="P7">
        <v>-7.7917500000000004</v>
      </c>
      <c r="Q7">
        <v>0.20941000000000001</v>
      </c>
      <c r="R7">
        <f t="shared" si="2"/>
        <v>-3.2936732175000003</v>
      </c>
    </row>
    <row r="10" spans="1:18">
      <c r="A10" t="s">
        <v>1</v>
      </c>
      <c r="K10" t="s">
        <v>12</v>
      </c>
    </row>
    <row r="11" spans="1:18">
      <c r="A11">
        <v>100</v>
      </c>
      <c r="B11">
        <v>99.565070000000006</v>
      </c>
      <c r="C11">
        <v>-8995.8884899999994</v>
      </c>
      <c r="D11">
        <v>-8970.1617700000006</v>
      </c>
      <c r="E11">
        <v>22808.784439999999</v>
      </c>
      <c r="F11">
        <v>10.55364</v>
      </c>
      <c r="G11">
        <v>0.33205000000000001</v>
      </c>
      <c r="H11">
        <f>C11-1000*R3-1000*R11</f>
        <v>-1211.8913399999992</v>
      </c>
      <c r="I11">
        <f>H11/2000</f>
        <v>-0.60594566999999966</v>
      </c>
      <c r="J11">
        <f>E11^(1/3)/10</f>
        <v>2.8359640002379658</v>
      </c>
      <c r="K11">
        <v>100</v>
      </c>
      <c r="L11">
        <v>100.81824</v>
      </c>
      <c r="M11">
        <v>-17747.483179999999</v>
      </c>
      <c r="N11">
        <v>-17695.36908</v>
      </c>
      <c r="O11">
        <v>43712.681729999997</v>
      </c>
      <c r="P11">
        <v>6.5135399999999999</v>
      </c>
      <c r="Q11">
        <v>5.7294</v>
      </c>
      <c r="R11">
        <f t="shared" si="2"/>
        <v>-4.4368707949999999</v>
      </c>
    </row>
    <row r="12" spans="1:18">
      <c r="A12">
        <v>200</v>
      </c>
      <c r="B12">
        <v>199.48273</v>
      </c>
      <c r="C12">
        <v>-8969.5951600000008</v>
      </c>
      <c r="D12">
        <v>-8918.0506100000002</v>
      </c>
      <c r="E12">
        <v>22904.049190000002</v>
      </c>
      <c r="F12">
        <v>-19.30968</v>
      </c>
      <c r="G12">
        <v>0.31531999999999999</v>
      </c>
      <c r="H12">
        <f>C12-1000*R4-1000*R12</f>
        <v>-1211.3578150000012</v>
      </c>
      <c r="I12">
        <f>H12/2000</f>
        <v>-0.60567890750000064</v>
      </c>
      <c r="J12">
        <f>E12^(1/3)/10</f>
        <v>2.8399068106531016</v>
      </c>
      <c r="K12">
        <v>200</v>
      </c>
      <c r="L12">
        <v>200.01624000000001</v>
      </c>
      <c r="M12">
        <v>-17695.049709999999</v>
      </c>
      <c r="N12">
        <v>-17591.659049999998</v>
      </c>
      <c r="O12">
        <v>43813.817289999999</v>
      </c>
      <c r="P12">
        <v>0.82318999999999998</v>
      </c>
      <c r="Q12">
        <v>5.66873</v>
      </c>
      <c r="R12">
        <f t="shared" si="2"/>
        <v>-4.4237624274999998</v>
      </c>
    </row>
    <row r="13" spans="1:18">
      <c r="A13">
        <v>300</v>
      </c>
      <c r="B13">
        <v>298.25349</v>
      </c>
      <c r="C13">
        <v>-8943.16201</v>
      </c>
      <c r="D13">
        <v>-8866.0959800000001</v>
      </c>
      <c r="E13">
        <v>22997.955969999999</v>
      </c>
      <c r="F13">
        <v>50.53895</v>
      </c>
      <c r="G13">
        <v>0.29976000000000003</v>
      </c>
      <c r="H13">
        <f>C13-1000*R5-1000*R13</f>
        <v>-1212.8687049999999</v>
      </c>
      <c r="I13">
        <f>H13/2000</f>
        <v>-0.60643435249999988</v>
      </c>
      <c r="J13">
        <f>E13^(1/3)/10</f>
        <v>2.8437827317119715</v>
      </c>
      <c r="K13">
        <v>300</v>
      </c>
      <c r="L13">
        <v>300.12344000000002</v>
      </c>
      <c r="M13">
        <v>-17635.739170000001</v>
      </c>
      <c r="N13">
        <v>-17480.60197</v>
      </c>
      <c r="O13">
        <v>43933.521999999997</v>
      </c>
      <c r="P13">
        <v>-8.5114199999999993</v>
      </c>
      <c r="Q13">
        <v>5.6349600000000004</v>
      </c>
      <c r="R13">
        <f t="shared" si="2"/>
        <v>-4.4089347925000002</v>
      </c>
    </row>
    <row r="14" spans="1:18">
      <c r="A14">
        <v>400</v>
      </c>
      <c r="B14">
        <v>401.62707999999998</v>
      </c>
      <c r="C14">
        <v>-8914.9567900000002</v>
      </c>
      <c r="D14">
        <v>-8811.1799599999995</v>
      </c>
      <c r="E14">
        <v>23100.15091</v>
      </c>
      <c r="F14">
        <v>-41.714979999999997</v>
      </c>
      <c r="G14">
        <v>0.28364</v>
      </c>
      <c r="H14">
        <f>C14-1000*R6-1000*R14</f>
        <v>-1217.8564149999993</v>
      </c>
      <c r="I14">
        <f>H14/2000</f>
        <v>-0.60892820749999965</v>
      </c>
      <c r="J14">
        <f>E14^(1/3)/10</f>
        <v>2.847988769178742</v>
      </c>
      <c r="K14">
        <v>400</v>
      </c>
      <c r="L14">
        <v>397.64604000000003</v>
      </c>
      <c r="M14">
        <v>-17558.068940000001</v>
      </c>
      <c r="N14">
        <v>-17352.521199999999</v>
      </c>
      <c r="O14">
        <v>44125.201070000003</v>
      </c>
      <c r="P14">
        <v>-28.163450000000001</v>
      </c>
      <c r="Q14">
        <v>6.3622699999999996</v>
      </c>
      <c r="R14">
        <f t="shared" si="2"/>
        <v>-4.3895172350000005</v>
      </c>
    </row>
    <row r="15" spans="1:18">
      <c r="A15">
        <v>500</v>
      </c>
      <c r="B15">
        <v>499.79050000000001</v>
      </c>
      <c r="C15">
        <v>-8887.7387799999997</v>
      </c>
      <c r="D15">
        <v>-8758.5974000000006</v>
      </c>
      <c r="E15">
        <v>23196.69456</v>
      </c>
      <c r="F15">
        <v>-21.751809999999999</v>
      </c>
      <c r="G15">
        <v>0.26967000000000002</v>
      </c>
      <c r="H15">
        <f>C15-1000*R7-1000*R15</f>
        <v>-1224.9866224999996</v>
      </c>
      <c r="I15">
        <f>H15/2000</f>
        <v>-0.61249331124999984</v>
      </c>
      <c r="J15">
        <f>E15^(1/3)/10</f>
        <v>2.8519508367003104</v>
      </c>
      <c r="K15">
        <v>500</v>
      </c>
      <c r="L15">
        <v>505.03363000000002</v>
      </c>
      <c r="M15">
        <v>-17476.315760000001</v>
      </c>
      <c r="N15">
        <v>-17215.258160000001</v>
      </c>
      <c r="O15">
        <v>44328.356119999997</v>
      </c>
      <c r="P15">
        <v>-4.31149</v>
      </c>
      <c r="Q15">
        <v>7.5038099999999996</v>
      </c>
      <c r="R15">
        <f t="shared" si="2"/>
        <v>-4.3690789400000005</v>
      </c>
    </row>
    <row r="16" spans="1:18">
      <c r="A16">
        <v>600</v>
      </c>
      <c r="B16">
        <v>596.61710000000005</v>
      </c>
      <c r="C16">
        <v>-8860.3103699999992</v>
      </c>
      <c r="D16">
        <v>-8706.1498599999995</v>
      </c>
      <c r="E16">
        <v>23293.825949999999</v>
      </c>
      <c r="F16">
        <v>14.17756</v>
      </c>
      <c r="G16">
        <v>0.25655</v>
      </c>
    </row>
    <row r="17" spans="1:22">
      <c r="A17">
        <v>800</v>
      </c>
    </row>
    <row r="18" spans="1:22">
      <c r="A18">
        <v>1000</v>
      </c>
    </row>
    <row r="22" spans="1:22">
      <c r="A22" t="s">
        <v>2</v>
      </c>
      <c r="C22" t="s">
        <v>4</v>
      </c>
      <c r="H22" t="s">
        <v>8</v>
      </c>
      <c r="I22" t="s">
        <v>9</v>
      </c>
      <c r="J22" t="s">
        <v>10</v>
      </c>
      <c r="O22" t="s">
        <v>13</v>
      </c>
      <c r="P22" t="s">
        <v>14</v>
      </c>
      <c r="Q22" t="s">
        <v>15</v>
      </c>
      <c r="R22" t="s">
        <v>16</v>
      </c>
      <c r="S22" t="s">
        <v>22</v>
      </c>
      <c r="T22" t="s">
        <v>23</v>
      </c>
      <c r="U22" t="s">
        <v>24</v>
      </c>
    </row>
    <row r="23" spans="1:22">
      <c r="A23">
        <v>100</v>
      </c>
      <c r="B23">
        <v>100.37371</v>
      </c>
      <c r="C23">
        <v>-43031.83412</v>
      </c>
      <c r="D23">
        <v>-42902.103889999999</v>
      </c>
      <c r="E23">
        <v>116401.12592999999</v>
      </c>
      <c r="F23">
        <v>-11908.97431</v>
      </c>
      <c r="G23">
        <v>3.891E-2</v>
      </c>
      <c r="H23">
        <f>2*14.2769</f>
        <v>28.553799999999999</v>
      </c>
      <c r="I23">
        <f>2*14.2769</f>
        <v>28.553799999999999</v>
      </c>
      <c r="J23">
        <f>2*71.3843</f>
        <v>142.76859999999999</v>
      </c>
      <c r="K23">
        <f>H23/10</f>
        <v>2.8553799999999998</v>
      </c>
      <c r="L23">
        <f>I23/10</f>
        <v>2.8553799999999998</v>
      </c>
      <c r="M23">
        <f>J23/50</f>
        <v>2.855372</v>
      </c>
      <c r="O23">
        <f>C23/10000</f>
        <v>-4.3031834120000001</v>
      </c>
      <c r="P23">
        <f>C23-5000*H3-2500*R3-2500*R11</f>
        <v>-3027.0362699999987</v>
      </c>
      <c r="Q23">
        <f>P23/10000</f>
        <v>-0.30270362699999986</v>
      </c>
      <c r="R23">
        <f>Q23/(H23*I23)</f>
        <v>-3.7126994885349949E-4</v>
      </c>
      <c r="S23">
        <f>P23/(H23*I23)</f>
        <v>-3.7126994885349953</v>
      </c>
      <c r="T23">
        <f>P23-5000*I11</f>
        <v>2.6920799999998053</v>
      </c>
      <c r="U23">
        <f>T23/(H23*I23)</f>
        <v>3.3018712521388359E-3</v>
      </c>
    </row>
    <row r="24" spans="1:22">
      <c r="A24">
        <v>200</v>
      </c>
      <c r="B24">
        <v>202.4975</v>
      </c>
      <c r="C24">
        <v>-42895.707540000003</v>
      </c>
      <c r="D24">
        <v>-42633.985159999997</v>
      </c>
      <c r="E24">
        <v>116401.12592999999</v>
      </c>
      <c r="F24">
        <v>-7154.0693199999996</v>
      </c>
      <c r="G24">
        <v>3.832E-2</v>
      </c>
      <c r="H24">
        <f t="shared" ref="H24:I25" si="3">2*14.2769</f>
        <v>28.553799999999999</v>
      </c>
      <c r="I24">
        <f t="shared" si="3"/>
        <v>28.553799999999999</v>
      </c>
      <c r="J24">
        <f t="shared" ref="J24:J25" si="4">2*71.3843</f>
        <v>142.76859999999999</v>
      </c>
      <c r="K24">
        <f t="shared" ref="K24:K25" si="5">H24/10</f>
        <v>2.8553799999999998</v>
      </c>
      <c r="L24">
        <f t="shared" ref="L24:L25" si="6">I24/10</f>
        <v>2.8553799999999998</v>
      </c>
      <c r="M24">
        <f t="shared" ref="M24:M25" si="7">J24/50</f>
        <v>2.855372</v>
      </c>
      <c r="O24">
        <f t="shared" ref="O24:O34" si="8">C24/10000</f>
        <v>-4.2895707540000005</v>
      </c>
      <c r="P24">
        <f>C24-5000*H4-2500*R4-2500*R12</f>
        <v>-3026.0540275000021</v>
      </c>
      <c r="Q24">
        <f t="shared" ref="Q24:Q42" si="9">P24/10000</f>
        <v>-0.3026054027500002</v>
      </c>
      <c r="R24">
        <f t="shared" ref="R24:R274" si="10">Q24/(H24*I24)</f>
        <v>-3.7114947552903041E-4</v>
      </c>
      <c r="S24">
        <f t="shared" ref="S24:S164" si="11">P24/(H24*I24)</f>
        <v>-3.7114947552903041</v>
      </c>
      <c r="T24">
        <f>P24-5000*I12</f>
        <v>2.3405100000009043</v>
      </c>
      <c r="U24">
        <f t="shared" ref="U24:U164" si="12">T24/(H24*I24)</f>
        <v>2.87066605908703E-3</v>
      </c>
    </row>
    <row r="25" spans="1:22">
      <c r="A25">
        <v>300</v>
      </c>
      <c r="B25">
        <v>302.70580999999999</v>
      </c>
      <c r="C25">
        <v>-42761.40814</v>
      </c>
      <c r="D25">
        <v>-42370.169309999997</v>
      </c>
      <c r="E25">
        <v>116401.12592999999</v>
      </c>
      <c r="F25">
        <v>-2128.72424</v>
      </c>
      <c r="G25">
        <v>3.9780000000000003E-2</v>
      </c>
      <c r="H25">
        <f t="shared" si="3"/>
        <v>28.553799999999999</v>
      </c>
      <c r="I25">
        <f t="shared" si="3"/>
        <v>28.553799999999999</v>
      </c>
      <c r="J25">
        <f t="shared" si="4"/>
        <v>142.76859999999999</v>
      </c>
      <c r="K25">
        <f t="shared" si="5"/>
        <v>2.8553799999999998</v>
      </c>
      <c r="L25">
        <f t="shared" si="6"/>
        <v>2.8553799999999998</v>
      </c>
      <c r="M25">
        <f t="shared" si="7"/>
        <v>2.855372</v>
      </c>
      <c r="O25">
        <f t="shared" si="8"/>
        <v>-4.2761408139999997</v>
      </c>
      <c r="P25">
        <f>C25-5000*H5-2500*R5-2500*R13</f>
        <v>-3031.1597524999979</v>
      </c>
      <c r="Q25">
        <f t="shared" si="9"/>
        <v>-0.30311597524999978</v>
      </c>
      <c r="R25">
        <f t="shared" si="10"/>
        <v>-3.7177569936334488E-4</v>
      </c>
      <c r="S25">
        <f t="shared" si="11"/>
        <v>-3.7177569936334489</v>
      </c>
      <c r="T25">
        <f>P25-5000*I13</f>
        <v>1.0120100000012826</v>
      </c>
      <c r="U25">
        <f t="shared" si="12"/>
        <v>1.2412434719181822E-3</v>
      </c>
    </row>
    <row r="27" spans="1:22">
      <c r="A27" t="s">
        <v>2</v>
      </c>
      <c r="C27" t="s">
        <v>18</v>
      </c>
    </row>
    <row r="28" spans="1:22">
      <c r="A28">
        <v>100</v>
      </c>
      <c r="B28">
        <v>101.04221</v>
      </c>
      <c r="C28">
        <v>-43036.595249999998</v>
      </c>
      <c r="D28">
        <v>-42906.00101</v>
      </c>
      <c r="E28">
        <v>115515.68925</v>
      </c>
      <c r="F28">
        <v>-17.55039</v>
      </c>
      <c r="G28">
        <v>4.4010000000000001E-2</v>
      </c>
      <c r="H28">
        <f>2*14.2417</f>
        <v>28.4834</v>
      </c>
      <c r="I28">
        <f>2*14.2417</f>
        <v>28.4834</v>
      </c>
      <c r="J28">
        <f>2*71.2083</f>
        <v>142.41659999999999</v>
      </c>
      <c r="K28">
        <f t="shared" ref="K28" si="13">H28/10</f>
        <v>2.8483399999999999</v>
      </c>
      <c r="L28">
        <f t="shared" ref="L28" si="14">I28/10</f>
        <v>2.8483399999999999</v>
      </c>
      <c r="M28">
        <f t="shared" ref="M28" si="15">J28/50</f>
        <v>2.8483319999999996</v>
      </c>
      <c r="O28">
        <f t="shared" si="8"/>
        <v>-4.3036595249999996</v>
      </c>
      <c r="P28">
        <f>C28-5000*$H$3-2500*$R$3-2500*$R$11</f>
        <v>-3031.7973999999977</v>
      </c>
      <c r="Q28">
        <f t="shared" si="9"/>
        <v>-0.30317973999999975</v>
      </c>
      <c r="R28">
        <f>Q28/(H28*I28)</f>
        <v>-3.7369433869875599E-4</v>
      </c>
      <c r="S28">
        <f>P28/(H28*I28)</f>
        <v>-3.7369433869875599</v>
      </c>
      <c r="T28">
        <f>P28-5000*$I$11</f>
        <v>-2.0690499999991516</v>
      </c>
      <c r="U28">
        <f>T28/(H28*I28)</f>
        <v>-2.5502768472733194E-3</v>
      </c>
    </row>
    <row r="29" spans="1:22">
      <c r="A29">
        <v>100</v>
      </c>
      <c r="B29">
        <v>100.68102</v>
      </c>
      <c r="C29">
        <v>-43037.082390000003</v>
      </c>
      <c r="D29">
        <v>-42906.954980000002</v>
      </c>
      <c r="E29">
        <v>115515.18042</v>
      </c>
      <c r="F29">
        <v>-13.60974</v>
      </c>
      <c r="G29">
        <v>4.3819999999999998E-2</v>
      </c>
      <c r="H29">
        <f>2*14.2414</f>
        <v>28.482800000000001</v>
      </c>
      <c r="I29">
        <f>2*14.2414</f>
        <v>28.482800000000001</v>
      </c>
      <c r="J29">
        <f>2*71.2068</f>
        <v>142.4136</v>
      </c>
      <c r="K29">
        <f t="shared" ref="K29:K30" si="16">H29/10</f>
        <v>2.8482799999999999</v>
      </c>
      <c r="L29">
        <f t="shared" ref="L29:L30" si="17">I29/10</f>
        <v>2.8482799999999999</v>
      </c>
      <c r="M29">
        <f t="shared" ref="M29:M30" si="18">J29/50</f>
        <v>2.8482720000000001</v>
      </c>
      <c r="O29">
        <f t="shared" ref="O29:O30" si="19">C29/10000</f>
        <v>-4.3037082390000005</v>
      </c>
      <c r="P29">
        <f>C29-5000*$H$3-2500*$R$3-2500*$R$11</f>
        <v>-3032.2845400000024</v>
      </c>
      <c r="Q29">
        <f t="shared" si="9"/>
        <v>-0.30322845400000026</v>
      </c>
      <c r="R29">
        <f t="shared" ref="R29:R30" si="20">Q29/(H29*I29)</f>
        <v>-3.7377012946601863E-4</v>
      </c>
      <c r="S29">
        <f t="shared" ref="S29:S30" si="21">P29/(H29*I29)</f>
        <v>-3.737701294660186</v>
      </c>
      <c r="T29">
        <f t="shared" ref="T28:T33" si="22">P29-5000*$I$11</f>
        <v>-2.5561900000038804</v>
      </c>
      <c r="U29">
        <f t="shared" ref="U29:U30" si="23">T29/(H29*I29)</f>
        <v>-3.1508503065520088E-3</v>
      </c>
      <c r="V29">
        <f>AVERAGE(U28:U30)</f>
        <v>-2.7511081860642425E-3</v>
      </c>
    </row>
    <row r="30" spans="1:22">
      <c r="A30">
        <v>100</v>
      </c>
      <c r="B30">
        <v>101.05913</v>
      </c>
      <c r="C30">
        <v>-43036.596749999997</v>
      </c>
      <c r="D30">
        <v>-42905.980629999998</v>
      </c>
      <c r="E30">
        <v>115515.51424</v>
      </c>
      <c r="F30">
        <v>-20.39293</v>
      </c>
      <c r="G30">
        <v>4.376E-2</v>
      </c>
      <c r="H30">
        <f>2*14.2415</f>
        <v>28.483000000000001</v>
      </c>
      <c r="I30">
        <f>2*14.2415</f>
        <v>28.483000000000001</v>
      </c>
      <c r="J30">
        <f>2*71.2076</f>
        <v>142.4152</v>
      </c>
      <c r="K30">
        <f t="shared" si="16"/>
        <v>2.8483000000000001</v>
      </c>
      <c r="L30">
        <f t="shared" si="17"/>
        <v>2.8483000000000001</v>
      </c>
      <c r="M30">
        <f t="shared" si="18"/>
        <v>2.8483040000000002</v>
      </c>
      <c r="O30">
        <f t="shared" si="19"/>
        <v>-4.3036596749999996</v>
      </c>
      <c r="P30">
        <f>C30-5000*$H$3-2500*$R$3-2500*$R$11</f>
        <v>-3031.7988999999961</v>
      </c>
      <c r="Q30">
        <f t="shared" si="9"/>
        <v>-0.30317988999999962</v>
      </c>
      <c r="R30">
        <f t="shared" si="20"/>
        <v>-3.7370501959154589E-4</v>
      </c>
      <c r="S30">
        <f t="shared" si="21"/>
        <v>-3.7370501959154589</v>
      </c>
      <c r="T30">
        <f t="shared" si="22"/>
        <v>-2.0705499999976382</v>
      </c>
      <c r="U30">
        <f t="shared" si="23"/>
        <v>-2.5521974043673998E-3</v>
      </c>
      <c r="V30">
        <f>STDEV(U28:U30)</f>
        <v>3.4618816314820717E-4</v>
      </c>
    </row>
    <row r="31" spans="1:22">
      <c r="A31">
        <v>100</v>
      </c>
      <c r="B31">
        <v>101.67632999999999</v>
      </c>
      <c r="C31">
        <v>-43035.757389999999</v>
      </c>
      <c r="D31">
        <v>-42904.343549999998</v>
      </c>
      <c r="E31">
        <v>115517.47908</v>
      </c>
      <c r="F31">
        <v>-22.881540000000001</v>
      </c>
      <c r="G31">
        <v>4.394E-2</v>
      </c>
      <c r="H31">
        <f>2*14.2414</f>
        <v>28.482800000000001</v>
      </c>
      <c r="I31">
        <f>2*14.2414</f>
        <v>28.482800000000001</v>
      </c>
      <c r="K31">
        <f t="shared" ref="K31:K33" si="24">H31/10</f>
        <v>2.8482799999999999</v>
      </c>
      <c r="L31">
        <f t="shared" ref="L31:L33" si="25">I31/10</f>
        <v>2.8482799999999999</v>
      </c>
      <c r="M31">
        <f t="shared" ref="M31:M33" si="26">J31/50</f>
        <v>0</v>
      </c>
      <c r="O31">
        <f t="shared" ref="O31:O33" si="27">C31/10000</f>
        <v>-4.3035757390000002</v>
      </c>
      <c r="P31">
        <f t="shared" ref="P31:P33" si="28">C31-5000*$H$3-2500*$R$3-2500*$R$11</f>
        <v>-3030.959539999998</v>
      </c>
      <c r="Q31">
        <f t="shared" ref="Q31:Q33" si="29">P31/10000</f>
        <v>-0.30309595399999978</v>
      </c>
      <c r="R31">
        <f t="shared" ref="R31:R33" si="30">Q31/(H31*I31)</f>
        <v>-3.7360680527430401E-4</v>
      </c>
      <c r="S31">
        <f t="shared" ref="S31:S33" si="31">P31/(H31*I31)</f>
        <v>-3.7360680527430405</v>
      </c>
      <c r="T31">
        <f t="shared" si="22"/>
        <v>-1.2311899999995148</v>
      </c>
      <c r="U31">
        <f t="shared" ref="U31:U33" si="32">T31/(H31*I31)</f>
        <v>-1.5176083894062455E-3</v>
      </c>
    </row>
    <row r="32" spans="1:22">
      <c r="A32">
        <v>100</v>
      </c>
      <c r="B32">
        <v>101.08431</v>
      </c>
      <c r="C32">
        <v>-43036.530409999999</v>
      </c>
      <c r="D32">
        <v>-42905.88175</v>
      </c>
      <c r="E32">
        <v>115514.62293</v>
      </c>
      <c r="F32">
        <v>-24.93505</v>
      </c>
      <c r="G32">
        <v>4.4019999999999997E-2</v>
      </c>
      <c r="H32">
        <f>2*14.2412</f>
        <v>28.482399999999998</v>
      </c>
      <c r="I32">
        <f>2*14.2412</f>
        <v>28.482399999999998</v>
      </c>
      <c r="K32">
        <f t="shared" si="24"/>
        <v>2.8482399999999997</v>
      </c>
      <c r="L32">
        <f t="shared" si="25"/>
        <v>2.8482399999999997</v>
      </c>
      <c r="M32">
        <f t="shared" si="26"/>
        <v>0</v>
      </c>
      <c r="O32">
        <f t="shared" si="27"/>
        <v>-4.3036530409999996</v>
      </c>
      <c r="P32">
        <f t="shared" si="28"/>
        <v>-3031.7325599999986</v>
      </c>
      <c r="Q32">
        <f t="shared" si="29"/>
        <v>-0.30317325599999984</v>
      </c>
      <c r="R32">
        <f t="shared" si="30"/>
        <v>-3.737125868956142E-4</v>
      </c>
      <c r="S32">
        <f t="shared" si="31"/>
        <v>-3.737125868956142</v>
      </c>
      <c r="T32">
        <f t="shared" si="22"/>
        <v>-2.0042100000000573</v>
      </c>
      <c r="U32">
        <f t="shared" si="32"/>
        <v>-2.4705296029874113E-3</v>
      </c>
    </row>
    <row r="33" spans="1:22">
      <c r="A33">
        <v>100</v>
      </c>
      <c r="B33">
        <v>100.86973999999999</v>
      </c>
      <c r="C33">
        <v>-43036.826569999997</v>
      </c>
      <c r="D33">
        <v>-42906.455240000003</v>
      </c>
      <c r="E33">
        <v>115514.47338</v>
      </c>
      <c r="F33">
        <v>-19.510950000000001</v>
      </c>
      <c r="G33">
        <v>4.3979999999999998E-2</v>
      </c>
      <c r="H33">
        <f>2*14.2413</f>
        <v>28.482600000000001</v>
      </c>
      <c r="I33">
        <f>2*14.2413</f>
        <v>28.482600000000001</v>
      </c>
      <c r="K33">
        <f t="shared" si="24"/>
        <v>2.8482600000000002</v>
      </c>
      <c r="L33">
        <f t="shared" si="25"/>
        <v>2.8482600000000002</v>
      </c>
      <c r="M33">
        <f t="shared" si="26"/>
        <v>0</v>
      </c>
      <c r="O33">
        <f t="shared" si="27"/>
        <v>-4.3036826569999995</v>
      </c>
      <c r="P33">
        <f t="shared" si="28"/>
        <v>-3032.0287199999966</v>
      </c>
      <c r="Q33">
        <f t="shared" si="29"/>
        <v>-0.30320287199999968</v>
      </c>
      <c r="R33">
        <f t="shared" si="30"/>
        <v>-3.7374384486383395E-4</v>
      </c>
      <c r="S33">
        <f t="shared" si="31"/>
        <v>-3.7374384486383394</v>
      </c>
      <c r="T33">
        <f t="shared" si="22"/>
        <v>-2.3003699999981109</v>
      </c>
      <c r="U33">
        <f t="shared" si="32"/>
        <v>-2.8355573373616085E-3</v>
      </c>
    </row>
    <row r="34" spans="1:22">
      <c r="A34">
        <v>200</v>
      </c>
      <c r="B34">
        <v>202.52932999999999</v>
      </c>
      <c r="C34">
        <v>-42900.288860000001</v>
      </c>
      <c r="D34">
        <v>-42638.525329999997</v>
      </c>
      <c r="E34">
        <v>115849.08988</v>
      </c>
      <c r="F34">
        <v>74.636039999999994</v>
      </c>
      <c r="G34">
        <v>3.916E-2</v>
      </c>
      <c r="H34">
        <f>2*14.2563</f>
        <v>28.512599999999999</v>
      </c>
      <c r="I34">
        <f>2*14.2563</f>
        <v>28.512599999999999</v>
      </c>
      <c r="J34">
        <f>2*71.2817</f>
        <v>142.5634</v>
      </c>
      <c r="K34">
        <f t="shared" ref="K34:K40" si="33">H34/10</f>
        <v>2.8512599999999999</v>
      </c>
      <c r="L34">
        <f t="shared" ref="L34:L40" si="34">I34/10</f>
        <v>2.8512599999999999</v>
      </c>
      <c r="M34">
        <f t="shared" ref="M34:M40" si="35">J34/50</f>
        <v>2.8512680000000001</v>
      </c>
      <c r="O34">
        <f t="shared" si="8"/>
        <v>-4.290028886</v>
      </c>
      <c r="P34">
        <f>C34-5000*$H$4-2500*$R$4-2500*$R$12</f>
        <v>-3030.6353474999996</v>
      </c>
      <c r="Q34">
        <f t="shared" si="9"/>
        <v>-0.30306353474999997</v>
      </c>
      <c r="R34">
        <f t="shared" si="10"/>
        <v>-3.7278638397717607E-4</v>
      </c>
      <c r="S34">
        <f t="shared" si="11"/>
        <v>-3.7278638397717603</v>
      </c>
      <c r="T34">
        <f t="shared" ref="T34:T39" si="36">P34-5000*$I$12</f>
        <v>-2.2408099999965998</v>
      </c>
      <c r="U34">
        <f t="shared" si="12"/>
        <v>-2.7563311362012299E-3</v>
      </c>
    </row>
    <row r="35" spans="1:22">
      <c r="A35">
        <v>200</v>
      </c>
      <c r="B35">
        <v>202.15819999999999</v>
      </c>
      <c r="C35">
        <v>-42900.791940000003</v>
      </c>
      <c r="D35">
        <v>-42639.50808</v>
      </c>
      <c r="E35">
        <v>115844.06847</v>
      </c>
      <c r="F35">
        <v>93.795680000000004</v>
      </c>
      <c r="G35">
        <v>3.8850000000000003E-2</v>
      </c>
      <c r="H35">
        <f>2*14.2567</f>
        <v>28.513400000000001</v>
      </c>
      <c r="I35">
        <f>2*14.2567</f>
        <v>28.513400000000001</v>
      </c>
      <c r="J35">
        <f>2*71.2835</f>
        <v>142.56700000000001</v>
      </c>
      <c r="K35">
        <f t="shared" ref="K35:K36" si="37">H35/10</f>
        <v>2.85134</v>
      </c>
      <c r="L35">
        <f t="shared" ref="L35:L36" si="38">I35/10</f>
        <v>2.85134</v>
      </c>
      <c r="M35">
        <f t="shared" ref="M35:M36" si="39">J35/50</f>
        <v>2.85134</v>
      </c>
      <c r="O35">
        <f t="shared" ref="O35:O36" si="40">C35/10000</f>
        <v>-4.2900791940000005</v>
      </c>
      <c r="P35">
        <f t="shared" ref="P35:P36" si="41">C35-5000*$H$4-2500*$R$4-2500*$R$12</f>
        <v>-3031.1384275000019</v>
      </c>
      <c r="Q35">
        <f t="shared" si="9"/>
        <v>-0.3031138427500002</v>
      </c>
      <c r="R35">
        <f t="shared" ref="R35:R36" si="42">Q35/(H35*I35)</f>
        <v>-3.7282734414240235E-4</v>
      </c>
      <c r="S35">
        <f t="shared" ref="S35:S36" si="43">P35/(H35*I35)</f>
        <v>-3.7282734414240233</v>
      </c>
      <c r="T35">
        <f t="shared" si="36"/>
        <v>-2.743889999998828</v>
      </c>
      <c r="U35">
        <f t="shared" ref="U35:U36" si="44">T35/(H35*I35)</f>
        <v>-3.3749604176348978E-3</v>
      </c>
      <c r="V35">
        <f>AVERAGE(U34:U39)</f>
        <v>-4.3572622711413626E-3</v>
      </c>
    </row>
    <row r="36" spans="1:22">
      <c r="A36">
        <v>200</v>
      </c>
      <c r="B36">
        <v>201.92577</v>
      </c>
      <c r="C36">
        <v>-42901.08094</v>
      </c>
      <c r="D36">
        <v>-42640.097500000003</v>
      </c>
      <c r="E36">
        <v>115843.68537000001</v>
      </c>
      <c r="F36">
        <v>100.55583</v>
      </c>
      <c r="G36">
        <v>3.9460000000000002E-2</v>
      </c>
      <c r="H36">
        <f>2*14.2562</f>
        <v>28.5124</v>
      </c>
      <c r="I36">
        <f>2*14.2562</f>
        <v>28.5124</v>
      </c>
      <c r="J36">
        <f>2*71.2811</f>
        <v>142.56219999999999</v>
      </c>
      <c r="K36">
        <f t="shared" si="37"/>
        <v>2.8512399999999998</v>
      </c>
      <c r="L36">
        <f t="shared" si="38"/>
        <v>2.8512399999999998</v>
      </c>
      <c r="M36">
        <f t="shared" si="39"/>
        <v>2.8512439999999999</v>
      </c>
      <c r="O36">
        <f t="shared" si="40"/>
        <v>-4.2901080939999998</v>
      </c>
      <c r="P36">
        <f t="shared" si="41"/>
        <v>-3031.4274274999989</v>
      </c>
      <c r="Q36">
        <f t="shared" si="9"/>
        <v>-0.30314274274999992</v>
      </c>
      <c r="R36">
        <f t="shared" si="42"/>
        <v>-3.7288904578272825E-4</v>
      </c>
      <c r="S36">
        <f t="shared" si="43"/>
        <v>-3.7288904578272821</v>
      </c>
      <c r="T36">
        <f t="shared" si="36"/>
        <v>-3.0328899999958594</v>
      </c>
      <c r="U36">
        <f t="shared" si="44"/>
        <v>-3.7306895352434925E-3</v>
      </c>
      <c r="V36">
        <f>STDEV(U34:U39)</f>
        <v>1.4434167748106871E-3</v>
      </c>
    </row>
    <row r="37" spans="1:22">
      <c r="A37">
        <v>200</v>
      </c>
      <c r="B37">
        <v>200.40259</v>
      </c>
      <c r="C37">
        <v>-42903.163930000002</v>
      </c>
      <c r="D37">
        <v>-42644.149160000001</v>
      </c>
      <c r="E37">
        <v>115837.73673</v>
      </c>
      <c r="F37">
        <v>94.640169999999998</v>
      </c>
      <c r="G37">
        <v>3.9050000000000001E-2</v>
      </c>
      <c r="H37">
        <f>2*14.2564</f>
        <v>28.512799999999999</v>
      </c>
      <c r="I37">
        <f>2*14.2564</f>
        <v>28.512799999999999</v>
      </c>
      <c r="K37">
        <f t="shared" ref="K37:K39" si="45">H37/10</f>
        <v>2.85128</v>
      </c>
      <c r="L37">
        <f t="shared" ref="L37:L39" si="46">I37/10</f>
        <v>2.85128</v>
      </c>
      <c r="M37">
        <f t="shared" ref="M37:M39" si="47">J37/50</f>
        <v>0</v>
      </c>
      <c r="O37">
        <f t="shared" ref="O37:O39" si="48">C37/10000</f>
        <v>-4.2903163930000003</v>
      </c>
      <c r="P37">
        <f t="shared" ref="P37:P39" si="49">C37-5000*$H$4-2500*$R$4-2500*$R$12</f>
        <v>-3033.5104175000015</v>
      </c>
      <c r="Q37">
        <f t="shared" ref="Q37:Q39" si="50">P37/10000</f>
        <v>-0.30335104175000016</v>
      </c>
      <c r="R37">
        <f t="shared" ref="R37:R39" si="51">Q37/(H37*I37)</f>
        <v>-3.7313480020359003E-4</v>
      </c>
      <c r="S37">
        <f t="shared" ref="S37:S39" si="52">P37/(H37*I37)</f>
        <v>-3.7313480020359</v>
      </c>
      <c r="T37">
        <f t="shared" si="36"/>
        <v>-5.1158799999984694</v>
      </c>
      <c r="U37">
        <f t="shared" ref="U37:U39" si="53">T37/(H37*I37)</f>
        <v>-6.2927519571142855E-3</v>
      </c>
    </row>
    <row r="38" spans="1:22">
      <c r="A38">
        <v>200</v>
      </c>
      <c r="B38">
        <v>201.78305</v>
      </c>
      <c r="C38">
        <v>-42901.308169999997</v>
      </c>
      <c r="D38">
        <v>-42640.5092</v>
      </c>
      <c r="E38">
        <v>115843.56387</v>
      </c>
      <c r="F38">
        <v>85.4542</v>
      </c>
      <c r="G38">
        <v>3.8559999999999997E-2</v>
      </c>
      <c r="H38">
        <f>2*14.2568</f>
        <v>28.5136</v>
      </c>
      <c r="I38">
        <f>2*14.2568</f>
        <v>28.5136</v>
      </c>
      <c r="K38">
        <f t="shared" si="45"/>
        <v>2.8513600000000001</v>
      </c>
      <c r="L38">
        <f t="shared" si="46"/>
        <v>2.8513600000000001</v>
      </c>
      <c r="M38">
        <f t="shared" si="47"/>
        <v>0</v>
      </c>
      <c r="O38">
        <f t="shared" si="48"/>
        <v>-4.2901308169999997</v>
      </c>
      <c r="P38">
        <f t="shared" si="49"/>
        <v>-3031.6546574999957</v>
      </c>
      <c r="Q38">
        <f t="shared" si="50"/>
        <v>-0.30316546574999959</v>
      </c>
      <c r="R38">
        <f t="shared" si="51"/>
        <v>-3.7288560893447998E-4</v>
      </c>
      <c r="S38">
        <f t="shared" si="52"/>
        <v>-3.7288560893447995</v>
      </c>
      <c r="T38">
        <f t="shared" si="36"/>
        <v>-3.2601199999926394</v>
      </c>
      <c r="U38">
        <f t="shared" si="53"/>
        <v>-4.0098624966710406E-3</v>
      </c>
    </row>
    <row r="39" spans="1:22">
      <c r="A39">
        <v>200</v>
      </c>
      <c r="B39">
        <v>200.61689000000001</v>
      </c>
      <c r="C39">
        <v>-42902.908770000002</v>
      </c>
      <c r="D39">
        <v>-42643.617019999998</v>
      </c>
      <c r="E39">
        <v>115836.96292000001</v>
      </c>
      <c r="F39">
        <v>107.14626</v>
      </c>
      <c r="G39">
        <v>3.884E-2</v>
      </c>
      <c r="H39">
        <f>2*14.2563</f>
        <v>28.512599999999999</v>
      </c>
      <c r="I39">
        <f>2*14.2563</f>
        <v>28.512599999999999</v>
      </c>
      <c r="K39">
        <f t="shared" si="45"/>
        <v>2.8512599999999999</v>
      </c>
      <c r="L39">
        <f t="shared" si="46"/>
        <v>2.8512599999999999</v>
      </c>
      <c r="M39">
        <f t="shared" si="47"/>
        <v>0</v>
      </c>
      <c r="O39">
        <f t="shared" si="48"/>
        <v>-4.2902908770000003</v>
      </c>
      <c r="P39">
        <f t="shared" si="49"/>
        <v>-3033.2552575000009</v>
      </c>
      <c r="Q39">
        <f t="shared" si="50"/>
        <v>-0.3033255257500001</v>
      </c>
      <c r="R39">
        <f t="shared" si="51"/>
        <v>-3.7310864867195424E-4</v>
      </c>
      <c r="S39">
        <f t="shared" si="52"/>
        <v>-3.7310864867195423</v>
      </c>
      <c r="T39">
        <f t="shared" si="36"/>
        <v>-4.8607199999978548</v>
      </c>
      <c r="U39">
        <f t="shared" si="53"/>
        <v>-5.9789780839832286E-3</v>
      </c>
    </row>
    <row r="40" spans="1:22">
      <c r="A40">
        <v>300</v>
      </c>
      <c r="B40">
        <v>300.83148</v>
      </c>
      <c r="C40">
        <v>-42765.954669999999</v>
      </c>
      <c r="D40">
        <v>-42377.138339999998</v>
      </c>
      <c r="E40">
        <v>116198.86657</v>
      </c>
      <c r="F40">
        <v>326.39456999999999</v>
      </c>
      <c r="G40">
        <v>3.8760000000000003E-2</v>
      </c>
      <c r="H40">
        <f>2*14.2692</f>
        <v>28.538399999999999</v>
      </c>
      <c r="I40">
        <f>2*14.2692</f>
        <v>28.538399999999999</v>
      </c>
      <c r="J40">
        <f>2*71.3462</f>
        <v>142.69239999999999</v>
      </c>
      <c r="K40">
        <f t="shared" si="33"/>
        <v>2.8538399999999999</v>
      </c>
      <c r="L40">
        <f t="shared" si="34"/>
        <v>2.8538399999999999</v>
      </c>
      <c r="M40">
        <f t="shared" si="35"/>
        <v>2.8538479999999997</v>
      </c>
      <c r="O40">
        <f>C40/10000</f>
        <v>-4.2765954669999999</v>
      </c>
      <c r="P40">
        <f>C40-5000*$H$5-2500*$R$5-2500*$R$13</f>
        <v>-3035.7062824999975</v>
      </c>
      <c r="Q40">
        <f t="shared" si="9"/>
        <v>-0.30357062824999975</v>
      </c>
      <c r="R40">
        <f t="shared" si="10"/>
        <v>-3.7273528548671452E-4</v>
      </c>
      <c r="S40">
        <f t="shared" si="11"/>
        <v>-3.7273528548671457</v>
      </c>
      <c r="T40">
        <f t="shared" ref="T40:T45" si="54">P40-5000*$I$13</f>
        <v>-3.5345199999983379</v>
      </c>
      <c r="U40">
        <f t="shared" si="12"/>
        <v>-4.3398148524860913E-3</v>
      </c>
    </row>
    <row r="41" spans="1:22">
      <c r="A41">
        <v>300</v>
      </c>
      <c r="B41">
        <v>300.76301999999998</v>
      </c>
      <c r="C41">
        <v>-42765.96471</v>
      </c>
      <c r="D41">
        <v>-42377.236870000001</v>
      </c>
      <c r="E41">
        <v>116203.02327999999</v>
      </c>
      <c r="F41">
        <v>316.62499000000003</v>
      </c>
      <c r="G41">
        <v>3.9419999999999997E-2</v>
      </c>
      <c r="H41">
        <f>2*14.2692</f>
        <v>28.538399999999999</v>
      </c>
      <c r="I41">
        <f>2*14.2692</f>
        <v>28.538399999999999</v>
      </c>
      <c r="J41">
        <f>2*71.3458</f>
        <v>142.69159999999999</v>
      </c>
      <c r="K41">
        <f t="shared" ref="K41:K42" si="55">H41/10</f>
        <v>2.8538399999999999</v>
      </c>
      <c r="L41">
        <f t="shared" ref="L41:L42" si="56">I41/10</f>
        <v>2.8538399999999999</v>
      </c>
      <c r="M41">
        <f t="shared" ref="M41:M42" si="57">J41/50</f>
        <v>2.8538319999999997</v>
      </c>
      <c r="O41">
        <f t="shared" ref="O41:O42" si="58">C41/10000</f>
        <v>-4.2765964710000004</v>
      </c>
      <c r="P41">
        <f t="shared" ref="P41:P42" si="59">C41-5000*$H$5-2500*$R$5-2500*$R$13</f>
        <v>-3035.7163224999986</v>
      </c>
      <c r="Q41">
        <f t="shared" si="9"/>
        <v>-0.30357163224999983</v>
      </c>
      <c r="R41">
        <f t="shared" ref="R41:R42" si="60">Q41/(H41*I41)</f>
        <v>-3.7273651823518174E-4</v>
      </c>
      <c r="S41">
        <f t="shared" ref="S41:S42" si="61">P41/(H41*I41)</f>
        <v>-3.7273651823518179</v>
      </c>
      <c r="T41">
        <f t="shared" si="54"/>
        <v>-3.5445599999993647</v>
      </c>
      <c r="U41">
        <f t="shared" ref="U41:U42" si="62">T41/(H41*I41)</f>
        <v>-4.3521423371582499E-3</v>
      </c>
      <c r="V41">
        <f>AVERAGE(U40:U45)</f>
        <v>-1.7171695136737463E-3</v>
      </c>
    </row>
    <row r="42" spans="1:22">
      <c r="A42">
        <v>300</v>
      </c>
      <c r="B42">
        <v>303.42083000000002</v>
      </c>
      <c r="C42">
        <v>-42762.408750000002</v>
      </c>
      <c r="D42">
        <v>-42370.245770000001</v>
      </c>
      <c r="E42">
        <v>116208.11294000001</v>
      </c>
      <c r="F42">
        <v>366.50556</v>
      </c>
      <c r="G42">
        <v>3.9280000000000002E-2</v>
      </c>
      <c r="H42">
        <f>2*14.2698</f>
        <v>28.5396</v>
      </c>
      <c r="I42">
        <f>2*14.2698</f>
        <v>28.5396</v>
      </c>
      <c r="J42">
        <f>2*71.3489</f>
        <v>142.6978</v>
      </c>
      <c r="K42">
        <f t="shared" si="55"/>
        <v>2.8539599999999998</v>
      </c>
      <c r="L42">
        <f t="shared" si="56"/>
        <v>2.8539599999999998</v>
      </c>
      <c r="M42">
        <f t="shared" si="57"/>
        <v>2.8539560000000002</v>
      </c>
      <c r="O42">
        <f t="shared" si="58"/>
        <v>-4.2762408750000001</v>
      </c>
      <c r="P42">
        <f t="shared" si="59"/>
        <v>-3032.1603625000007</v>
      </c>
      <c r="Q42">
        <f t="shared" si="9"/>
        <v>-0.30321603625000004</v>
      </c>
      <c r="R42">
        <f t="shared" si="60"/>
        <v>-3.7226859685620604E-4</v>
      </c>
      <c r="S42">
        <f t="shared" si="61"/>
        <v>-3.7226859685620606</v>
      </c>
      <c r="T42">
        <f t="shared" si="54"/>
        <v>1.1399999998502608E-2</v>
      </c>
      <c r="U42">
        <f t="shared" si="62"/>
        <v>1.3996166087021448E-5</v>
      </c>
      <c r="V42">
        <f>STDEV(U40:U45)</f>
        <v>2.1719906697143343E-3</v>
      </c>
    </row>
    <row r="43" spans="1:22">
      <c r="A43">
        <v>300</v>
      </c>
      <c r="B43">
        <v>302.34634</v>
      </c>
      <c r="C43">
        <v>-42763.875229999998</v>
      </c>
      <c r="D43">
        <v>-42373.101000000002</v>
      </c>
      <c r="E43">
        <v>116207.62336</v>
      </c>
      <c r="F43">
        <v>351.26425999999998</v>
      </c>
      <c r="G43">
        <v>3.9399999999999998E-2</v>
      </c>
      <c r="H43">
        <f>2*14.269</f>
        <v>28.538</v>
      </c>
      <c r="I43">
        <f>2*14.269</f>
        <v>28.538</v>
      </c>
      <c r="K43">
        <f t="shared" ref="K43:K45" si="63">H43/10</f>
        <v>2.8538000000000001</v>
      </c>
      <c r="L43">
        <f t="shared" ref="L43:L45" si="64">I43/10</f>
        <v>2.8538000000000001</v>
      </c>
      <c r="M43">
        <f t="shared" ref="M43:M45" si="65">J43/50</f>
        <v>0</v>
      </c>
      <c r="O43">
        <f t="shared" ref="O43:O45" si="66">C43/10000</f>
        <v>-4.2763875229999995</v>
      </c>
      <c r="P43">
        <f t="shared" ref="P43:P45" si="67">C43-5000*$H$5-2500*$R$5-2500*$R$13</f>
        <v>-3033.6268424999962</v>
      </c>
      <c r="Q43">
        <f t="shared" ref="Q43:Q45" si="68">P43/10000</f>
        <v>-0.30336268424999963</v>
      </c>
      <c r="R43">
        <f t="shared" ref="R43:R45" si="69">Q43/(H43*I43)</f>
        <v>-3.7249040585383091E-4</v>
      </c>
      <c r="S43">
        <f t="shared" ref="S43:S45" si="70">P43/(H43*I43)</f>
        <v>-3.7249040585383089</v>
      </c>
      <c r="T43">
        <f t="shared" si="54"/>
        <v>-1.4550799999969968</v>
      </c>
      <c r="U43">
        <f t="shared" ref="U43:U45" si="71">T43/(H43*I43)</f>
        <v>-1.7866513183342333E-3</v>
      </c>
    </row>
    <row r="44" spans="1:22">
      <c r="A44">
        <v>300</v>
      </c>
      <c r="B44">
        <v>303.23971</v>
      </c>
      <c r="C44">
        <v>-42762.669379999999</v>
      </c>
      <c r="D44">
        <v>-42370.740489999996</v>
      </c>
      <c r="E44">
        <v>116211.16271</v>
      </c>
      <c r="F44">
        <v>333.32576999999998</v>
      </c>
      <c r="G44">
        <v>3.9059999999999997E-2</v>
      </c>
      <c r="H44">
        <f>2*14.2694</f>
        <v>28.538799999999998</v>
      </c>
      <c r="I44">
        <f>2*14.2694</f>
        <v>28.538799999999998</v>
      </c>
      <c r="K44">
        <f t="shared" si="63"/>
        <v>2.8538799999999998</v>
      </c>
      <c r="L44">
        <f t="shared" si="64"/>
        <v>2.8538799999999998</v>
      </c>
      <c r="M44">
        <f t="shared" si="65"/>
        <v>0</v>
      </c>
      <c r="O44">
        <f t="shared" si="66"/>
        <v>-4.276266938</v>
      </c>
      <c r="P44">
        <f t="shared" si="67"/>
        <v>-3032.4209924999977</v>
      </c>
      <c r="Q44">
        <f t="shared" si="68"/>
        <v>-0.30324209924999979</v>
      </c>
      <c r="R44">
        <f t="shared" si="69"/>
        <v>-3.7232146824646938E-4</v>
      </c>
      <c r="S44">
        <f t="shared" si="70"/>
        <v>-3.7232146824646937</v>
      </c>
      <c r="T44">
        <f t="shared" si="54"/>
        <v>-0.24922999999853346</v>
      </c>
      <c r="U44">
        <f t="shared" si="71"/>
        <v>-3.0600526694685718E-4</v>
      </c>
    </row>
    <row r="45" spans="1:22">
      <c r="A45">
        <v>300</v>
      </c>
      <c r="B45">
        <v>303.62947000000003</v>
      </c>
      <c r="C45">
        <v>-42762.039360000002</v>
      </c>
      <c r="D45">
        <v>-42369.60671</v>
      </c>
      <c r="E45">
        <v>116211.91903</v>
      </c>
      <c r="F45">
        <v>310.99025999999998</v>
      </c>
      <c r="G45">
        <v>3.9210000000000002E-2</v>
      </c>
      <c r="H45">
        <f>2*14.2684</f>
        <v>28.536799999999999</v>
      </c>
      <c r="I45">
        <f>2*14.2684</f>
        <v>28.536799999999999</v>
      </c>
      <c r="K45">
        <f t="shared" si="63"/>
        <v>2.8536799999999998</v>
      </c>
      <c r="L45">
        <f t="shared" si="64"/>
        <v>2.8536799999999998</v>
      </c>
      <c r="M45">
        <f t="shared" si="65"/>
        <v>0</v>
      </c>
      <c r="O45">
        <f t="shared" si="66"/>
        <v>-4.2762039359999999</v>
      </c>
      <c r="P45">
        <f t="shared" si="67"/>
        <v>-3031.7909725000009</v>
      </c>
      <c r="Q45">
        <f t="shared" si="68"/>
        <v>-0.30317909725000008</v>
      </c>
      <c r="R45">
        <f t="shared" si="69"/>
        <v>-3.7229629346420079E-4</v>
      </c>
      <c r="S45">
        <f t="shared" si="70"/>
        <v>-3.7229629346420081</v>
      </c>
      <c r="T45">
        <f t="shared" si="54"/>
        <v>0.38078999999834195</v>
      </c>
      <c r="U45">
        <f t="shared" si="71"/>
        <v>4.6760052679593401E-4</v>
      </c>
    </row>
    <row r="46" spans="1:22">
      <c r="A46">
        <v>400</v>
      </c>
      <c r="B46">
        <v>400.21377000000001</v>
      </c>
      <c r="C46">
        <v>-42627.569280000003</v>
      </c>
      <c r="D46">
        <v>-42110.304120000001</v>
      </c>
      <c r="E46">
        <v>116653.57226</v>
      </c>
      <c r="F46">
        <v>-254.63923</v>
      </c>
      <c r="G46">
        <v>4.471E-2</v>
      </c>
      <c r="H46">
        <f>2*14.292</f>
        <v>28.584</v>
      </c>
      <c r="I46">
        <f>2*14.292</f>
        <v>28.584</v>
      </c>
      <c r="J46">
        <f>2*71.4599</f>
        <v>142.91980000000001</v>
      </c>
      <c r="K46">
        <f t="shared" ref="K46" si="72">H46/10</f>
        <v>2.8584000000000001</v>
      </c>
      <c r="L46">
        <f t="shared" ref="L46" si="73">I46/10</f>
        <v>2.8584000000000001</v>
      </c>
      <c r="M46">
        <f t="shared" ref="M46" si="74">J46/50</f>
        <v>2.8583960000000004</v>
      </c>
      <c r="O46">
        <f>C46/10000</f>
        <v>-4.2627569279999999</v>
      </c>
      <c r="P46">
        <f>C46-5000*$H$6-2500*$R$6-2500*$R$14</f>
        <v>-3053.1868425000011</v>
      </c>
      <c r="Q46">
        <f>P46/10000</f>
        <v>-0.30531868425000014</v>
      </c>
      <c r="R46">
        <f>Q46/(H46*I46)</f>
        <v>-3.7368647176539571E-4</v>
      </c>
      <c r="S46">
        <f>P46/(H46*I46)</f>
        <v>-3.7368647176539569</v>
      </c>
      <c r="T46">
        <f t="shared" ref="T46:T51" si="75">P46-5000*$I$14</f>
        <v>-8.5458050000029289</v>
      </c>
      <c r="U46">
        <f>T46/(H46*I46)</f>
        <v>-1.0459404823817854E-2</v>
      </c>
    </row>
    <row r="47" spans="1:22">
      <c r="A47">
        <v>400</v>
      </c>
      <c r="B47">
        <v>404.74776000000003</v>
      </c>
      <c r="C47">
        <v>-42621.325960000002</v>
      </c>
      <c r="D47">
        <v>-42098.20074</v>
      </c>
      <c r="E47">
        <v>116668.14592</v>
      </c>
      <c r="F47">
        <v>-191.36861999999999</v>
      </c>
      <c r="G47">
        <v>4.4209999999999999E-2</v>
      </c>
      <c r="H47">
        <f>2*14.2929</f>
        <v>28.585799999999999</v>
      </c>
      <c r="I47">
        <f>2*14.2929</f>
        <v>28.585799999999999</v>
      </c>
      <c r="J47">
        <f>2*71.4646</f>
        <v>142.92920000000001</v>
      </c>
      <c r="K47">
        <f t="shared" ref="K47" si="76">H47/10</f>
        <v>2.8585799999999999</v>
      </c>
      <c r="L47">
        <f t="shared" ref="L47" si="77">I47/10</f>
        <v>2.8585799999999999</v>
      </c>
      <c r="M47">
        <f t="shared" ref="M47" si="78">J47/50</f>
        <v>2.858584</v>
      </c>
      <c r="O47">
        <f>C47/10000</f>
        <v>-4.2621325959999998</v>
      </c>
      <c r="P47">
        <f t="shared" ref="P47:P51" si="79">C47-5000*$H$6-2500*$R$6-2500*$R$14</f>
        <v>-3046.9435224999997</v>
      </c>
      <c r="Q47">
        <f>P47/10000</f>
        <v>-0.30469435224999997</v>
      </c>
      <c r="R47">
        <f>Q47/(H47*I47)</f>
        <v>-3.7287537453863849E-4</v>
      </c>
      <c r="S47">
        <f>P47/(H47*I47)</f>
        <v>-3.7287537453863848</v>
      </c>
      <c r="T47">
        <f t="shared" si="75"/>
        <v>-2.3024850000015249</v>
      </c>
      <c r="U47">
        <f>T47/(H47*I47)</f>
        <v>-2.8177087970463546E-3</v>
      </c>
      <c r="V47">
        <f>AVERAGE(U46:U51)</f>
        <v>-8.056233757210934E-3</v>
      </c>
    </row>
    <row r="48" spans="1:22">
      <c r="A48">
        <v>400</v>
      </c>
      <c r="B48">
        <v>400.04032999999998</v>
      </c>
      <c r="C48">
        <v>-42627.989840000002</v>
      </c>
      <c r="D48">
        <v>-42110.948839999997</v>
      </c>
      <c r="E48">
        <v>116646.99562</v>
      </c>
      <c r="F48">
        <v>-155.73393999999999</v>
      </c>
      <c r="G48">
        <v>4.4490000000000002E-2</v>
      </c>
      <c r="H48">
        <f>2*14.2909</f>
        <v>28.581800000000001</v>
      </c>
      <c r="I48">
        <f>2*14.2909</f>
        <v>28.581800000000001</v>
      </c>
      <c r="J48">
        <f>2*71.4546</f>
        <v>142.9092</v>
      </c>
      <c r="K48">
        <f t="shared" ref="K48" si="80">H48/10</f>
        <v>2.8581799999999999</v>
      </c>
      <c r="L48">
        <f t="shared" ref="L48" si="81">I48/10</f>
        <v>2.8581799999999999</v>
      </c>
      <c r="M48">
        <f t="shared" ref="M48" si="82">J48/50</f>
        <v>2.8581840000000001</v>
      </c>
      <c r="O48">
        <f>C48/10000</f>
        <v>-4.2627989839999998</v>
      </c>
      <c r="P48">
        <f t="shared" si="79"/>
        <v>-3053.6074024999998</v>
      </c>
      <c r="Q48">
        <f>P48/10000</f>
        <v>-0.30536074024999998</v>
      </c>
      <c r="R48">
        <f>Q48/(H48*I48)</f>
        <v>-3.7379548203163808E-4</v>
      </c>
      <c r="S48">
        <f>P48/(H48*I48)</f>
        <v>-3.7379548203163808</v>
      </c>
      <c r="T48">
        <f t="shared" si="75"/>
        <v>-8.9663650000015878</v>
      </c>
      <c r="U48">
        <f>T48/(H48*I48)</f>
        <v>-1.097582722816052E-2</v>
      </c>
      <c r="V48">
        <f>STDEV(U46:U51)</f>
        <v>3.1598245955740275E-3</v>
      </c>
    </row>
    <row r="49" spans="1:22">
      <c r="A49">
        <v>400</v>
      </c>
      <c r="B49">
        <v>403.06711000000001</v>
      </c>
      <c r="C49">
        <v>-42623.683319999996</v>
      </c>
      <c r="D49">
        <v>-42102.73029</v>
      </c>
      <c r="E49">
        <v>116658.53752</v>
      </c>
      <c r="F49">
        <v>-191.00774999999999</v>
      </c>
      <c r="G49">
        <v>4.4400000000000002E-2</v>
      </c>
      <c r="H49">
        <f>2*14.2908</f>
        <v>28.581600000000002</v>
      </c>
      <c r="I49">
        <f>2*14.2908</f>
        <v>28.581600000000002</v>
      </c>
      <c r="K49">
        <f t="shared" ref="K49:K51" si="83">H49/10</f>
        <v>2.8581600000000003</v>
      </c>
      <c r="L49">
        <f t="shared" ref="L49:L51" si="84">I49/10</f>
        <v>2.8581600000000003</v>
      </c>
      <c r="M49">
        <f t="shared" ref="M49:M51" si="85">J49/50</f>
        <v>0</v>
      </c>
      <c r="O49">
        <f t="shared" ref="O49:O51" si="86">C49/10000</f>
        <v>-4.2623683319999994</v>
      </c>
      <c r="P49">
        <f t="shared" si="79"/>
        <v>-3049.3008824999943</v>
      </c>
      <c r="Q49">
        <f t="shared" ref="Q49:Q51" si="87">P49/10000</f>
        <v>-0.30493008824999945</v>
      </c>
      <c r="R49">
        <f t="shared" ref="R49:R51" si="88">Q49/(H49*I49)</f>
        <v>-3.7327354003854646E-4</v>
      </c>
      <c r="S49">
        <f t="shared" ref="S49:S51" si="89">P49/(H49*I49)</f>
        <v>-3.7327354003854643</v>
      </c>
      <c r="T49">
        <f t="shared" si="75"/>
        <v>-4.6598449999960394</v>
      </c>
      <c r="U49">
        <f t="shared" ref="U49:U51" si="90">T49/(H49*I49)</f>
        <v>-5.7042479775015944E-3</v>
      </c>
    </row>
    <row r="50" spans="1:22">
      <c r="A50">
        <v>400</v>
      </c>
      <c r="B50">
        <v>400.92311000000001</v>
      </c>
      <c r="C50">
        <v>-42626.694190000002</v>
      </c>
      <c r="D50">
        <v>-42108.512219999997</v>
      </c>
      <c r="E50">
        <v>116652.37287000001</v>
      </c>
      <c r="F50">
        <v>-200.14921000000001</v>
      </c>
      <c r="G50">
        <v>4.3319999999999997E-2</v>
      </c>
      <c r="H50">
        <f>2*14.2927</f>
        <v>28.5854</v>
      </c>
      <c r="I50">
        <f>2*14.2927</f>
        <v>28.5854</v>
      </c>
      <c r="K50">
        <f t="shared" si="83"/>
        <v>2.8585400000000001</v>
      </c>
      <c r="L50">
        <f t="shared" si="84"/>
        <v>2.8585400000000001</v>
      </c>
      <c r="M50">
        <f t="shared" si="85"/>
        <v>0</v>
      </c>
      <c r="O50">
        <f t="shared" si="86"/>
        <v>-4.2626694189999998</v>
      </c>
      <c r="P50">
        <f t="shared" si="79"/>
        <v>-3052.3117524999998</v>
      </c>
      <c r="Q50">
        <f t="shared" si="87"/>
        <v>-0.30523117524999999</v>
      </c>
      <c r="R50">
        <f t="shared" si="88"/>
        <v>-3.7354277552486463E-4</v>
      </c>
      <c r="S50">
        <f t="shared" si="89"/>
        <v>-3.7354277552486463</v>
      </c>
      <c r="T50">
        <f t="shared" si="75"/>
        <v>-7.6707150000015645</v>
      </c>
      <c r="U50">
        <f t="shared" si="90"/>
        <v>-9.3874427112955808E-3</v>
      </c>
    </row>
    <row r="51" spans="1:22">
      <c r="A51">
        <v>400</v>
      </c>
      <c r="B51">
        <v>401.14395000000002</v>
      </c>
      <c r="C51">
        <v>-42626.370459999998</v>
      </c>
      <c r="D51">
        <v>-42107.903050000001</v>
      </c>
      <c r="E51">
        <v>116656.54536</v>
      </c>
      <c r="F51">
        <v>-195.61527000000001</v>
      </c>
      <c r="G51">
        <v>4.369E-2</v>
      </c>
      <c r="H51">
        <f>2*14.2915</f>
        <v>28.582999999999998</v>
      </c>
      <c r="I51">
        <f>2*14.2915</f>
        <v>28.582999999999998</v>
      </c>
      <c r="K51">
        <f t="shared" si="83"/>
        <v>2.8582999999999998</v>
      </c>
      <c r="L51">
        <f t="shared" si="84"/>
        <v>2.8582999999999998</v>
      </c>
      <c r="M51">
        <f t="shared" si="85"/>
        <v>0</v>
      </c>
      <c r="O51">
        <f t="shared" si="86"/>
        <v>-4.262637046</v>
      </c>
      <c r="P51">
        <f t="shared" si="79"/>
        <v>-3051.9880224999961</v>
      </c>
      <c r="Q51">
        <f t="shared" si="87"/>
        <v>-0.30519880224999962</v>
      </c>
      <c r="R51">
        <f t="shared" si="88"/>
        <v>-3.73565883116781E-4</v>
      </c>
      <c r="S51">
        <f t="shared" si="89"/>
        <v>-3.7356588311678101</v>
      </c>
      <c r="T51">
        <f t="shared" si="75"/>
        <v>-7.3469849999978578</v>
      </c>
      <c r="U51">
        <f t="shared" si="90"/>
        <v>-8.9927710054437029E-3</v>
      </c>
    </row>
    <row r="52" spans="1:22">
      <c r="A52">
        <v>500</v>
      </c>
      <c r="B52">
        <v>503.02168999999998</v>
      </c>
      <c r="C52">
        <v>-42483.639159999999</v>
      </c>
      <c r="D52">
        <v>-41833.497609999999</v>
      </c>
      <c r="E52">
        <v>117065.87099</v>
      </c>
      <c r="F52">
        <v>93.208079999999995</v>
      </c>
      <c r="G52">
        <v>5.4190000000000002E-2</v>
      </c>
      <c r="H52">
        <f>2*14.2997</f>
        <v>28.599399999999999</v>
      </c>
      <c r="I52">
        <f>2*14.2997</f>
        <v>28.599399999999999</v>
      </c>
      <c r="K52">
        <f t="shared" ref="K52:K57" si="91">H52/10</f>
        <v>2.8599399999999999</v>
      </c>
      <c r="L52">
        <f t="shared" ref="L52:L57" si="92">I52/10</f>
        <v>2.8599399999999999</v>
      </c>
      <c r="M52">
        <f t="shared" ref="M52:M57" si="93">J52/50</f>
        <v>0</v>
      </c>
      <c r="O52">
        <f t="shared" ref="O52" si="94">C52/10000</f>
        <v>-4.2483639159999997</v>
      </c>
      <c r="P52">
        <f>C52-5000*$H$7-2500*$R$7-2500*$R$15</f>
        <v>-3063.9127912499953</v>
      </c>
      <c r="Q52">
        <f t="shared" ref="Q52" si="95">P52/10000</f>
        <v>-0.30639127912499953</v>
      </c>
      <c r="R52">
        <f>Q52/(H52*I52)</f>
        <v>-3.7459549991161197E-4</v>
      </c>
      <c r="S52">
        <f t="shared" ref="S52" si="96">P52/(H52*I52)</f>
        <v>-3.7459549991161194</v>
      </c>
      <c r="T52">
        <f t="shared" ref="T52:T57" si="97">P52-5000*$I$15</f>
        <v>-1.4462349999962498</v>
      </c>
      <c r="U52">
        <f t="shared" ref="U52" si="98">T52/(H52*I52)</f>
        <v>-1.7681740954260136E-3</v>
      </c>
    </row>
    <row r="53" spans="1:22">
      <c r="A53">
        <v>500</v>
      </c>
      <c r="B53">
        <v>504.03894000000003</v>
      </c>
      <c r="C53">
        <v>-42482.167670000003</v>
      </c>
      <c r="D53">
        <v>-41830.711349999998</v>
      </c>
      <c r="E53">
        <v>117064.44489</v>
      </c>
      <c r="F53">
        <v>130.19323</v>
      </c>
      <c r="G53">
        <v>5.4629999999999998E-2</v>
      </c>
      <c r="H53">
        <f>2*14.3</f>
        <v>28.6</v>
      </c>
      <c r="I53">
        <f>2*14.3</f>
        <v>28.6</v>
      </c>
      <c r="K53">
        <f t="shared" si="91"/>
        <v>2.8600000000000003</v>
      </c>
      <c r="L53">
        <f t="shared" si="92"/>
        <v>2.8600000000000003</v>
      </c>
      <c r="M53">
        <f t="shared" si="93"/>
        <v>0</v>
      </c>
      <c r="O53">
        <f t="shared" ref="O53:O57" si="99">C53/10000</f>
        <v>-4.2482167670000006</v>
      </c>
      <c r="P53">
        <f t="shared" ref="P53:P56" si="100">C53-5000*$H$7-2500*$R$7-2500*$R$15</f>
        <v>-3062.441301249999</v>
      </c>
      <c r="Q53">
        <f t="shared" ref="Q53:Q57" si="101">P53/10000</f>
        <v>-0.3062441301249999</v>
      </c>
      <c r="R53">
        <f t="shared" ref="R53:R57" si="102">Q53/(H53*I53)</f>
        <v>-3.7439988523277411E-4</v>
      </c>
      <c r="S53">
        <f t="shared" ref="S53:S57" si="103">P53/(H53*I53)</f>
        <v>-3.7439988523277408</v>
      </c>
      <c r="T53">
        <f t="shared" si="97"/>
        <v>2.5255000000015571E-2</v>
      </c>
      <c r="U53">
        <f t="shared" ref="U53:U57" si="104">T53/(H53*I53)</f>
        <v>3.0875592938549034E-5</v>
      </c>
      <c r="V53">
        <f>AVERAGE(U52:U57)</f>
        <v>-2.5556170683057396E-3</v>
      </c>
    </row>
    <row r="54" spans="1:22">
      <c r="A54">
        <v>500</v>
      </c>
      <c r="B54">
        <v>502.52686999999997</v>
      </c>
      <c r="C54">
        <v>-42484.394670000001</v>
      </c>
      <c r="D54">
        <v>-41834.892670000001</v>
      </c>
      <c r="E54">
        <v>117063.81191999999</v>
      </c>
      <c r="F54">
        <v>98.061400000000006</v>
      </c>
      <c r="G54">
        <v>5.4649999999999997E-2</v>
      </c>
      <c r="H54">
        <f>2*14.3</f>
        <v>28.6</v>
      </c>
      <c r="I54">
        <f>2*14.3</f>
        <v>28.6</v>
      </c>
      <c r="K54">
        <f t="shared" si="91"/>
        <v>2.8600000000000003</v>
      </c>
      <c r="L54">
        <f t="shared" si="92"/>
        <v>2.8600000000000003</v>
      </c>
      <c r="M54">
        <f t="shared" si="93"/>
        <v>0</v>
      </c>
      <c r="O54">
        <f t="shared" si="99"/>
        <v>-4.2484394669999999</v>
      </c>
      <c r="P54">
        <f t="shared" si="100"/>
        <v>-3064.668301249998</v>
      </c>
      <c r="Q54">
        <f t="shared" si="101"/>
        <v>-0.30646683012499981</v>
      </c>
      <c r="R54">
        <f t="shared" si="102"/>
        <v>-3.746721479351066E-4</v>
      </c>
      <c r="S54">
        <f t="shared" si="103"/>
        <v>-3.7467214793510659</v>
      </c>
      <c r="T54">
        <f t="shared" si="97"/>
        <v>-2.2017449999989367</v>
      </c>
      <c r="U54">
        <f t="shared" si="104"/>
        <v>-2.6917514303864938E-3</v>
      </c>
      <c r="V54">
        <f>STDEV(U52:U57)</f>
        <v>3.6036634883538374E-3</v>
      </c>
    </row>
    <row r="55" spans="1:22">
      <c r="A55">
        <v>500</v>
      </c>
      <c r="B55">
        <v>501.33816999999999</v>
      </c>
      <c r="C55">
        <v>-42486.161059999999</v>
      </c>
      <c r="D55">
        <v>-41838.19541</v>
      </c>
      <c r="E55">
        <v>117058.93493</v>
      </c>
      <c r="F55">
        <v>126.05759999999999</v>
      </c>
      <c r="G55">
        <v>5.3280000000000001E-2</v>
      </c>
      <c r="H55">
        <f>2*14.2999</f>
        <v>28.599799999999998</v>
      </c>
      <c r="I55">
        <f>2*14.2999</f>
        <v>28.599799999999998</v>
      </c>
      <c r="K55">
        <f t="shared" si="91"/>
        <v>2.8599799999999997</v>
      </c>
      <c r="L55">
        <f t="shared" si="92"/>
        <v>2.8599799999999997</v>
      </c>
      <c r="M55">
        <f t="shared" si="93"/>
        <v>0</v>
      </c>
      <c r="O55">
        <f t="shared" si="99"/>
        <v>-4.2486161060000001</v>
      </c>
      <c r="P55">
        <f t="shared" si="100"/>
        <v>-3066.434691249995</v>
      </c>
      <c r="Q55">
        <f t="shared" si="101"/>
        <v>-0.30664346912499951</v>
      </c>
      <c r="R55">
        <f t="shared" si="102"/>
        <v>-3.7489334183802929E-4</v>
      </c>
      <c r="S55">
        <f t="shared" si="103"/>
        <v>-3.7489334183802927</v>
      </c>
      <c r="T55">
        <f t="shared" si="97"/>
        <v>-3.9681349999959821</v>
      </c>
      <c r="U55">
        <f t="shared" si="104"/>
        <v>-4.8513258581956908E-3</v>
      </c>
    </row>
    <row r="56" spans="1:22">
      <c r="A56">
        <v>500</v>
      </c>
      <c r="B56">
        <v>499.37549999999999</v>
      </c>
      <c r="C56">
        <v>-42488.83339</v>
      </c>
      <c r="D56">
        <v>-41843.404450000002</v>
      </c>
      <c r="E56">
        <v>117043.97786</v>
      </c>
      <c r="F56">
        <v>154.01044999999999</v>
      </c>
      <c r="G56">
        <v>5.3870000000000001E-2</v>
      </c>
      <c r="H56">
        <f>2*14.2983</f>
        <v>28.596599999999999</v>
      </c>
      <c r="I56">
        <f>2*14.2983</f>
        <v>28.596599999999999</v>
      </c>
      <c r="K56">
        <f t="shared" si="91"/>
        <v>2.8596599999999999</v>
      </c>
      <c r="L56">
        <f t="shared" si="92"/>
        <v>2.8596599999999999</v>
      </c>
      <c r="M56">
        <f t="shared" si="93"/>
        <v>0</v>
      </c>
      <c r="O56">
        <f t="shared" si="99"/>
        <v>-4.2488833389999998</v>
      </c>
      <c r="P56">
        <f t="shared" si="100"/>
        <v>-3069.1070212499963</v>
      </c>
      <c r="Q56">
        <f t="shared" si="101"/>
        <v>-0.3069107021249996</v>
      </c>
      <c r="R56">
        <f t="shared" si="102"/>
        <v>-3.7530403310044792E-4</v>
      </c>
      <c r="S56">
        <f t="shared" si="103"/>
        <v>-3.7530403310044798</v>
      </c>
      <c r="T56">
        <f t="shared" si="97"/>
        <v>-6.6404649999972207</v>
      </c>
      <c r="U56">
        <f t="shared" si="104"/>
        <v>-8.120255432299309E-3</v>
      </c>
    </row>
    <row r="57" spans="1:22">
      <c r="A57">
        <v>500</v>
      </c>
      <c r="B57">
        <v>505.34422000000001</v>
      </c>
      <c r="C57">
        <v>-42480.502520000002</v>
      </c>
      <c r="D57">
        <v>-41827.359170000003</v>
      </c>
      <c r="E57">
        <v>117074.29364</v>
      </c>
      <c r="F57">
        <v>147.92805999999999</v>
      </c>
      <c r="G57">
        <v>5.4629999999999998E-2</v>
      </c>
      <c r="H57">
        <f>2*14.2989</f>
        <v>28.597799999999999</v>
      </c>
      <c r="I57">
        <f>2*14.2989</f>
        <v>28.597799999999999</v>
      </c>
      <c r="K57">
        <f t="shared" si="91"/>
        <v>2.8597799999999998</v>
      </c>
      <c r="L57">
        <f t="shared" si="92"/>
        <v>2.8597799999999998</v>
      </c>
      <c r="M57">
        <f t="shared" si="93"/>
        <v>0</v>
      </c>
      <c r="O57">
        <f t="shared" si="99"/>
        <v>-4.2480502520000005</v>
      </c>
      <c r="P57">
        <f>C57-5000*$H$7-2500*$R$7-2500*$R$15</f>
        <v>-3060.7761512499983</v>
      </c>
      <c r="Q57">
        <f t="shared" si="101"/>
        <v>-0.30607761512499981</v>
      </c>
      <c r="R57">
        <f t="shared" si="102"/>
        <v>-3.7425388701495547E-4</v>
      </c>
      <c r="S57">
        <f t="shared" si="103"/>
        <v>-3.7425388701495548</v>
      </c>
      <c r="T57">
        <f t="shared" si="97"/>
        <v>1.6904050000007373</v>
      </c>
      <c r="U57">
        <f t="shared" si="104"/>
        <v>2.0669288135345214E-3</v>
      </c>
    </row>
    <row r="58" spans="1:22">
      <c r="C58" t="s">
        <v>17</v>
      </c>
    </row>
    <row r="59" spans="1:22">
      <c r="A59">
        <v>100</v>
      </c>
      <c r="B59">
        <v>101.37457999999999</v>
      </c>
      <c r="C59">
        <v>-51642.523309999997</v>
      </c>
      <c r="D59">
        <v>-51485.292099999999</v>
      </c>
      <c r="E59">
        <v>138565.02681000001</v>
      </c>
      <c r="F59">
        <v>-21.12067</v>
      </c>
      <c r="G59">
        <v>5.9670000000000001E-2</v>
      </c>
      <c r="H59">
        <f>2*14.2392</f>
        <v>28.478400000000001</v>
      </c>
      <c r="I59">
        <f>2*14.2392</f>
        <v>28.478400000000001</v>
      </c>
      <c r="J59">
        <f>2*85.4355</f>
        <v>170.87100000000001</v>
      </c>
      <c r="K59">
        <f t="shared" ref="K59" si="105">H59/10</f>
        <v>2.8478400000000001</v>
      </c>
      <c r="L59">
        <f t="shared" ref="L59" si="106">I59/10</f>
        <v>2.8478400000000001</v>
      </c>
      <c r="M59">
        <f>J59/60</f>
        <v>2.8478500000000002</v>
      </c>
      <c r="O59">
        <f>C59/12000</f>
        <v>-4.3035436091666668</v>
      </c>
      <c r="P59">
        <f>C59-6000*$H$3-3000*$R$3-3000*$R$11</f>
        <v>-3636.7658899999951</v>
      </c>
      <c r="Q59">
        <f>P59/12000</f>
        <v>-0.30306382416666627</v>
      </c>
      <c r="R59">
        <f>Q59/(H59*I59)</f>
        <v>-3.7368264437432486E-4</v>
      </c>
      <c r="S59">
        <f t="shared" si="11"/>
        <v>-4.4841917324918983</v>
      </c>
      <c r="T59">
        <f t="shared" ref="T59:T64" si="107">P59-6000*$I$11</f>
        <v>-1.0918699999970158</v>
      </c>
      <c r="U59">
        <f t="shared" si="12"/>
        <v>-1.3462935407542976E-3</v>
      </c>
    </row>
    <row r="60" spans="1:22">
      <c r="A60">
        <v>100</v>
      </c>
      <c r="B60">
        <v>101.14230000000001</v>
      </c>
      <c r="C60">
        <v>-51642.905890000002</v>
      </c>
      <c r="D60">
        <v>-51486.034950000001</v>
      </c>
      <c r="E60">
        <v>138564.72873</v>
      </c>
      <c r="F60">
        <v>-27.640560000000001</v>
      </c>
      <c r="G60">
        <v>5.9720000000000002E-2</v>
      </c>
      <c r="H60">
        <f>2*14.239</f>
        <v>28.478000000000002</v>
      </c>
      <c r="I60">
        <f>2*14.239</f>
        <v>28.478000000000002</v>
      </c>
      <c r="J60">
        <f>2*85.4343</f>
        <v>170.86859999999999</v>
      </c>
      <c r="K60">
        <f t="shared" ref="K60" si="108">H60/10</f>
        <v>2.8478000000000003</v>
      </c>
      <c r="L60">
        <f t="shared" ref="L60" si="109">I60/10</f>
        <v>2.8478000000000003</v>
      </c>
      <c r="M60">
        <f>J60/60</f>
        <v>2.84781</v>
      </c>
      <c r="O60">
        <f t="shared" ref="O60:O61" si="110">C60/12000</f>
        <v>-4.3035754908333335</v>
      </c>
      <c r="P60">
        <f t="shared" ref="P60:P61" si="111">C60-6000*$H$3-3000*$R$3-3000*$R$11</f>
        <v>-3637.1484700000001</v>
      </c>
      <c r="Q60">
        <f t="shared" ref="Q60:Q61" si="112">P60/12000</f>
        <v>-0.30309570583333334</v>
      </c>
      <c r="R60">
        <f t="shared" ref="R60:R61" si="113">Q60/(H60*I60)</f>
        <v>-3.7373245360868088E-4</v>
      </c>
      <c r="S60">
        <f t="shared" ref="S60:S61" si="114">P60/(H60*I60)</f>
        <v>-4.4847894433041704</v>
      </c>
      <c r="T60">
        <f t="shared" si="107"/>
        <v>-1.4744500000019798</v>
      </c>
      <c r="U60">
        <f t="shared" ref="U60:U61" si="115">T60/(H60*I60)</f>
        <v>-1.8180720004230986E-3</v>
      </c>
      <c r="V60">
        <f>AVERAGE(U59:U64)</f>
        <v>-1.6369849696132085E-3</v>
      </c>
    </row>
    <row r="61" spans="1:22">
      <c r="A61">
        <v>100</v>
      </c>
      <c r="B61">
        <v>100.94378</v>
      </c>
      <c r="C61">
        <v>-51643.219559999998</v>
      </c>
      <c r="D61">
        <v>-51486.656519999997</v>
      </c>
      <c r="E61">
        <v>138563.32050999999</v>
      </c>
      <c r="F61">
        <v>-23.382680000000001</v>
      </c>
      <c r="G61">
        <v>5.9760000000000001E-2</v>
      </c>
      <c r="H61">
        <f>2*14.2393</f>
        <v>28.4786</v>
      </c>
      <c r="I61">
        <f>2*14.2393</f>
        <v>28.4786</v>
      </c>
      <c r="J61">
        <f>2*85.4357</f>
        <v>170.87139999999999</v>
      </c>
      <c r="K61">
        <f t="shared" ref="K61" si="116">H61/10</f>
        <v>2.8478599999999998</v>
      </c>
      <c r="L61">
        <f t="shared" ref="L61" si="117">I61/10</f>
        <v>2.8478599999999998</v>
      </c>
      <c r="M61">
        <f>J61/60</f>
        <v>2.8478566666666665</v>
      </c>
      <c r="O61">
        <f t="shared" si="110"/>
        <v>-4.3036016300000002</v>
      </c>
      <c r="P61">
        <f t="shared" si="111"/>
        <v>-3637.462139999996</v>
      </c>
      <c r="Q61">
        <f t="shared" si="112"/>
        <v>-0.30312184499999967</v>
      </c>
      <c r="R61">
        <f t="shared" si="113"/>
        <v>-3.7374893541317847E-4</v>
      </c>
      <c r="S61">
        <f t="shared" si="114"/>
        <v>-4.4849872249581413</v>
      </c>
      <c r="T61">
        <f t="shared" si="107"/>
        <v>-1.788119999997889</v>
      </c>
      <c r="U61">
        <f t="shared" si="115"/>
        <v>-2.2047501934089387E-3</v>
      </c>
      <c r="V61">
        <f>STDEV(U59:U64)</f>
        <v>1.002501365617883E-3</v>
      </c>
    </row>
    <row r="62" spans="1:22">
      <c r="A62">
        <v>100</v>
      </c>
      <c r="B62">
        <v>100.78682999999999</v>
      </c>
      <c r="C62">
        <v>-51643.45132</v>
      </c>
      <c r="D62">
        <v>-51487.131719999998</v>
      </c>
      <c r="E62">
        <v>138561.78085000001</v>
      </c>
      <c r="F62">
        <v>-18.773409999999998</v>
      </c>
      <c r="G62">
        <v>5.969E-2</v>
      </c>
      <c r="H62">
        <f>2*14.2391</f>
        <v>28.478200000000001</v>
      </c>
      <c r="I62">
        <f>2*14.2391</f>
        <v>28.478200000000001</v>
      </c>
      <c r="K62">
        <f t="shared" ref="K62:K64" si="118">H62/10</f>
        <v>2.84782</v>
      </c>
      <c r="L62">
        <f t="shared" ref="L62:L64" si="119">I62/10</f>
        <v>2.84782</v>
      </c>
      <c r="M62">
        <f t="shared" ref="M62:M64" si="120">J62/60</f>
        <v>0</v>
      </c>
      <c r="O62">
        <f t="shared" ref="O62:O64" si="121">C62/12000</f>
        <v>-4.3036209433333337</v>
      </c>
      <c r="P62">
        <f t="shared" ref="P62:P64" si="122">C62-6000*$H$3-3000*$R$3-3000*$R$11</f>
        <v>-3637.6938999999984</v>
      </c>
      <c r="Q62">
        <f t="shared" ref="Q62:Q64" si="123">P62/12000</f>
        <v>-0.30314115833333322</v>
      </c>
      <c r="R62">
        <f t="shared" ref="R62:R64" si="124">Q62/(H62*I62)</f>
        <v>-3.7378324870596997E-4</v>
      </c>
      <c r="S62">
        <f t="shared" ref="S62:S64" si="125">P62/(H62*I62)</f>
        <v>-4.4853989844716393</v>
      </c>
      <c r="T62">
        <f t="shared" si="107"/>
        <v>-2.0198800000002848</v>
      </c>
      <c r="U62">
        <f t="shared" ref="U62:U64" si="126">T62/(H62*I62)</f>
        <v>-2.4905800075030655E-3</v>
      </c>
    </row>
    <row r="63" spans="1:22">
      <c r="A63">
        <v>100</v>
      </c>
      <c r="B63">
        <v>102.19307000000001</v>
      </c>
      <c r="C63">
        <v>-51641.234429999997</v>
      </c>
      <c r="D63">
        <v>-51482.733740000003</v>
      </c>
      <c r="E63">
        <v>138566.81881</v>
      </c>
      <c r="F63">
        <v>-14.102449999999999</v>
      </c>
      <c r="G63">
        <v>5.944E-2</v>
      </c>
      <c r="H63">
        <f>2*14.2395</f>
        <v>28.478999999999999</v>
      </c>
      <c r="I63">
        <f>2*14.2395</f>
        <v>28.478999999999999</v>
      </c>
      <c r="K63">
        <f t="shared" si="118"/>
        <v>2.8479000000000001</v>
      </c>
      <c r="L63">
        <f t="shared" si="119"/>
        <v>2.8479000000000001</v>
      </c>
      <c r="M63">
        <f t="shared" si="120"/>
        <v>0</v>
      </c>
      <c r="O63">
        <f t="shared" si="121"/>
        <v>-4.3034362024999995</v>
      </c>
      <c r="P63">
        <f t="shared" si="122"/>
        <v>-3635.4770099999951</v>
      </c>
      <c r="Q63">
        <f t="shared" si="123"/>
        <v>-0.30295641749999958</v>
      </c>
      <c r="R63">
        <f t="shared" si="124"/>
        <v>-3.7353447033831107E-4</v>
      </c>
      <c r="S63">
        <f t="shared" si="125"/>
        <v>-4.4824136440597329</v>
      </c>
      <c r="T63">
        <f t="shared" si="107"/>
        <v>0.19701000000304703</v>
      </c>
      <c r="U63">
        <f t="shared" si="126"/>
        <v>2.4290631177168885E-4</v>
      </c>
    </row>
    <row r="64" spans="1:22">
      <c r="A64">
        <v>100</v>
      </c>
      <c r="B64">
        <v>100.94717</v>
      </c>
      <c r="C64">
        <v>-51643.219810000002</v>
      </c>
      <c r="D64">
        <v>-51486.651510000003</v>
      </c>
      <c r="E64">
        <v>138561.75335000001</v>
      </c>
      <c r="F64">
        <v>-17.7424</v>
      </c>
      <c r="G64">
        <v>5.9839999999999997E-2</v>
      </c>
      <c r="H64">
        <f>2*14.2391</f>
        <v>28.478200000000001</v>
      </c>
      <c r="I64">
        <f>2*14.2391</f>
        <v>28.478200000000001</v>
      </c>
      <c r="K64">
        <f t="shared" si="118"/>
        <v>2.84782</v>
      </c>
      <c r="L64">
        <f t="shared" si="119"/>
        <v>2.84782</v>
      </c>
      <c r="M64">
        <f t="shared" si="120"/>
        <v>0</v>
      </c>
      <c r="O64">
        <f t="shared" si="121"/>
        <v>-4.3036016508333335</v>
      </c>
      <c r="P64">
        <f t="shared" si="122"/>
        <v>-3637.4623900000006</v>
      </c>
      <c r="Q64">
        <f t="shared" si="123"/>
        <v>-0.30312186583333339</v>
      </c>
      <c r="R64">
        <f t="shared" si="124"/>
        <v>-3.737594604042915E-4</v>
      </c>
      <c r="S64">
        <f t="shared" si="125"/>
        <v>-4.4851135248514975</v>
      </c>
      <c r="T64">
        <f t="shared" si="107"/>
        <v>-1.7883700000024874</v>
      </c>
      <c r="U64">
        <f t="shared" si="126"/>
        <v>-2.2051203873615388E-3</v>
      </c>
    </row>
    <row r="65" spans="1:22">
      <c r="A65">
        <v>200</v>
      </c>
      <c r="B65">
        <v>201.55971</v>
      </c>
      <c r="C65">
        <v>-51481.000670000001</v>
      </c>
      <c r="D65">
        <v>-51168.38308</v>
      </c>
      <c r="E65">
        <v>138954.10266999999</v>
      </c>
      <c r="F65">
        <v>63.618819999999999</v>
      </c>
      <c r="G65">
        <v>4.9860000000000002E-2</v>
      </c>
      <c r="H65">
        <f>2*14.2539</f>
        <v>28.5078</v>
      </c>
      <c r="I65">
        <f>2*14.2539</f>
        <v>28.5078</v>
      </c>
      <c r="J65">
        <f>2*85.5236</f>
        <v>171.0472</v>
      </c>
      <c r="K65">
        <f t="shared" ref="K65" si="127">H65/10</f>
        <v>2.8507799999999999</v>
      </c>
      <c r="L65">
        <f t="shared" ref="L65" si="128">I65/10</f>
        <v>2.8507799999999999</v>
      </c>
      <c r="M65">
        <f>J65/60</f>
        <v>2.8507866666666666</v>
      </c>
      <c r="O65">
        <f>C65/12000</f>
        <v>-4.290083389166667</v>
      </c>
      <c r="P65">
        <f>C65-6000*$H$4-3000*$R$4-3000*$R$12</f>
        <v>-3637.4164550000005</v>
      </c>
      <c r="Q65">
        <f>P65/12000</f>
        <v>-0.30311803791666669</v>
      </c>
      <c r="R65">
        <f>Q65/(H65*I65)</f>
        <v>-3.7297899509191354E-4</v>
      </c>
      <c r="S65">
        <f t="shared" si="11"/>
        <v>-4.4757479411029628</v>
      </c>
      <c r="T65">
        <f t="shared" ref="T65:T70" si="129">P65-6000*$I$12</f>
        <v>-3.3430099999968661</v>
      </c>
      <c r="U65">
        <f t="shared" si="12"/>
        <v>-4.1134883260356796E-3</v>
      </c>
    </row>
    <row r="66" spans="1:22">
      <c r="A66">
        <v>200</v>
      </c>
      <c r="B66">
        <v>202.39234999999999</v>
      </c>
      <c r="C66">
        <v>-51479.68737</v>
      </c>
      <c r="D66">
        <v>-51165.778359999997</v>
      </c>
      <c r="E66">
        <v>138962.94727</v>
      </c>
      <c r="F66">
        <v>41.367089999999997</v>
      </c>
      <c r="G66">
        <v>4.9209999999999997E-2</v>
      </c>
      <c r="H66">
        <f>2*14.2536</f>
        <v>28.507200000000001</v>
      </c>
      <c r="I66">
        <f>2*14.2536</f>
        <v>28.507200000000001</v>
      </c>
      <c r="J66">
        <f>2*85.5216</f>
        <v>171.04320000000001</v>
      </c>
      <c r="K66">
        <f t="shared" ref="K66:K67" si="130">H66/10</f>
        <v>2.8507199999999999</v>
      </c>
      <c r="L66">
        <f t="shared" ref="L66:L67" si="131">I66/10</f>
        <v>2.8507199999999999</v>
      </c>
      <c r="M66">
        <f t="shared" ref="M66:M67" si="132">J66/60</f>
        <v>2.8507200000000004</v>
      </c>
      <c r="O66">
        <f t="shared" ref="O66:O67" si="133">C66/12000</f>
        <v>-4.2899739475000001</v>
      </c>
      <c r="P66">
        <f t="shared" ref="P66:P67" si="134">C66-6000*$H$4-3000*$R$4-3000*$R$12</f>
        <v>-3636.1031549999989</v>
      </c>
      <c r="Q66">
        <f t="shared" ref="Q66:Q67" si="135">P66/12000</f>
        <v>-0.30300859624999993</v>
      </c>
      <c r="R66">
        <f t="shared" ref="R66:R67" si="136">Q66/(H66*I66)</f>
        <v>-3.7286002482825082E-4</v>
      </c>
      <c r="S66">
        <f t="shared" ref="S66:S67" si="137">P66/(H66*I66)</f>
        <v>-4.4743202979390091</v>
      </c>
      <c r="T66">
        <f t="shared" si="129"/>
        <v>-2.0297099999952479</v>
      </c>
      <c r="U66">
        <f t="shared" ref="U66:U67" si="138">T66/(H66*I66)</f>
        <v>-2.4976113891104737E-3</v>
      </c>
      <c r="V66">
        <f>AVERAGE(U65:U70)</f>
        <v>-3.1806518245281676E-3</v>
      </c>
    </row>
    <row r="67" spans="1:22">
      <c r="A67">
        <v>200</v>
      </c>
      <c r="B67">
        <v>202.82210000000001</v>
      </c>
      <c r="C67">
        <v>-51478.975689999999</v>
      </c>
      <c r="D67">
        <v>-51164.400139999998</v>
      </c>
      <c r="E67">
        <v>138962.30481999999</v>
      </c>
      <c r="F67">
        <v>54.185569999999998</v>
      </c>
      <c r="G67">
        <v>4.9540000000000001E-2</v>
      </c>
      <c r="H67">
        <f>2*14.2539</f>
        <v>28.5078</v>
      </c>
      <c r="I67">
        <f>2*14.2539</f>
        <v>28.5078</v>
      </c>
      <c r="J67">
        <f>2*85.5232</f>
        <v>171.04640000000001</v>
      </c>
      <c r="K67">
        <f t="shared" si="130"/>
        <v>2.8507799999999999</v>
      </c>
      <c r="L67">
        <f t="shared" si="131"/>
        <v>2.8507799999999999</v>
      </c>
      <c r="M67">
        <f t="shared" si="132"/>
        <v>2.8507733333333336</v>
      </c>
      <c r="O67">
        <f t="shared" si="133"/>
        <v>-4.2899146408333335</v>
      </c>
      <c r="P67">
        <f t="shared" si="134"/>
        <v>-3635.3914749999985</v>
      </c>
      <c r="Q67">
        <f t="shared" si="135"/>
        <v>-0.30294928958333323</v>
      </c>
      <c r="R67">
        <f t="shared" si="136"/>
        <v>-3.7277135458255048E-4</v>
      </c>
      <c r="S67">
        <f t="shared" si="137"/>
        <v>-4.4732562549906056</v>
      </c>
      <c r="T67">
        <f t="shared" si="129"/>
        <v>-1.3180299999949057</v>
      </c>
      <c r="U67">
        <f t="shared" si="138"/>
        <v>-1.621802213678372E-3</v>
      </c>
      <c r="V67">
        <f>STDEV(U65:U70)</f>
        <v>1.2525856632095887E-3</v>
      </c>
    </row>
    <row r="68" spans="1:22">
      <c r="A68">
        <v>200</v>
      </c>
      <c r="B68">
        <v>202.44451000000001</v>
      </c>
      <c r="C68">
        <v>-51479.590210000002</v>
      </c>
      <c r="D68">
        <v>-51165.600299999998</v>
      </c>
      <c r="E68">
        <v>138959.1856</v>
      </c>
      <c r="F68">
        <v>74.331149999999994</v>
      </c>
      <c r="G68">
        <v>4.9270000000000001E-2</v>
      </c>
      <c r="H68">
        <f>2*14.254</f>
        <v>28.507999999999999</v>
      </c>
      <c r="I68">
        <f>2*14.254</f>
        <v>28.507999999999999</v>
      </c>
      <c r="K68">
        <f t="shared" ref="K68:K70" si="139">H68/10</f>
        <v>2.8508</v>
      </c>
      <c r="L68">
        <f t="shared" ref="L68:L70" si="140">I68/10</f>
        <v>2.8508</v>
      </c>
      <c r="M68">
        <f t="shared" ref="M68:M70" si="141">J68/60</f>
        <v>0</v>
      </c>
      <c r="O68">
        <f t="shared" ref="O68:O70" si="142">C68/12000</f>
        <v>-4.2899658508333331</v>
      </c>
      <c r="P68">
        <f t="shared" ref="P68:P70" si="143">C68-6000*$H$4-3000*$R$4-3000*$R$12</f>
        <v>-3636.0059950000013</v>
      </c>
      <c r="Q68">
        <f t="shared" ref="Q68:Q70" si="144">P68/12000</f>
        <v>-0.30300049958333347</v>
      </c>
      <c r="R68">
        <f t="shared" ref="R68:R70" si="145">Q68/(H68*I68)</f>
        <v>-3.7282913590187448E-4</v>
      </c>
      <c r="S68">
        <f t="shared" ref="S68:S70" si="146">P68/(H68*I68)</f>
        <v>-4.4739496308224931</v>
      </c>
      <c r="T68">
        <f t="shared" si="129"/>
        <v>-1.9325499999977183</v>
      </c>
      <c r="U68">
        <f t="shared" ref="U68:U70" si="147">T68/(H68*I68)</f>
        <v>-2.3779199954360353E-3</v>
      </c>
    </row>
    <row r="69" spans="1:22">
      <c r="A69">
        <v>200</v>
      </c>
      <c r="B69">
        <v>201.1498</v>
      </c>
      <c r="C69">
        <v>-51481.731500000002</v>
      </c>
      <c r="D69">
        <v>-51169.749680000001</v>
      </c>
      <c r="E69">
        <v>138955.67249999999</v>
      </c>
      <c r="F69">
        <v>73.578190000000006</v>
      </c>
      <c r="G69">
        <v>4.895E-2</v>
      </c>
      <c r="H69">
        <f>2*14.2544</f>
        <v>28.508800000000001</v>
      </c>
      <c r="I69">
        <f>2*14.2544</f>
        <v>28.508800000000001</v>
      </c>
      <c r="K69">
        <f t="shared" si="139"/>
        <v>2.8508800000000001</v>
      </c>
      <c r="L69">
        <f t="shared" si="140"/>
        <v>2.8508800000000001</v>
      </c>
      <c r="M69">
        <f t="shared" si="141"/>
        <v>0</v>
      </c>
      <c r="O69">
        <f t="shared" si="142"/>
        <v>-4.2901442916666666</v>
      </c>
      <c r="P69">
        <f t="shared" si="143"/>
        <v>-3638.1472850000009</v>
      </c>
      <c r="Q69">
        <f t="shared" si="144"/>
        <v>-0.30317894041666676</v>
      </c>
      <c r="R69">
        <f t="shared" si="145"/>
        <v>-3.7302776337739196E-4</v>
      </c>
      <c r="S69">
        <f t="shared" si="146"/>
        <v>-4.4763331605287036</v>
      </c>
      <c r="T69">
        <f t="shared" si="129"/>
        <v>-4.0738399999972899</v>
      </c>
      <c r="U69">
        <f t="shared" si="147"/>
        <v>-5.0124042965116284E-3</v>
      </c>
    </row>
    <row r="70" spans="1:22">
      <c r="A70">
        <v>200</v>
      </c>
      <c r="B70">
        <v>201.89876000000001</v>
      </c>
      <c r="C70">
        <v>-51480.470139999998</v>
      </c>
      <c r="D70">
        <v>-51167.326679999998</v>
      </c>
      <c r="E70">
        <v>138958.14134999999</v>
      </c>
      <c r="F70">
        <v>65.767269999999996</v>
      </c>
      <c r="G70">
        <v>4.9079999999999999E-2</v>
      </c>
      <c r="H70">
        <f>2*14.2539</f>
        <v>28.5078</v>
      </c>
      <c r="I70">
        <f>2*14.2539</f>
        <v>28.5078</v>
      </c>
      <c r="K70">
        <f t="shared" si="139"/>
        <v>2.8507799999999999</v>
      </c>
      <c r="L70">
        <f t="shared" si="140"/>
        <v>2.8507799999999999</v>
      </c>
      <c r="M70">
        <f t="shared" si="141"/>
        <v>0</v>
      </c>
      <c r="O70">
        <f t="shared" si="142"/>
        <v>-4.2900391783333331</v>
      </c>
      <c r="P70">
        <f t="shared" si="143"/>
        <v>-3636.8859249999969</v>
      </c>
      <c r="Q70">
        <f t="shared" si="144"/>
        <v>-0.30307382708333308</v>
      </c>
      <c r="R70">
        <f t="shared" si="145"/>
        <v>-3.7292459479194368E-4</v>
      </c>
      <c r="S70">
        <f t="shared" si="146"/>
        <v>-4.4750951375033239</v>
      </c>
      <c r="T70">
        <f t="shared" si="129"/>
        <v>-2.8124799999932293</v>
      </c>
      <c r="U70">
        <f t="shared" si="147"/>
        <v>-3.4606847263968172E-3</v>
      </c>
    </row>
    <row r="71" spans="1:22">
      <c r="A71">
        <v>300</v>
      </c>
      <c r="B71">
        <v>300.45805999999999</v>
      </c>
      <c r="C71">
        <v>-51318.802210000002</v>
      </c>
      <c r="D71">
        <v>-50852.794029999997</v>
      </c>
      <c r="E71">
        <v>139379.80536999999</v>
      </c>
      <c r="F71">
        <v>333.35379</v>
      </c>
      <c r="G71">
        <v>4.6339999999999999E-2</v>
      </c>
      <c r="H71">
        <f>2*14.2677</f>
        <v>28.535399999999999</v>
      </c>
      <c r="I71">
        <f>2*14.2677</f>
        <v>28.535399999999999</v>
      </c>
      <c r="J71">
        <f>2*85.606</f>
        <v>171.21199999999999</v>
      </c>
      <c r="K71">
        <f t="shared" ref="K71" si="148">H71/10</f>
        <v>2.8535399999999997</v>
      </c>
      <c r="L71">
        <f t="shared" ref="L71" si="149">I71/10</f>
        <v>2.8535399999999997</v>
      </c>
      <c r="M71">
        <f>J71/60</f>
        <v>2.853533333333333</v>
      </c>
      <c r="O71">
        <f>C71/12000</f>
        <v>-4.2765668508333334</v>
      </c>
      <c r="P71">
        <f>C71-6000*$H$5-3000*$R$5-3000*$R$13</f>
        <v>-3642.5041450000026</v>
      </c>
      <c r="Q71">
        <f>P71/12000</f>
        <v>-0.30354201208333353</v>
      </c>
      <c r="R71">
        <f>Q71/(H71*I71)</f>
        <v>-3.7277851946522272E-4</v>
      </c>
      <c r="S71">
        <f t="shared" si="11"/>
        <v>-4.4733422335826729</v>
      </c>
      <c r="T71">
        <f t="shared" ref="T71:T76" si="150">P71-6000*$I$13</f>
        <v>-3.8980300000034731</v>
      </c>
      <c r="U71">
        <f t="shared" si="12"/>
        <v>-4.7871523360442985E-3</v>
      </c>
    </row>
    <row r="72" spans="1:22">
      <c r="A72">
        <v>300</v>
      </c>
      <c r="B72">
        <v>301.80581000000001</v>
      </c>
      <c r="C72">
        <v>-51316.621829999996</v>
      </c>
      <c r="D72">
        <v>-50848.523289999997</v>
      </c>
      <c r="E72">
        <v>139393.74189999999</v>
      </c>
      <c r="F72">
        <v>275.56655000000001</v>
      </c>
      <c r="G72">
        <v>4.598E-2</v>
      </c>
      <c r="H72">
        <f>2*14.2672</f>
        <v>28.534400000000002</v>
      </c>
      <c r="I72">
        <f>2*14.2672</f>
        <v>28.534400000000002</v>
      </c>
      <c r="J72">
        <f>2*85.6033</f>
        <v>171.20660000000001</v>
      </c>
      <c r="K72">
        <f t="shared" ref="K72:K73" si="151">H72/10</f>
        <v>2.85344</v>
      </c>
      <c r="L72">
        <f t="shared" ref="L72:L73" si="152">I72/10</f>
        <v>2.85344</v>
      </c>
      <c r="M72">
        <f t="shared" ref="M72:M73" si="153">J72/60</f>
        <v>2.8534433333333333</v>
      </c>
      <c r="O72">
        <f t="shared" ref="O72:O73" si="154">C72/12000</f>
        <v>-4.2763851524999996</v>
      </c>
      <c r="P72">
        <f t="shared" ref="P72:P73" si="155">C72-6000*$H$5-3000*$R$5-3000*$R$13</f>
        <v>-3640.3237649999974</v>
      </c>
      <c r="Q72">
        <f t="shared" ref="Q72:Q73" si="156">P72/12000</f>
        <v>-0.30336031374999978</v>
      </c>
      <c r="R72">
        <f t="shared" ref="R72:R73" si="157">Q72/(H72*I72)</f>
        <v>-3.7258148977140564E-4</v>
      </c>
      <c r="S72">
        <f t="shared" ref="S72:S73" si="158">P72/(H72*I72)</f>
        <v>-4.4709778772568676</v>
      </c>
      <c r="T72">
        <f t="shared" si="150"/>
        <v>-1.7176499999982298</v>
      </c>
      <c r="U72">
        <f t="shared" ref="U72:U73" si="159">T72/(H72*I72)</f>
        <v>-2.1095857529755597E-3</v>
      </c>
      <c r="V72">
        <f>AVERAGE(U71:U76)</f>
        <v>-2.5169030592076436E-3</v>
      </c>
    </row>
    <row r="73" spans="1:22">
      <c r="A73">
        <v>300</v>
      </c>
      <c r="B73">
        <v>301.58096</v>
      </c>
      <c r="C73">
        <v>-51316.927710000004</v>
      </c>
      <c r="D73">
        <v>-50849.177909999999</v>
      </c>
      <c r="E73">
        <v>139389.09880000001</v>
      </c>
      <c r="F73">
        <v>255.88301999999999</v>
      </c>
      <c r="G73">
        <v>4.5600000000000002E-2</v>
      </c>
      <c r="H73">
        <f>2*14.2674</f>
        <v>28.534800000000001</v>
      </c>
      <c r="I73">
        <f>2*14.2674</f>
        <v>28.534800000000001</v>
      </c>
      <c r="J73">
        <f>2*85.6044</f>
        <v>171.2088</v>
      </c>
      <c r="K73">
        <f t="shared" si="151"/>
        <v>2.8534800000000002</v>
      </c>
      <c r="L73">
        <f t="shared" si="152"/>
        <v>2.8534800000000002</v>
      </c>
      <c r="M73">
        <f t="shared" si="153"/>
        <v>2.8534799999999998</v>
      </c>
      <c r="O73">
        <f t="shared" si="154"/>
        <v>-4.2764106425000001</v>
      </c>
      <c r="P73">
        <f t="shared" si="155"/>
        <v>-3640.6296450000045</v>
      </c>
      <c r="Q73">
        <f t="shared" si="156"/>
        <v>-0.3033858037500004</v>
      </c>
      <c r="R73">
        <f t="shared" si="157"/>
        <v>-3.7260234963731648E-4</v>
      </c>
      <c r="S73">
        <f t="shared" si="158"/>
        <v>-4.4712281956477975</v>
      </c>
      <c r="T73">
        <f t="shared" si="150"/>
        <v>-2.023530000005394</v>
      </c>
      <c r="U73">
        <f t="shared" si="159"/>
        <v>-2.4851921983301034E-3</v>
      </c>
      <c r="V73">
        <f>STDEV(U71:U76)</f>
        <v>1.5957861843222765E-3</v>
      </c>
    </row>
    <row r="74" spans="1:22">
      <c r="A74">
        <v>300</v>
      </c>
      <c r="B74">
        <v>301.29414000000003</v>
      </c>
      <c r="C74">
        <v>-51317.460310000002</v>
      </c>
      <c r="D74">
        <v>-50850.15537</v>
      </c>
      <c r="E74">
        <v>139386.82264</v>
      </c>
      <c r="F74">
        <v>311.54822000000001</v>
      </c>
      <c r="G74">
        <v>4.648E-2</v>
      </c>
      <c r="H74">
        <f>2*14.2671</f>
        <v>28.534199999999998</v>
      </c>
      <c r="I74">
        <f>2*14.2671</f>
        <v>28.534199999999998</v>
      </c>
      <c r="K74">
        <f t="shared" ref="K74:K76" si="160">H74/10</f>
        <v>2.8534199999999998</v>
      </c>
      <c r="L74">
        <f t="shared" ref="L74:L76" si="161">I74/10</f>
        <v>2.8534199999999998</v>
      </c>
      <c r="M74">
        <f t="shared" ref="M74:M76" si="162">J74/60</f>
        <v>0</v>
      </c>
      <c r="O74">
        <f t="shared" ref="O74:O76" si="163">C74/12000</f>
        <v>-4.2764550258333331</v>
      </c>
      <c r="P74">
        <f t="shared" ref="P74:P76" si="164">C74-6000*$H$5-3000*$R$5-3000*$R$13</f>
        <v>-3641.1622450000032</v>
      </c>
      <c r="Q74">
        <f t="shared" ref="Q74:Q76" si="165">P74/12000</f>
        <v>-0.30343018708333358</v>
      </c>
      <c r="R74">
        <f t="shared" ref="R74:R76" si="166">Q74/(H74*I74)</f>
        <v>-3.7267253106626507E-4</v>
      </c>
      <c r="S74">
        <f t="shared" ref="S74:S76" si="167">P74/(H74*I74)</f>
        <v>-4.4720703727951809</v>
      </c>
      <c r="T74">
        <f t="shared" si="150"/>
        <v>-2.5561300000040319</v>
      </c>
      <c r="U74">
        <f t="shared" ref="U74:U76" si="168">T74/(H74*I74)</f>
        <v>-3.1394352882045131E-3</v>
      </c>
    </row>
    <row r="75" spans="1:22">
      <c r="A75">
        <v>300</v>
      </c>
      <c r="B75">
        <v>301.43972000000002</v>
      </c>
      <c r="C75">
        <v>-51317.108039999999</v>
      </c>
      <c r="D75">
        <v>-50849.577299999997</v>
      </c>
      <c r="E75">
        <v>139387.93707000001</v>
      </c>
      <c r="F75">
        <v>290.53179</v>
      </c>
      <c r="G75">
        <v>4.5879999999999997E-2</v>
      </c>
      <c r="H75">
        <f>2*14.2674</f>
        <v>28.534800000000001</v>
      </c>
      <c r="I75">
        <f>2*14.2674</f>
        <v>28.534800000000001</v>
      </c>
      <c r="K75">
        <f t="shared" si="160"/>
        <v>2.8534800000000002</v>
      </c>
      <c r="L75">
        <f t="shared" si="161"/>
        <v>2.8534800000000002</v>
      </c>
      <c r="M75">
        <f t="shared" si="162"/>
        <v>0</v>
      </c>
      <c r="O75">
        <f t="shared" si="163"/>
        <v>-4.2764256700000001</v>
      </c>
      <c r="P75">
        <f t="shared" si="164"/>
        <v>-3640.8099750000001</v>
      </c>
      <c r="Q75">
        <f t="shared" si="165"/>
        <v>-0.30340083125</v>
      </c>
      <c r="R75">
        <f t="shared" si="166"/>
        <v>-3.7262080561561149E-4</v>
      </c>
      <c r="S75">
        <f t="shared" si="167"/>
        <v>-4.4714496673873381</v>
      </c>
      <c r="T75">
        <f t="shared" si="150"/>
        <v>-2.2038600000009865</v>
      </c>
      <c r="U75">
        <f t="shared" si="168"/>
        <v>-2.7066639378707669E-3</v>
      </c>
    </row>
    <row r="76" spans="1:22">
      <c r="A76">
        <v>300</v>
      </c>
      <c r="B76">
        <v>302.89666999999997</v>
      </c>
      <c r="C76">
        <v>-51314.801070000001</v>
      </c>
      <c r="D76">
        <v>-50845.010609999998</v>
      </c>
      <c r="E76">
        <v>139401.29221000001</v>
      </c>
      <c r="F76">
        <v>243.67418000000001</v>
      </c>
      <c r="G76">
        <v>4.5469999999999997E-2</v>
      </c>
      <c r="H76">
        <f>2*14.2687</f>
        <v>28.537400000000002</v>
      </c>
      <c r="I76">
        <f>2*14.2687</f>
        <v>28.537400000000002</v>
      </c>
      <c r="K76">
        <f t="shared" si="160"/>
        <v>2.8537400000000002</v>
      </c>
      <c r="L76">
        <f t="shared" si="161"/>
        <v>2.8537400000000002</v>
      </c>
      <c r="M76">
        <f t="shared" si="162"/>
        <v>0</v>
      </c>
      <c r="O76">
        <f t="shared" si="163"/>
        <v>-4.2762334224999998</v>
      </c>
      <c r="P76">
        <f t="shared" si="164"/>
        <v>-3638.5030050000023</v>
      </c>
      <c r="Q76">
        <f t="shared" si="165"/>
        <v>-0.3032085837500002</v>
      </c>
      <c r="R76">
        <f t="shared" si="166"/>
        <v>-3.7231684569582606E-4</v>
      </c>
      <c r="S76">
        <f t="shared" si="167"/>
        <v>-4.4678021483499126</v>
      </c>
      <c r="T76">
        <f t="shared" si="150"/>
        <v>0.1031099999968319</v>
      </c>
      <c r="U76">
        <f t="shared" si="168"/>
        <v>1.2661115817938007E-4</v>
      </c>
    </row>
    <row r="77" spans="1:22">
      <c r="A77">
        <v>400</v>
      </c>
      <c r="B77">
        <v>400.45936999999998</v>
      </c>
      <c r="C77">
        <v>-51151.787810000002</v>
      </c>
      <c r="D77">
        <v>-50530.678330000002</v>
      </c>
      <c r="E77">
        <v>139926.41652999999</v>
      </c>
      <c r="F77">
        <v>-258.97379999999998</v>
      </c>
      <c r="G77">
        <v>4.9540000000000001E-2</v>
      </c>
      <c r="H77">
        <f>2*14.2893</f>
        <v>28.578600000000002</v>
      </c>
      <c r="I77">
        <f>2*14.2893</f>
        <v>28.578600000000002</v>
      </c>
      <c r="J77">
        <f>2*85.736</f>
        <v>171.47200000000001</v>
      </c>
      <c r="K77">
        <f t="shared" ref="K77" si="169">H77/10</f>
        <v>2.8578600000000001</v>
      </c>
      <c r="L77">
        <f t="shared" ref="L77" si="170">I77/10</f>
        <v>2.8578600000000001</v>
      </c>
      <c r="M77">
        <f>J77/60</f>
        <v>2.8578666666666668</v>
      </c>
      <c r="O77">
        <f>C77/12000</f>
        <v>-4.2626489841666668</v>
      </c>
      <c r="P77">
        <f>C77-6000*$H$6-3000*$R$6-3000*$R$14</f>
        <v>-3662.5288849999997</v>
      </c>
      <c r="Q77">
        <f>P77/12000</f>
        <v>-0.30521074041666663</v>
      </c>
      <c r="R77">
        <f>Q77/(H77*I77)</f>
        <v>-3.7369553830699382E-4</v>
      </c>
      <c r="S77">
        <f t="shared" ref="S77" si="171">P77/(H77*I77)</f>
        <v>-4.484346459683926</v>
      </c>
      <c r="T77">
        <f t="shared" ref="T77:T82" si="172">P77-6000*$I$14</f>
        <v>-8.9596400000018548</v>
      </c>
      <c r="U77">
        <f t="shared" ref="U77" si="173">T77/(H77*I77)</f>
        <v>-1.0970051343103828E-2</v>
      </c>
    </row>
    <row r="78" spans="1:22">
      <c r="A78">
        <v>400</v>
      </c>
      <c r="B78">
        <v>403.03796</v>
      </c>
      <c r="C78">
        <v>-51147.449370000002</v>
      </c>
      <c r="D78">
        <v>-50522.340519999998</v>
      </c>
      <c r="E78">
        <v>139936.69524999999</v>
      </c>
      <c r="F78">
        <v>-237.17465000000001</v>
      </c>
      <c r="G78">
        <v>4.9500000000000002E-2</v>
      </c>
      <c r="H78">
        <f>2*14.2895</f>
        <v>28.579000000000001</v>
      </c>
      <c r="I78">
        <f>2*14.2895</f>
        <v>28.579000000000001</v>
      </c>
      <c r="J78">
        <f>2*85.7369</f>
        <v>171.47380000000001</v>
      </c>
      <c r="K78">
        <f t="shared" ref="K78" si="174">H78/10</f>
        <v>2.8578999999999999</v>
      </c>
      <c r="L78">
        <f t="shared" ref="L78" si="175">I78/10</f>
        <v>2.8578999999999999</v>
      </c>
      <c r="M78">
        <f>J78/60</f>
        <v>2.857896666666667</v>
      </c>
      <c r="O78">
        <f>C78/12000</f>
        <v>-4.2622874475000003</v>
      </c>
      <c r="P78">
        <f>C78-6000*$H$6-3000*$R$6-3000*$R$14</f>
        <v>-3658.1904450000002</v>
      </c>
      <c r="Q78">
        <f>P78/12000</f>
        <v>-0.30484920375000002</v>
      </c>
      <c r="R78">
        <f>Q78/(H78*I78)</f>
        <v>-3.7324242989495603E-4</v>
      </c>
      <c r="S78">
        <f t="shared" ref="S78:S79" si="176">P78/(H78*I78)</f>
        <v>-4.478909158739472</v>
      </c>
      <c r="T78">
        <f t="shared" si="172"/>
        <v>-4.6212000000023181</v>
      </c>
      <c r="U78">
        <f t="shared" ref="U78:U79" si="177">T78/(H78*I78)</f>
        <v>-5.6579708781064374E-3</v>
      </c>
      <c r="V78">
        <f>AVERAGE(U77:U82)</f>
        <v>-8.0234217237176355E-3</v>
      </c>
    </row>
    <row r="79" spans="1:22">
      <c r="A79">
        <v>400</v>
      </c>
      <c r="B79">
        <v>401.72514000000001</v>
      </c>
      <c r="C79">
        <v>-51149.730239999997</v>
      </c>
      <c r="D79">
        <v>-50526.657570000003</v>
      </c>
      <c r="E79">
        <v>139932.34757000001</v>
      </c>
      <c r="F79">
        <v>-245.21261999999999</v>
      </c>
      <c r="G79">
        <v>4.913E-2</v>
      </c>
      <c r="H79">
        <f>2*14.2886</f>
        <v>28.577200000000001</v>
      </c>
      <c r="I79">
        <f>2*14.2886</f>
        <v>28.577200000000001</v>
      </c>
      <c r="J79">
        <f>2*85.7319</f>
        <v>171.46379999999999</v>
      </c>
      <c r="K79">
        <f t="shared" ref="K79" si="178">H79/10</f>
        <v>2.85772</v>
      </c>
      <c r="L79">
        <f t="shared" ref="L79" si="179">I79/10</f>
        <v>2.85772</v>
      </c>
      <c r="M79">
        <f>J79/60</f>
        <v>2.8577299999999997</v>
      </c>
      <c r="O79">
        <f>C79/12000</f>
        <v>-4.26247752</v>
      </c>
      <c r="P79">
        <f>C79-6000*$H$6-3000*$R$6-3000*$R$14</f>
        <v>-3660.4713149999952</v>
      </c>
      <c r="Q79">
        <f>P79/12000</f>
        <v>-0.3050392762499996</v>
      </c>
      <c r="R79">
        <f>Q79/(H79*I79)</f>
        <v>-3.7352219519818974E-4</v>
      </c>
      <c r="S79">
        <f t="shared" si="176"/>
        <v>-4.4822663423782769</v>
      </c>
      <c r="T79">
        <f t="shared" si="172"/>
        <v>-6.9020699999973658</v>
      </c>
      <c r="U79">
        <f t="shared" si="177"/>
        <v>-8.4516209502729211E-3</v>
      </c>
      <c r="V79">
        <f>STDEV(U77:U82)</f>
        <v>2.8705880264501306E-3</v>
      </c>
    </row>
    <row r="80" spans="1:22">
      <c r="A80">
        <v>400</v>
      </c>
      <c r="B80">
        <v>403.77287999999999</v>
      </c>
      <c r="C80">
        <v>-51146.283239999997</v>
      </c>
      <c r="D80">
        <v>-50520.034540000001</v>
      </c>
      <c r="E80">
        <v>139935.46513</v>
      </c>
      <c r="F80">
        <v>-195.77833000000001</v>
      </c>
      <c r="G80">
        <v>4.9799999999999997E-2</v>
      </c>
      <c r="H80">
        <f>2*14.291</f>
        <v>28.582000000000001</v>
      </c>
      <c r="I80">
        <f>2*14.291</f>
        <v>28.582000000000001</v>
      </c>
      <c r="K80">
        <f t="shared" ref="K80:K82" si="180">H80/10</f>
        <v>2.8582000000000001</v>
      </c>
      <c r="L80">
        <f t="shared" ref="L80:L82" si="181">I80/10</f>
        <v>2.8582000000000001</v>
      </c>
      <c r="M80">
        <f t="shared" ref="M80:M82" si="182">J80/60</f>
        <v>0</v>
      </c>
      <c r="O80">
        <f t="shared" ref="O80:O82" si="183">C80/12000</f>
        <v>-4.2621902699999996</v>
      </c>
      <c r="P80">
        <f t="shared" ref="P80:P82" si="184">C80-6000*$H$6-3000*$R$6-3000*$R$14</f>
        <v>-3657.0243149999951</v>
      </c>
      <c r="Q80">
        <f t="shared" ref="Q80:Q82" si="185">P80/12000</f>
        <v>-0.30475202624999959</v>
      </c>
      <c r="R80">
        <f t="shared" ref="R80:R82" si="186">Q80/(H80*I80)</f>
        <v>-3.7304512769187949E-4</v>
      </c>
      <c r="S80">
        <f t="shared" ref="S80:S82" si="187">P80/(H80*I80)</f>
        <v>-4.4765415323025541</v>
      </c>
      <c r="T80">
        <f t="shared" si="172"/>
        <v>-3.4550699999972494</v>
      </c>
      <c r="U80">
        <f t="shared" ref="U80:U82" si="188">T80/(H80*I80)</f>
        <v>-4.2293304664561115E-3</v>
      </c>
    </row>
    <row r="81" spans="1:27">
      <c r="A81">
        <v>400</v>
      </c>
      <c r="B81">
        <v>402.27798999999999</v>
      </c>
      <c r="C81">
        <v>-51148.837930000002</v>
      </c>
      <c r="D81">
        <v>-50524.907800000001</v>
      </c>
      <c r="E81">
        <v>139924.22417999999</v>
      </c>
      <c r="F81">
        <v>-189.09271000000001</v>
      </c>
      <c r="G81">
        <v>4.9160000000000002E-2</v>
      </c>
      <c r="H81">
        <f>2*14.2894</f>
        <v>28.578800000000001</v>
      </c>
      <c r="I81">
        <f>2*14.2894</f>
        <v>28.578800000000001</v>
      </c>
      <c r="K81">
        <f t="shared" si="180"/>
        <v>2.8578800000000002</v>
      </c>
      <c r="L81">
        <f t="shared" si="181"/>
        <v>2.8578800000000002</v>
      </c>
      <c r="M81">
        <f t="shared" si="182"/>
        <v>0</v>
      </c>
      <c r="O81">
        <f t="shared" si="183"/>
        <v>-4.2624031608333333</v>
      </c>
      <c r="P81">
        <f t="shared" si="184"/>
        <v>-3659.5790049999996</v>
      </c>
      <c r="Q81">
        <f t="shared" si="185"/>
        <v>-0.30496491708333329</v>
      </c>
      <c r="R81">
        <f t="shared" si="186"/>
        <v>-3.7338932967868172E-4</v>
      </c>
      <c r="S81">
        <f t="shared" si="187"/>
        <v>-4.4806719561441808</v>
      </c>
      <c r="T81">
        <f t="shared" si="172"/>
        <v>-6.0097600000017337</v>
      </c>
      <c r="U81">
        <f t="shared" si="188"/>
        <v>-7.3581587003242804E-3</v>
      </c>
    </row>
    <row r="82" spans="1:27">
      <c r="A82">
        <v>400</v>
      </c>
      <c r="B82">
        <v>400.27757000000003</v>
      </c>
      <c r="C82">
        <v>-51152.1976</v>
      </c>
      <c r="D82">
        <v>-50531.3701</v>
      </c>
      <c r="E82">
        <v>139916.57526000001</v>
      </c>
      <c r="F82">
        <v>-185.33533</v>
      </c>
      <c r="G82">
        <v>4.8480000000000002E-2</v>
      </c>
      <c r="H82">
        <f>2*14.2883</f>
        <v>28.576599999999999</v>
      </c>
      <c r="I82">
        <f>2*14.2883</f>
        <v>28.576599999999999</v>
      </c>
      <c r="K82">
        <f t="shared" si="180"/>
        <v>2.8576600000000001</v>
      </c>
      <c r="L82">
        <f t="shared" si="181"/>
        <v>2.8576600000000001</v>
      </c>
      <c r="M82">
        <f t="shared" si="182"/>
        <v>0</v>
      </c>
      <c r="O82">
        <f t="shared" si="183"/>
        <v>-4.2626831333333337</v>
      </c>
      <c r="P82">
        <f t="shared" si="184"/>
        <v>-3662.9386749999976</v>
      </c>
      <c r="Q82">
        <f t="shared" si="185"/>
        <v>-0.30524488958333312</v>
      </c>
      <c r="R82">
        <f t="shared" si="186"/>
        <v>-3.7378966563489998E-4</v>
      </c>
      <c r="S82">
        <f t="shared" si="187"/>
        <v>-4.4854759876188002</v>
      </c>
      <c r="T82">
        <f t="shared" si="172"/>
        <v>-9.3694299999997384</v>
      </c>
      <c r="U82">
        <f t="shared" si="188"/>
        <v>-1.1473398004042224E-2</v>
      </c>
    </row>
    <row r="83" spans="1:27">
      <c r="A83">
        <v>500</v>
      </c>
      <c r="B83">
        <v>505.61099999999999</v>
      </c>
      <c r="C83">
        <v>-50975.28471</v>
      </c>
      <c r="D83">
        <v>-50191.085850000003</v>
      </c>
      <c r="E83">
        <v>140420.23410999999</v>
      </c>
      <c r="F83">
        <v>187.32061999999999</v>
      </c>
      <c r="G83">
        <v>6.123E-2</v>
      </c>
      <c r="H83">
        <f>2*14.2982</f>
        <v>28.596399999999999</v>
      </c>
      <c r="I83">
        <f>2*14.2982</f>
        <v>28.596399999999999</v>
      </c>
      <c r="K83">
        <f t="shared" ref="K83:K88" si="189">H83/10</f>
        <v>2.8596399999999997</v>
      </c>
      <c r="L83">
        <f t="shared" ref="L83:L88" si="190">I83/10</f>
        <v>2.8596399999999997</v>
      </c>
      <c r="M83">
        <f t="shared" ref="M83:M88" si="191">J83/60</f>
        <v>0</v>
      </c>
      <c r="O83">
        <f t="shared" ref="O83" si="192">C83/12000</f>
        <v>-4.2479403925000003</v>
      </c>
      <c r="P83">
        <f>C83-6000*$H$7-3000*$R$7-3000*$R$15</f>
        <v>-3671.6130674999986</v>
      </c>
      <c r="Q83">
        <f t="shared" ref="Q83" si="193">P83/12000</f>
        <v>-0.30596775562499989</v>
      </c>
      <c r="R83">
        <f t="shared" ref="R83" si="194">Q83/(H83*I83)</f>
        <v>-3.7415618981190003E-4</v>
      </c>
      <c r="S83">
        <f t="shared" ref="S83" si="195">P83/(H83*I83)</f>
        <v>-4.4898742777427998</v>
      </c>
      <c r="T83">
        <f>P83-6000*$I$15</f>
        <v>3.3468000000002576</v>
      </c>
      <c r="U83">
        <f t="shared" ref="U83" si="196">T83/(H83*I83)</f>
        <v>4.092672881508848E-3</v>
      </c>
    </row>
    <row r="84" spans="1:27">
      <c r="A84">
        <v>500</v>
      </c>
      <c r="B84">
        <v>502.61658</v>
      </c>
      <c r="C84">
        <v>-50980.338300000003</v>
      </c>
      <c r="D84">
        <v>-50200.783770000002</v>
      </c>
      <c r="E84">
        <v>140412.47789000001</v>
      </c>
      <c r="F84">
        <v>125.17632</v>
      </c>
      <c r="G84">
        <v>6.0260000000000001E-2</v>
      </c>
      <c r="H84">
        <f>2*14.2966</f>
        <v>28.5932</v>
      </c>
      <c r="I84">
        <f>2*14.2966</f>
        <v>28.5932</v>
      </c>
      <c r="K84">
        <f t="shared" si="189"/>
        <v>2.8593199999999999</v>
      </c>
      <c r="L84">
        <f t="shared" si="190"/>
        <v>2.8593199999999999</v>
      </c>
      <c r="M84">
        <f t="shared" si="191"/>
        <v>0</v>
      </c>
      <c r="O84">
        <f t="shared" ref="O84:O88" si="197">C84/12000</f>
        <v>-4.248361525</v>
      </c>
      <c r="P84">
        <f t="shared" ref="P84:P88" si="198">C84-6000*$H$7-3000*$R$7-3000*$R$15</f>
        <v>-3676.6666575000017</v>
      </c>
      <c r="Q84">
        <f t="shared" ref="Q84:Q88" si="199">P84/12000</f>
        <v>-0.30638888812500015</v>
      </c>
      <c r="R84">
        <f t="shared" ref="R84:R88" si="200">Q84/(H84*I84)</f>
        <v>-3.7475504366730865E-4</v>
      </c>
      <c r="S84">
        <f t="shared" ref="S84:S88" si="201">P84/(H84*I84)</f>
        <v>-4.4970605240077033</v>
      </c>
      <c r="T84">
        <f t="shared" ref="T84:T88" si="202">P84-6000*$I$15</f>
        <v>-1.7067900000029113</v>
      </c>
      <c r="U84">
        <f t="shared" ref="U84:U88" si="203">T84/(H84*I84)</f>
        <v>-2.0876349821180918E-3</v>
      </c>
      <c r="V84">
        <f>AVERAGE(U83:U88)</f>
        <v>-1.017546671849911E-3</v>
      </c>
    </row>
    <row r="85" spans="1:27">
      <c r="A85">
        <v>500</v>
      </c>
      <c r="B85">
        <v>501.16690999999997</v>
      </c>
      <c r="C85">
        <v>-50982.910750000003</v>
      </c>
      <c r="D85">
        <v>-50205.604630000002</v>
      </c>
      <c r="E85">
        <v>140401.91003</v>
      </c>
      <c r="F85">
        <v>172.99881999999999</v>
      </c>
      <c r="G85">
        <v>6.0199999999999997E-2</v>
      </c>
      <c r="H85">
        <f>2*14.2964</f>
        <v>28.5928</v>
      </c>
      <c r="I85">
        <f>2*14.2964</f>
        <v>28.5928</v>
      </c>
      <c r="K85">
        <f t="shared" si="189"/>
        <v>2.85928</v>
      </c>
      <c r="L85">
        <f t="shared" si="190"/>
        <v>2.85928</v>
      </c>
      <c r="M85">
        <f t="shared" si="191"/>
        <v>0</v>
      </c>
      <c r="O85">
        <f t="shared" si="197"/>
        <v>-4.2485758958333335</v>
      </c>
      <c r="P85">
        <f t="shared" si="198"/>
        <v>-3679.2391075000014</v>
      </c>
      <c r="Q85">
        <f t="shared" si="199"/>
        <v>-0.30660325895833346</v>
      </c>
      <c r="R85">
        <f t="shared" si="200"/>
        <v>-3.7502774089405981E-4</v>
      </c>
      <c r="S85">
        <f t="shared" si="201"/>
        <v>-4.5003328907287177</v>
      </c>
      <c r="T85">
        <f t="shared" si="202"/>
        <v>-4.2792400000025737</v>
      </c>
      <c r="U85">
        <f t="shared" si="203"/>
        <v>-5.2342356548876548E-3</v>
      </c>
      <c r="V85">
        <f>STDEV(U83:U88)</f>
        <v>3.737752376472368E-3</v>
      </c>
    </row>
    <row r="86" spans="1:27">
      <c r="A86">
        <v>500</v>
      </c>
      <c r="B86">
        <v>501.64233999999999</v>
      </c>
      <c r="C86">
        <v>-50982.002370000002</v>
      </c>
      <c r="D86">
        <v>-50203.958879999998</v>
      </c>
      <c r="E86">
        <v>140401.92650999999</v>
      </c>
      <c r="F86">
        <v>137.02742000000001</v>
      </c>
      <c r="G86">
        <v>6.0780000000000001E-2</v>
      </c>
      <c r="H86">
        <f>2*14.2976</f>
        <v>28.595199999999998</v>
      </c>
      <c r="I86">
        <f>2*14.2976</f>
        <v>28.595199999999998</v>
      </c>
      <c r="K86">
        <f t="shared" si="189"/>
        <v>2.8595199999999998</v>
      </c>
      <c r="L86">
        <f t="shared" si="190"/>
        <v>2.8595199999999998</v>
      </c>
      <c r="M86">
        <f t="shared" si="191"/>
        <v>0</v>
      </c>
      <c r="O86">
        <f t="shared" si="197"/>
        <v>-4.2485001975000003</v>
      </c>
      <c r="P86">
        <f t="shared" si="198"/>
        <v>-3678.3307275000006</v>
      </c>
      <c r="Q86">
        <f t="shared" si="199"/>
        <v>-0.30652756062500003</v>
      </c>
      <c r="R86">
        <f t="shared" si="200"/>
        <v>-3.748722149044799E-4</v>
      </c>
      <c r="S86">
        <f t="shared" si="201"/>
        <v>-4.4984665788537592</v>
      </c>
      <c r="T86">
        <f t="shared" si="202"/>
        <v>-3.3708600000018123</v>
      </c>
      <c r="U86">
        <f t="shared" si="203"/>
        <v>-4.1224409046842925E-3</v>
      </c>
    </row>
    <row r="87" spans="1:27">
      <c r="A87">
        <v>500</v>
      </c>
      <c r="B87">
        <v>502.87443999999999</v>
      </c>
      <c r="C87">
        <v>-50979.931129999997</v>
      </c>
      <c r="D87">
        <v>-50199.97666</v>
      </c>
      <c r="E87">
        <v>140408.61079999999</v>
      </c>
      <c r="F87">
        <v>185.91918000000001</v>
      </c>
      <c r="G87">
        <v>5.9729999999999998E-2</v>
      </c>
      <c r="H87">
        <f>2*14.2982</f>
        <v>28.596399999999999</v>
      </c>
      <c r="I87">
        <f>2*14.2982</f>
        <v>28.596399999999999</v>
      </c>
      <c r="K87">
        <f t="shared" si="189"/>
        <v>2.8596399999999997</v>
      </c>
      <c r="L87">
        <f t="shared" si="190"/>
        <v>2.8596399999999997</v>
      </c>
      <c r="M87">
        <f t="shared" si="191"/>
        <v>0</v>
      </c>
      <c r="O87">
        <f t="shared" si="197"/>
        <v>-4.2483275941666667</v>
      </c>
      <c r="P87">
        <f t="shared" si="198"/>
        <v>-3676.2594874999959</v>
      </c>
      <c r="Q87">
        <f t="shared" si="199"/>
        <v>-0.30635495729166634</v>
      </c>
      <c r="R87">
        <f t="shared" si="200"/>
        <v>-3.7462968382434195E-4</v>
      </c>
      <c r="S87">
        <f t="shared" si="201"/>
        <v>-4.495556205892103</v>
      </c>
      <c r="T87">
        <f t="shared" si="202"/>
        <v>-1.2996199999970486</v>
      </c>
      <c r="U87">
        <f t="shared" si="203"/>
        <v>-1.5892552677943231E-3</v>
      </c>
    </row>
    <row r="88" spans="1:27">
      <c r="A88">
        <v>500</v>
      </c>
      <c r="B88">
        <v>504.99714</v>
      </c>
      <c r="C88">
        <v>-50976.312740000001</v>
      </c>
      <c r="D88">
        <v>-50193.065979999999</v>
      </c>
      <c r="E88">
        <v>140424.73436999999</v>
      </c>
      <c r="F88">
        <v>150.41889</v>
      </c>
      <c r="G88">
        <v>6.0850000000000001E-2</v>
      </c>
      <c r="H88">
        <f>2*14.298</f>
        <v>28.596</v>
      </c>
      <c r="I88">
        <f>2*14.298</f>
        <v>28.596</v>
      </c>
      <c r="K88">
        <f t="shared" si="189"/>
        <v>2.8595999999999999</v>
      </c>
      <c r="L88">
        <f t="shared" si="190"/>
        <v>2.8595999999999999</v>
      </c>
      <c r="M88">
        <f t="shared" si="191"/>
        <v>0</v>
      </c>
      <c r="O88">
        <f t="shared" si="197"/>
        <v>-4.2480260616666667</v>
      </c>
      <c r="P88">
        <f t="shared" si="198"/>
        <v>-3672.6410974999999</v>
      </c>
      <c r="Q88">
        <f t="shared" si="199"/>
        <v>-0.30605342479166664</v>
      </c>
      <c r="R88">
        <f t="shared" si="200"/>
        <v>-3.7427142171330124E-4</v>
      </c>
      <c r="S88">
        <f t="shared" si="201"/>
        <v>-4.4912570605596152</v>
      </c>
      <c r="T88">
        <f t="shared" si="202"/>
        <v>2.3187699999989491</v>
      </c>
      <c r="U88">
        <f t="shared" si="203"/>
        <v>2.8356138968760477E-3</v>
      </c>
    </row>
    <row r="89" spans="1:27">
      <c r="C89" t="s">
        <v>19</v>
      </c>
    </row>
    <row r="90" spans="1:27">
      <c r="A90">
        <v>100</v>
      </c>
      <c r="B90">
        <v>101.2432</v>
      </c>
      <c r="C90">
        <v>-86068.371429999999</v>
      </c>
      <c r="D90">
        <v>-85806.650290000005</v>
      </c>
      <c r="E90">
        <v>230758.60300999999</v>
      </c>
      <c r="F90">
        <v>-15.32982</v>
      </c>
      <c r="G90">
        <v>0.1583</v>
      </c>
      <c r="H90">
        <f t="shared" ref="H90:I92" si="204">2*14.235</f>
        <v>28.47</v>
      </c>
      <c r="I90">
        <f t="shared" si="204"/>
        <v>28.47</v>
      </c>
      <c r="J90">
        <f>2*142.35</f>
        <v>284.7</v>
      </c>
      <c r="K90">
        <f t="shared" ref="K90" si="205">H90/10</f>
        <v>2.847</v>
      </c>
      <c r="L90">
        <f t="shared" ref="L90" si="206">I90/10</f>
        <v>2.847</v>
      </c>
      <c r="M90">
        <f>J90/100</f>
        <v>2.847</v>
      </c>
      <c r="O90">
        <f t="shared" ref="O90:O96" si="207">C90/20000</f>
        <v>-4.3034185715</v>
      </c>
      <c r="P90">
        <f>C90-10000*$H$3-5000*$R$3-5000*$R$11</f>
        <v>-6058.7757299999976</v>
      </c>
      <c r="Q90">
        <f t="shared" ref="Q90:Q98" si="208">P90/20000</f>
        <v>-0.30293878649999989</v>
      </c>
      <c r="R90">
        <f t="shared" ref="R90:R96" si="209">Q90/(H90*I90)</f>
        <v>-3.7374892062818781E-4</v>
      </c>
      <c r="S90">
        <f t="shared" si="11"/>
        <v>-7.4749784125637557</v>
      </c>
      <c r="T90">
        <f t="shared" ref="T90:T95" si="210">P90-10000*$I$11</f>
        <v>0.68096999999943364</v>
      </c>
      <c r="U90">
        <f t="shared" si="12"/>
        <v>8.4014267509441374E-4</v>
      </c>
    </row>
    <row r="91" spans="1:27">
      <c r="A91">
        <v>100</v>
      </c>
      <c r="B91">
        <v>100.47445</v>
      </c>
      <c r="C91">
        <v>-86070.424429999999</v>
      </c>
      <c r="D91">
        <v>-85810.690570000006</v>
      </c>
      <c r="E91">
        <v>230750.60707</v>
      </c>
      <c r="F91">
        <v>-11.50619</v>
      </c>
      <c r="G91">
        <v>0.15742999999999999</v>
      </c>
      <c r="H91">
        <f t="shared" si="204"/>
        <v>28.47</v>
      </c>
      <c r="I91">
        <f t="shared" si="204"/>
        <v>28.47</v>
      </c>
      <c r="J91">
        <f>2*142.35</f>
        <v>284.7</v>
      </c>
      <c r="K91">
        <f t="shared" ref="K91:K92" si="211">H91/10</f>
        <v>2.847</v>
      </c>
      <c r="L91">
        <f t="shared" ref="L91:L92" si="212">I91/10</f>
        <v>2.847</v>
      </c>
      <c r="M91">
        <f t="shared" ref="M91:M92" si="213">J91/100</f>
        <v>2.847</v>
      </c>
      <c r="O91">
        <f t="shared" ref="O91:O92" si="214">C91/20000</f>
        <v>-4.3035212214999996</v>
      </c>
      <c r="P91">
        <f t="shared" ref="P91:P92" si="215">C91-10000*$H$3-5000*$R$3-5000*$R$11</f>
        <v>-6060.8287299999974</v>
      </c>
      <c r="Q91">
        <f t="shared" si="208"/>
        <v>-0.30304143649999987</v>
      </c>
      <c r="R91">
        <f t="shared" ref="R91:R92" si="216">Q91/(H91*I91)</f>
        <v>-3.7387556445331739E-4</v>
      </c>
      <c r="S91">
        <f t="shared" ref="S91:S92" si="217">P91/(H91*I91)</f>
        <v>-7.4775112890663475</v>
      </c>
      <c r="T91">
        <f t="shared" si="210"/>
        <v>-1.3720300000004499</v>
      </c>
      <c r="U91">
        <f t="shared" ref="U91:U92" si="218">T91/(H91*I91)</f>
        <v>-1.6927338274977241E-3</v>
      </c>
      <c r="V91">
        <f>AVERAGE(U90:U95)</f>
        <v>8.3671580791965655E-4</v>
      </c>
    </row>
    <row r="92" spans="1:27">
      <c r="A92">
        <v>100</v>
      </c>
      <c r="B92">
        <v>100.96334</v>
      </c>
      <c r="C92">
        <v>-86069.096659999996</v>
      </c>
      <c r="D92">
        <v>-85808.099000000002</v>
      </c>
      <c r="E92">
        <v>230753.70973999999</v>
      </c>
      <c r="F92">
        <v>-14.12425</v>
      </c>
      <c r="G92">
        <v>0.15825</v>
      </c>
      <c r="H92">
        <f t="shared" si="204"/>
        <v>28.47</v>
      </c>
      <c r="I92">
        <f t="shared" si="204"/>
        <v>28.47</v>
      </c>
      <c r="J92">
        <f>2*142.35</f>
        <v>284.7</v>
      </c>
      <c r="K92">
        <f t="shared" si="211"/>
        <v>2.847</v>
      </c>
      <c r="L92">
        <f t="shared" si="212"/>
        <v>2.847</v>
      </c>
      <c r="M92">
        <f t="shared" si="213"/>
        <v>2.847</v>
      </c>
      <c r="O92">
        <f t="shared" si="214"/>
        <v>-4.303454833</v>
      </c>
      <c r="P92">
        <f t="shared" si="215"/>
        <v>-6059.5009599999939</v>
      </c>
      <c r="Q92">
        <f t="shared" si="208"/>
        <v>-0.30297504799999969</v>
      </c>
      <c r="R92">
        <f t="shared" si="216"/>
        <v>-3.7379365803749041E-4</v>
      </c>
      <c r="S92">
        <f t="shared" si="217"/>
        <v>-7.4758731607498081</v>
      </c>
      <c r="T92">
        <f t="shared" si="210"/>
        <v>-4.4259999996938859E-2</v>
      </c>
      <c r="U92">
        <f t="shared" si="218"/>
        <v>-5.4605510958100771E-5</v>
      </c>
      <c r="V92">
        <f>STDEV(U90:U95)</f>
        <v>1.7294049710530755E-3</v>
      </c>
    </row>
    <row r="93" spans="1:27">
      <c r="A93">
        <v>100</v>
      </c>
      <c r="B93">
        <v>101.39024999999999</v>
      </c>
      <c r="C93">
        <v>-86067.980379999994</v>
      </c>
      <c r="D93">
        <v>-85805.879100000006</v>
      </c>
      <c r="E93">
        <v>230758.20016000001</v>
      </c>
      <c r="F93">
        <v>-14.31527</v>
      </c>
      <c r="G93">
        <v>0.15851000000000001</v>
      </c>
      <c r="H93">
        <f>2*14.2352</f>
        <v>28.470400000000001</v>
      </c>
      <c r="I93">
        <f>2*14.2352</f>
        <v>28.470400000000001</v>
      </c>
      <c r="K93">
        <f t="shared" ref="K93:K95" si="219">H93/10</f>
        <v>2.8470400000000002</v>
      </c>
      <c r="L93">
        <f t="shared" ref="L93:L95" si="220">I93/10</f>
        <v>2.8470400000000002</v>
      </c>
      <c r="M93">
        <f t="shared" ref="M93:M95" si="221">J93/100</f>
        <v>0</v>
      </c>
      <c r="O93">
        <f t="shared" ref="O93:O95" si="222">C93/20000</f>
        <v>-4.3033990189999995</v>
      </c>
      <c r="P93">
        <f t="shared" ref="P93:P95" si="223">C93-10000*$H$3-5000*$R$3-5000*$R$11</f>
        <v>-6058.3846799999919</v>
      </c>
      <c r="Q93">
        <f t="shared" ref="Q93:Q95" si="224">P93/20000</f>
        <v>-0.30291923399999959</v>
      </c>
      <c r="R93">
        <f t="shared" ref="R93:R95" si="225">Q93/(H93*I93)</f>
        <v>-3.7371429649433893E-4</v>
      </c>
      <c r="S93">
        <f t="shared" ref="S93:S95" si="226">P93/(H93*I93)</f>
        <v>-7.4742859298867783</v>
      </c>
      <c r="T93">
        <f t="shared" si="210"/>
        <v>1.0720200000050681</v>
      </c>
      <c r="U93">
        <f t="shared" ref="U93:U95" si="227">T93/(H93*I93)</f>
        <v>1.32256111584435E-3</v>
      </c>
    </row>
    <row r="94" spans="1:27">
      <c r="A94">
        <v>100</v>
      </c>
      <c r="B94">
        <v>102.06388</v>
      </c>
      <c r="C94">
        <v>-86066.156180000005</v>
      </c>
      <c r="D94">
        <v>-85802.313529999999</v>
      </c>
      <c r="E94">
        <v>230759.13109000001</v>
      </c>
      <c r="F94">
        <v>-13.291029999999999</v>
      </c>
      <c r="G94">
        <v>0.15822</v>
      </c>
      <c r="H94">
        <f>2*14.2353</f>
        <v>28.470600000000001</v>
      </c>
      <c r="I94">
        <f>2*14.2353</f>
        <v>28.470600000000001</v>
      </c>
      <c r="K94">
        <f t="shared" si="219"/>
        <v>2.8470599999999999</v>
      </c>
      <c r="L94">
        <f t="shared" si="220"/>
        <v>2.8470599999999999</v>
      </c>
      <c r="M94">
        <f t="shared" si="221"/>
        <v>0</v>
      </c>
      <c r="O94">
        <f t="shared" si="222"/>
        <v>-4.3033078090000005</v>
      </c>
      <c r="P94">
        <f t="shared" si="223"/>
        <v>-6056.5604800000037</v>
      </c>
      <c r="Q94">
        <f t="shared" si="224"/>
        <v>-0.3028280240000002</v>
      </c>
      <c r="R94">
        <f t="shared" si="225"/>
        <v>-3.7359652093307599E-4</v>
      </c>
      <c r="S94">
        <f t="shared" si="226"/>
        <v>-7.4719304186615201</v>
      </c>
      <c r="T94">
        <f t="shared" si="210"/>
        <v>2.8962199999932636</v>
      </c>
      <c r="U94">
        <f t="shared" si="227"/>
        <v>3.5730435432035049E-3</v>
      </c>
    </row>
    <row r="95" spans="1:27">
      <c r="A95">
        <v>100</v>
      </c>
      <c r="B95">
        <v>101.27746999999999</v>
      </c>
      <c r="C95">
        <v>-86068.215989999997</v>
      </c>
      <c r="D95">
        <v>-85806.406260000003</v>
      </c>
      <c r="E95">
        <v>230756.16329</v>
      </c>
      <c r="F95">
        <v>-12.6615</v>
      </c>
      <c r="G95">
        <v>0.15873999999999999</v>
      </c>
      <c r="H95">
        <f>2*14.2352</f>
        <v>28.470400000000001</v>
      </c>
      <c r="I95">
        <f>2*14.2352</f>
        <v>28.470400000000001</v>
      </c>
      <c r="K95">
        <f t="shared" si="219"/>
        <v>2.8470400000000002</v>
      </c>
      <c r="L95">
        <f t="shared" si="220"/>
        <v>2.8470400000000002</v>
      </c>
      <c r="M95">
        <f t="shared" si="221"/>
        <v>0</v>
      </c>
      <c r="O95">
        <f t="shared" si="222"/>
        <v>-4.3034107994999999</v>
      </c>
      <c r="P95">
        <f t="shared" si="223"/>
        <v>-6058.6202899999953</v>
      </c>
      <c r="Q95">
        <f t="shared" si="224"/>
        <v>-0.30293101449999976</v>
      </c>
      <c r="R95">
        <f t="shared" si="225"/>
        <v>-3.7372883020753958E-4</v>
      </c>
      <c r="S95">
        <f t="shared" si="226"/>
        <v>-7.4745766041507915</v>
      </c>
      <c r="T95">
        <f t="shared" si="210"/>
        <v>0.83641000000170607</v>
      </c>
      <c r="U95">
        <f t="shared" si="227"/>
        <v>1.0318868518314952E-3</v>
      </c>
    </row>
    <row r="96" spans="1:27">
      <c r="A96">
        <v>200</v>
      </c>
      <c r="B96">
        <v>202.70606000000001</v>
      </c>
      <c r="C96">
        <v>-85795.644499999995</v>
      </c>
      <c r="D96">
        <v>-85271.634399999995</v>
      </c>
      <c r="E96">
        <v>231415.59445</v>
      </c>
      <c r="F96">
        <v>21.650690000000001</v>
      </c>
      <c r="G96">
        <v>0.11279</v>
      </c>
      <c r="H96">
        <f>2*14.2493</f>
        <v>28.4986</v>
      </c>
      <c r="I96">
        <f>2*14.2493</f>
        <v>28.4986</v>
      </c>
      <c r="J96">
        <f>2*142.493</f>
        <v>284.98599999999999</v>
      </c>
      <c r="K96">
        <f t="shared" ref="K96:K102" si="228">H96/10</f>
        <v>2.8498600000000001</v>
      </c>
      <c r="L96">
        <f t="shared" ref="L96:L102" si="229">I96/10</f>
        <v>2.8498600000000001</v>
      </c>
      <c r="M96">
        <f t="shared" ref="M96:M102" si="230">J96/100</f>
        <v>2.8498600000000001</v>
      </c>
      <c r="O96">
        <f t="shared" si="207"/>
        <v>-4.2897822249999997</v>
      </c>
      <c r="P96">
        <f>C96-10000*$H$4-5000*$R$4-5000*$R$12</f>
        <v>-6056.337474999993</v>
      </c>
      <c r="Q96">
        <f t="shared" si="208"/>
        <v>-0.30281687374999966</v>
      </c>
      <c r="R96">
        <f t="shared" si="209"/>
        <v>-3.72849032160027E-4</v>
      </c>
      <c r="S96">
        <f t="shared" si="11"/>
        <v>-7.4569806432005397</v>
      </c>
      <c r="T96">
        <f t="shared" ref="T96:T101" si="231">P96-10000*$I$12</f>
        <v>0.45160000001305889</v>
      </c>
      <c r="U96">
        <f t="shared" si="12"/>
        <v>5.5604108464361087E-4</v>
      </c>
      <c r="X96">
        <v>100</v>
      </c>
      <c r="Y96">
        <v>200</v>
      </c>
      <c r="Z96">
        <v>300</v>
      </c>
      <c r="AA96">
        <v>400</v>
      </c>
    </row>
    <row r="97" spans="1:27">
      <c r="A97">
        <v>200</v>
      </c>
      <c r="B97">
        <v>200.85495</v>
      </c>
      <c r="C97">
        <v>-85800.619619999998</v>
      </c>
      <c r="D97">
        <v>-85281.394769999999</v>
      </c>
      <c r="E97">
        <v>231403.57306</v>
      </c>
      <c r="F97">
        <v>29.216719999999999</v>
      </c>
      <c r="G97">
        <v>0.11384</v>
      </c>
      <c r="H97">
        <f>2*14.2491</f>
        <v>28.498200000000001</v>
      </c>
      <c r="I97">
        <f>2*14.2491</f>
        <v>28.498200000000001</v>
      </c>
      <c r="J97">
        <f>2*142.491</f>
        <v>284.98200000000003</v>
      </c>
      <c r="K97">
        <f t="shared" ref="K97:K98" si="232">H97/10</f>
        <v>2.8498200000000002</v>
      </c>
      <c r="L97">
        <f t="shared" ref="L97:L98" si="233">I97/10</f>
        <v>2.8498200000000002</v>
      </c>
      <c r="M97">
        <f t="shared" ref="M97:M98" si="234">J97/100</f>
        <v>2.8498200000000002</v>
      </c>
      <c r="O97">
        <f t="shared" ref="O97:O98" si="235">C97/20000</f>
        <v>-4.2900309810000001</v>
      </c>
      <c r="P97">
        <f t="shared" ref="P97:P98" si="236">C97-10000*$H$4-5000*$R$4-5000*$R$12</f>
        <v>-6061.3125949999958</v>
      </c>
      <c r="Q97">
        <f t="shared" si="208"/>
        <v>-0.30306562974999979</v>
      </c>
      <c r="R97">
        <f t="shared" ref="R97:R98" si="237">Q97/(H97*I97)</f>
        <v>-3.7316579298406004E-4</v>
      </c>
      <c r="S97">
        <f t="shared" ref="S97:S98" si="238">P97/(H97*I97)</f>
        <v>-7.4633158596812015</v>
      </c>
      <c r="T97">
        <f t="shared" si="231"/>
        <v>-4.5235199999897304</v>
      </c>
      <c r="U97">
        <f t="shared" ref="U97:U98" si="239">T97/(H97*I97)</f>
        <v>-5.569826341798906E-3</v>
      </c>
      <c r="V97">
        <f>AVERAGE(U96:U101)</f>
        <v>-3.1129724229766315E-3</v>
      </c>
      <c r="X97">
        <f>AVERAGE(V29,V60,V91,V122,V153)</f>
        <v>-1.1091468882277699E-3</v>
      </c>
      <c r="Y97">
        <f>AVERAGE(V35,V66,V97,V128,V159)</f>
        <v>-3.6451711426194592E-3</v>
      </c>
      <c r="Z97">
        <f>AVERAGE(V41,V72,V103,V134,V165)</f>
        <v>-1.1930995962861658E-3</v>
      </c>
      <c r="AA97">
        <f>AVERAGE(V47,V78,V109,V140,V171)</f>
        <v>-8.81615898566716E-3</v>
      </c>
    </row>
    <row r="98" spans="1:27">
      <c r="A98">
        <v>200</v>
      </c>
      <c r="B98">
        <v>201.57373000000001</v>
      </c>
      <c r="C98">
        <v>-85798.709130000003</v>
      </c>
      <c r="D98">
        <v>-85277.626189999995</v>
      </c>
      <c r="E98">
        <v>231406.42332</v>
      </c>
      <c r="F98">
        <v>53.505099999999999</v>
      </c>
      <c r="G98">
        <v>0.11360000000000001</v>
      </c>
      <c r="H98">
        <f>2*14.2497</f>
        <v>28.499400000000001</v>
      </c>
      <c r="I98">
        <f>2*14.2497</f>
        <v>28.499400000000001</v>
      </c>
      <c r="J98">
        <f>2*142.497</f>
        <v>284.99400000000003</v>
      </c>
      <c r="K98">
        <f t="shared" si="232"/>
        <v>2.8499400000000001</v>
      </c>
      <c r="L98">
        <f t="shared" si="233"/>
        <v>2.8499400000000001</v>
      </c>
      <c r="M98">
        <f t="shared" si="234"/>
        <v>2.8499400000000001</v>
      </c>
      <c r="O98">
        <f t="shared" si="235"/>
        <v>-4.2899354565000003</v>
      </c>
      <c r="P98">
        <f t="shared" si="236"/>
        <v>-6059.402105000001</v>
      </c>
      <c r="Q98">
        <f t="shared" si="208"/>
        <v>-0.30297010525000007</v>
      </c>
      <c r="R98">
        <f t="shared" si="237"/>
        <v>-3.7301675874282919E-4</v>
      </c>
      <c r="S98">
        <f t="shared" si="238"/>
        <v>-7.4603351748565832</v>
      </c>
      <c r="T98">
        <f t="shared" si="231"/>
        <v>-2.6130299999949784</v>
      </c>
      <c r="U98">
        <f t="shared" si="239"/>
        <v>-3.2171622355004663E-3</v>
      </c>
      <c r="V98">
        <f>STDEV(U96:U101)</f>
        <v>2.312643524796256E-3</v>
      </c>
      <c r="X98">
        <f>STDEV(V29,V60,V91,V122,V153)</f>
        <v>1.6540224503978867E-3</v>
      </c>
      <c r="Y98">
        <f>STDEV(V35,V66,V97,V128,V159)</f>
        <v>6.2711101599011187E-4</v>
      </c>
      <c r="Z98">
        <f>STDEV(V41,V72,V103,V134,V165)</f>
        <v>1.3751448064582255E-3</v>
      </c>
      <c r="AA98">
        <f>STDEV(V47,V78,V109,V140,V171)</f>
        <v>1.0993223882953904E-3</v>
      </c>
    </row>
    <row r="99" spans="1:27">
      <c r="A99">
        <v>200</v>
      </c>
      <c r="B99">
        <v>200.88146</v>
      </c>
      <c r="C99">
        <v>-85800.55674</v>
      </c>
      <c r="D99">
        <v>-85281.263380000004</v>
      </c>
      <c r="E99">
        <v>231402.48680000001</v>
      </c>
      <c r="F99">
        <v>37.529760000000003</v>
      </c>
      <c r="G99">
        <v>0.11637</v>
      </c>
      <c r="H99">
        <f>2*14.2489</f>
        <v>28.497800000000002</v>
      </c>
      <c r="I99">
        <f>2*14.2489</f>
        <v>28.497800000000002</v>
      </c>
      <c r="K99">
        <f t="shared" ref="K99:K101" si="240">H99/10</f>
        <v>2.84978</v>
      </c>
      <c r="L99">
        <f t="shared" ref="L99:L101" si="241">I99/10</f>
        <v>2.84978</v>
      </c>
      <c r="M99">
        <f t="shared" ref="M99:M101" si="242">J99/100</f>
        <v>0</v>
      </c>
      <c r="O99">
        <f t="shared" ref="O99:O101" si="243">C99/20000</f>
        <v>-4.2900278370000002</v>
      </c>
      <c r="P99">
        <f t="shared" ref="P99:P101" si="244">C99-10000*$H$4-5000*$R$4-5000*$R$12</f>
        <v>-6061.2497149999981</v>
      </c>
      <c r="Q99">
        <f t="shared" ref="Q99:Q101" si="245">P99/20000</f>
        <v>-0.30306248574999989</v>
      </c>
      <c r="R99">
        <f t="shared" ref="R99:R101" si="246">Q99/(H99*I99)</f>
        <v>-3.7317239736839081E-4</v>
      </c>
      <c r="S99">
        <f t="shared" ref="S99:S101" si="247">P99/(H99*I99)</f>
        <v>-7.4634479473678175</v>
      </c>
      <c r="T99">
        <f t="shared" si="231"/>
        <v>-4.4606399999920541</v>
      </c>
      <c r="U99">
        <f t="shared" ref="U99:U101" si="248">T99/(H99*I99)</f>
        <v>-5.4925561587570206E-3</v>
      </c>
    </row>
    <row r="100" spans="1:27">
      <c r="A100">
        <v>200</v>
      </c>
      <c r="B100">
        <v>201.97649999999999</v>
      </c>
      <c r="C100">
        <v>-85797.606740000003</v>
      </c>
      <c r="D100">
        <v>-85275.482619999995</v>
      </c>
      <c r="E100">
        <v>231409.43427</v>
      </c>
      <c r="F100">
        <v>48.141629999999999</v>
      </c>
      <c r="G100">
        <v>0.11506</v>
      </c>
      <c r="H100">
        <f>2*14.2497</f>
        <v>28.499400000000001</v>
      </c>
      <c r="I100">
        <f>2*14.2497</f>
        <v>28.499400000000001</v>
      </c>
      <c r="K100">
        <f t="shared" si="240"/>
        <v>2.8499400000000001</v>
      </c>
      <c r="L100">
        <f t="shared" si="241"/>
        <v>2.8499400000000001</v>
      </c>
      <c r="M100">
        <f t="shared" si="242"/>
        <v>0</v>
      </c>
      <c r="O100">
        <f t="shared" si="243"/>
        <v>-4.2898803370000005</v>
      </c>
      <c r="P100">
        <f t="shared" si="244"/>
        <v>-6058.299715000001</v>
      </c>
      <c r="Q100">
        <f t="shared" si="245"/>
        <v>-0.30291498575000003</v>
      </c>
      <c r="R100">
        <f t="shared" si="246"/>
        <v>-3.7294889562076777E-4</v>
      </c>
      <c r="S100">
        <f t="shared" si="247"/>
        <v>-7.4589779124153557</v>
      </c>
      <c r="T100">
        <f t="shared" si="231"/>
        <v>-1.5106399999949645</v>
      </c>
      <c r="U100">
        <f t="shared" si="248"/>
        <v>-1.859899794273148E-3</v>
      </c>
      <c r="X100">
        <f>AVERAGE(U28:U30,U59:U61,U90:U92,U121:U123,U152:U154)</f>
        <v>-1.4264259270937135E-3</v>
      </c>
    </row>
    <row r="101" spans="1:27">
      <c r="A101">
        <v>200</v>
      </c>
      <c r="B101">
        <v>201.60088999999999</v>
      </c>
      <c r="C101">
        <v>-85798.609339999995</v>
      </c>
      <c r="D101">
        <v>-85277.456189999997</v>
      </c>
      <c r="E101">
        <v>231404.5692</v>
      </c>
      <c r="F101">
        <v>37.65701</v>
      </c>
      <c r="G101">
        <v>0.11647</v>
      </c>
      <c r="H101">
        <f>2*14.2494</f>
        <v>28.498799999999999</v>
      </c>
      <c r="I101">
        <f>2*14.2494</f>
        <v>28.498799999999999</v>
      </c>
      <c r="K101">
        <f t="shared" si="240"/>
        <v>2.8498799999999997</v>
      </c>
      <c r="L101">
        <f t="shared" si="241"/>
        <v>2.8498799999999997</v>
      </c>
      <c r="M101">
        <f t="shared" si="242"/>
        <v>0</v>
      </c>
      <c r="O101">
        <f t="shared" si="243"/>
        <v>-4.2899304669999996</v>
      </c>
      <c r="P101">
        <f t="shared" si="244"/>
        <v>-6059.3023149999935</v>
      </c>
      <c r="Q101">
        <f t="shared" si="245"/>
        <v>-0.30296511574999968</v>
      </c>
      <c r="R101">
        <f t="shared" si="246"/>
        <v>-3.7302632220779413E-4</v>
      </c>
      <c r="S101">
        <f t="shared" si="247"/>
        <v>-7.4605264441558825</v>
      </c>
      <c r="T101">
        <f t="shared" si="231"/>
        <v>-2.5132399999874906</v>
      </c>
      <c r="U101">
        <f t="shared" si="248"/>
        <v>-3.0944310921738561E-3</v>
      </c>
      <c r="X101">
        <f>STDEV(U28:U30,U59:U61,U90:U92,U121:U123,U152:U154)</f>
        <v>1.3474477088890417E-3</v>
      </c>
    </row>
    <row r="102" spans="1:27">
      <c r="A102">
        <v>300</v>
      </c>
      <c r="B102">
        <v>303.16840000000002</v>
      </c>
      <c r="C102">
        <v>-85520.670209999997</v>
      </c>
      <c r="D102">
        <v>-84736.957559999995</v>
      </c>
      <c r="E102">
        <v>232149.01446999999</v>
      </c>
      <c r="F102">
        <v>154.24178000000001</v>
      </c>
      <c r="G102">
        <v>8.8819999999999996E-2</v>
      </c>
      <c r="H102">
        <f>2*14.2642</f>
        <v>28.528400000000001</v>
      </c>
      <c r="I102">
        <f>2*14.2642</f>
        <v>28.528400000000001</v>
      </c>
      <c r="J102">
        <f>2*142.642</f>
        <v>285.28399999999999</v>
      </c>
      <c r="K102">
        <f t="shared" si="228"/>
        <v>2.85284</v>
      </c>
      <c r="L102">
        <f t="shared" si="229"/>
        <v>2.85284</v>
      </c>
      <c r="M102">
        <f t="shared" si="230"/>
        <v>2.85284</v>
      </c>
      <c r="O102">
        <f>C102/20000</f>
        <v>-4.2760335104999996</v>
      </c>
      <c r="P102">
        <f>C102-10000*$H$5-5000*$R$5-5000*$R$13</f>
        <v>-6060.1734349999933</v>
      </c>
      <c r="Q102">
        <f>P102/20000</f>
        <v>-0.30300867174999968</v>
      </c>
      <c r="R102">
        <f>Q102/(H102*I102)</f>
        <v>-3.7230616465791473E-4</v>
      </c>
      <c r="S102">
        <f t="shared" si="11"/>
        <v>-7.4461232931582941</v>
      </c>
      <c r="T102">
        <f t="shared" ref="T102:T107" si="249">P102-10000*$I$13</f>
        <v>4.1700900000050751</v>
      </c>
      <c r="U102">
        <f t="shared" si="12"/>
        <v>5.1237814588394361E-3</v>
      </c>
    </row>
    <row r="103" spans="1:27">
      <c r="A103">
        <v>300</v>
      </c>
      <c r="B103">
        <v>301.86133999999998</v>
      </c>
      <c r="C103">
        <v>-85524.365409999999</v>
      </c>
      <c r="D103">
        <v>-84744.031610000005</v>
      </c>
      <c r="E103">
        <v>232140.07586000001</v>
      </c>
      <c r="F103">
        <v>174.06407999999999</v>
      </c>
      <c r="G103">
        <v>8.813E-2</v>
      </c>
      <c r="H103">
        <f>2*14.2643</f>
        <v>28.528600000000001</v>
      </c>
      <c r="I103">
        <f>2*14.2643</f>
        <v>28.528600000000001</v>
      </c>
      <c r="J103">
        <f>2*142.643</f>
        <v>285.286</v>
      </c>
      <c r="K103">
        <f t="shared" ref="K103:K104" si="250">H103/10</f>
        <v>2.8528600000000002</v>
      </c>
      <c r="L103">
        <f t="shared" ref="L103:L104" si="251">I103/10</f>
        <v>2.8528600000000002</v>
      </c>
      <c r="M103">
        <f t="shared" ref="M103:M104" si="252">J103/100</f>
        <v>2.8528600000000002</v>
      </c>
      <c r="O103">
        <f t="shared" ref="O103:O104" si="253">C103/20000</f>
        <v>-4.2762182705000003</v>
      </c>
      <c r="P103">
        <f t="shared" ref="P103:P104" si="254">C103-10000*$H$5-5000*$R$5-5000*$R$13</f>
        <v>-6063.8686349999953</v>
      </c>
      <c r="Q103">
        <f t="shared" ref="Q103:Q104" si="255">P103/20000</f>
        <v>-0.30319343174999974</v>
      </c>
      <c r="R103">
        <f t="shared" ref="R103:R104" si="256">Q103/(H103*I103)</f>
        <v>-3.7252795563405176E-4</v>
      </c>
      <c r="S103">
        <f t="shared" ref="S103:S104" si="257">P103/(H103*I103)</f>
        <v>-7.4505591126810353</v>
      </c>
      <c r="T103">
        <f t="shared" si="249"/>
        <v>0.47489000000314263</v>
      </c>
      <c r="U103">
        <f t="shared" ref="U103:U104" si="258">T103/(H103*I103)</f>
        <v>5.8348823663864114E-4</v>
      </c>
      <c r="V103">
        <f>AVERAGE(U102:U107)</f>
        <v>-2.5302449287065295E-4</v>
      </c>
    </row>
    <row r="104" spans="1:27">
      <c r="A104">
        <v>300</v>
      </c>
      <c r="B104">
        <v>300.55649</v>
      </c>
      <c r="C104">
        <v>-85527.752559999994</v>
      </c>
      <c r="D104">
        <v>-84750.79191</v>
      </c>
      <c r="E104">
        <v>232131.57827</v>
      </c>
      <c r="F104">
        <v>136.42619999999999</v>
      </c>
      <c r="G104">
        <v>8.9599999999999999E-2</v>
      </c>
      <c r="H104">
        <f>2*14.2634</f>
        <v>28.526800000000001</v>
      </c>
      <c r="I104">
        <f>2*14.2634</f>
        <v>28.526800000000001</v>
      </c>
      <c r="J104">
        <f>2*142.634</f>
        <v>285.26799999999997</v>
      </c>
      <c r="K104">
        <f t="shared" si="250"/>
        <v>2.8526800000000003</v>
      </c>
      <c r="L104">
        <f t="shared" si="251"/>
        <v>2.8526800000000003</v>
      </c>
      <c r="M104">
        <f t="shared" si="252"/>
        <v>2.8526799999999999</v>
      </c>
      <c r="O104">
        <f t="shared" si="253"/>
        <v>-4.2763876279999993</v>
      </c>
      <c r="P104">
        <f t="shared" si="254"/>
        <v>-6067.2557849999903</v>
      </c>
      <c r="Q104">
        <f t="shared" si="255"/>
        <v>-0.30336278924999949</v>
      </c>
      <c r="R104">
        <f t="shared" si="256"/>
        <v>-3.7278308164574557E-4</v>
      </c>
      <c r="S104">
        <f t="shared" si="257"/>
        <v>-7.4556616329149126</v>
      </c>
      <c r="T104">
        <f t="shared" si="249"/>
        <v>-2.9122599999918748</v>
      </c>
      <c r="U104">
        <f t="shared" si="258"/>
        <v>-3.5786895948399905E-3</v>
      </c>
      <c r="V104">
        <f>STDEV(U102:U107)</f>
        <v>3.3207304420909732E-3</v>
      </c>
    </row>
    <row r="105" spans="1:27">
      <c r="A105">
        <v>300</v>
      </c>
      <c r="B105">
        <v>301.36962</v>
      </c>
      <c r="C105">
        <v>-85525.730530000001</v>
      </c>
      <c r="D105">
        <v>-84746.667860000001</v>
      </c>
      <c r="E105">
        <v>232134.18890000001</v>
      </c>
      <c r="F105">
        <v>152.99345</v>
      </c>
      <c r="G105">
        <v>8.9029999999999998E-2</v>
      </c>
      <c r="H105">
        <f>2*14.264</f>
        <v>28.527999999999999</v>
      </c>
      <c r="I105">
        <f>2*14.264</f>
        <v>28.527999999999999</v>
      </c>
      <c r="K105">
        <f t="shared" ref="K105:K107" si="259">H105/10</f>
        <v>2.8527999999999998</v>
      </c>
      <c r="L105">
        <f t="shared" ref="L105:L107" si="260">I105/10</f>
        <v>2.8527999999999998</v>
      </c>
      <c r="M105">
        <f t="shared" ref="M105:M107" si="261">J105/100</f>
        <v>0</v>
      </c>
      <c r="O105">
        <f t="shared" ref="O105:O107" si="262">C105/20000</f>
        <v>-4.2762865264999999</v>
      </c>
      <c r="P105">
        <f t="shared" ref="P105:P107" si="263">C105-10000*$H$5-5000*$R$5-5000*$R$13</f>
        <v>-6065.2337549999975</v>
      </c>
      <c r="Q105">
        <f t="shared" ref="Q105:Q107" si="264">P105/20000</f>
        <v>-0.3032616877499999</v>
      </c>
      <c r="R105">
        <f t="shared" ref="R105:R107" si="265">Q105/(H105*I105)</f>
        <v>-3.7262749415742597E-4</v>
      </c>
      <c r="S105">
        <f t="shared" ref="S105:S107" si="266">P105/(H105*I105)</f>
        <v>-7.4525498831485191</v>
      </c>
      <c r="T105">
        <f t="shared" si="249"/>
        <v>-0.8902299999990646</v>
      </c>
      <c r="U105">
        <f t="shared" ref="U105:U107" si="267">T105/(H105*I105)</f>
        <v>-1.093854540560628E-3</v>
      </c>
    </row>
    <row r="106" spans="1:27">
      <c r="A106">
        <v>300</v>
      </c>
      <c r="B106">
        <v>300.54721000000001</v>
      </c>
      <c r="C106">
        <v>-85527.844540000006</v>
      </c>
      <c r="D106">
        <v>-84750.907860000007</v>
      </c>
      <c r="E106">
        <v>232129.37671000001</v>
      </c>
      <c r="F106">
        <v>162.79282000000001</v>
      </c>
      <c r="G106">
        <v>9.1079999999999994E-2</v>
      </c>
      <c r="H106">
        <f>2*14.2639</f>
        <v>28.527799999999999</v>
      </c>
      <c r="I106">
        <f>2*14.2639</f>
        <v>28.527799999999999</v>
      </c>
      <c r="K106">
        <f t="shared" si="259"/>
        <v>2.8527800000000001</v>
      </c>
      <c r="L106">
        <f t="shared" si="260"/>
        <v>2.8527800000000001</v>
      </c>
      <c r="M106">
        <f t="shared" si="261"/>
        <v>0</v>
      </c>
      <c r="O106">
        <f t="shared" si="262"/>
        <v>-4.2763922270000005</v>
      </c>
      <c r="P106">
        <f t="shared" si="263"/>
        <v>-6067.3477650000023</v>
      </c>
      <c r="Q106">
        <f t="shared" si="264"/>
        <v>-0.30336738825000009</v>
      </c>
      <c r="R106">
        <f t="shared" si="265"/>
        <v>-3.7276259840040416E-4</v>
      </c>
      <c r="S106">
        <f t="shared" si="266"/>
        <v>-7.4552519680080831</v>
      </c>
      <c r="T106">
        <f t="shared" si="249"/>
        <v>-3.0042400000038469</v>
      </c>
      <c r="U106">
        <f t="shared" si="267"/>
        <v>-3.6914591086402437E-3</v>
      </c>
    </row>
    <row r="107" spans="1:27">
      <c r="A107">
        <v>300</v>
      </c>
      <c r="B107">
        <v>302.04853000000003</v>
      </c>
      <c r="C107">
        <v>-85523.9136</v>
      </c>
      <c r="D107">
        <v>-84743.0959</v>
      </c>
      <c r="E107">
        <v>232142.57047999999</v>
      </c>
      <c r="F107">
        <v>176.43489</v>
      </c>
      <c r="G107">
        <v>8.8270000000000001E-2</v>
      </c>
      <c r="H107">
        <f>2*14.2645</f>
        <v>28.529</v>
      </c>
      <c r="I107">
        <f>2*14.2645</f>
        <v>28.529</v>
      </c>
      <c r="K107">
        <f t="shared" si="259"/>
        <v>2.8529</v>
      </c>
      <c r="L107">
        <f t="shared" si="260"/>
        <v>2.8529</v>
      </c>
      <c r="M107">
        <f t="shared" si="261"/>
        <v>0</v>
      </c>
      <c r="O107">
        <f t="shared" si="262"/>
        <v>-4.2761956799999998</v>
      </c>
      <c r="P107">
        <f t="shared" si="263"/>
        <v>-6063.4168249999966</v>
      </c>
      <c r="Q107">
        <f t="shared" si="264"/>
        <v>-0.30317084124999982</v>
      </c>
      <c r="R107">
        <f t="shared" si="265"/>
        <v>-3.7248975367595031E-4</v>
      </c>
      <c r="S107">
        <f t="shared" si="266"/>
        <v>-7.4497950735190068</v>
      </c>
      <c r="T107">
        <f t="shared" si="249"/>
        <v>0.92670000000180153</v>
      </c>
      <c r="U107">
        <f t="shared" si="267"/>
        <v>1.1385865913388674E-3</v>
      </c>
    </row>
    <row r="108" spans="1:27">
      <c r="A108">
        <v>400</v>
      </c>
      <c r="B108">
        <v>402.94098000000002</v>
      </c>
      <c r="C108">
        <v>-85243.316349999994</v>
      </c>
      <c r="D108">
        <v>-84201.684250000006</v>
      </c>
      <c r="E108">
        <v>232998.78941</v>
      </c>
      <c r="F108">
        <v>-148.79886999999999</v>
      </c>
      <c r="G108">
        <v>8.4409999999999999E-2</v>
      </c>
      <c r="H108">
        <f>2*14.2828</f>
        <v>28.5656</v>
      </c>
      <c r="I108">
        <f>2*14.2828</f>
        <v>28.5656</v>
      </c>
      <c r="J108">
        <f>2*142.828</f>
        <v>285.65600000000001</v>
      </c>
      <c r="K108">
        <f t="shared" ref="K108" si="268">H108/10</f>
        <v>2.85656</v>
      </c>
      <c r="L108">
        <f t="shared" ref="L108" si="269">I108/10</f>
        <v>2.85656</v>
      </c>
      <c r="M108">
        <f t="shared" ref="M108" si="270">J108/100</f>
        <v>2.85656</v>
      </c>
      <c r="O108">
        <f>C108/20000</f>
        <v>-4.2621658174999997</v>
      </c>
      <c r="P108">
        <f>C108-10000*$H$6-5000*$R$6-5000*$R$14</f>
        <v>-6094.5514749999893</v>
      </c>
      <c r="Q108">
        <f>P108/20000</f>
        <v>-0.30472757374999948</v>
      </c>
      <c r="R108">
        <f>Q108/(H108*I108)</f>
        <v>-3.7344362730245878E-4</v>
      </c>
      <c r="S108">
        <f t="shared" ref="S108" si="271">P108/(H108*I108)</f>
        <v>-7.4688725460491749</v>
      </c>
      <c r="T108">
        <f t="shared" ref="T108:T113" si="272">P108-10000*$I$14</f>
        <v>-5.2693999999928565</v>
      </c>
      <c r="U108">
        <f t="shared" ref="U108" si="273">T108/(H108*I108)</f>
        <v>-6.4576494522262176E-3</v>
      </c>
    </row>
    <row r="109" spans="1:27">
      <c r="A109">
        <v>400</v>
      </c>
      <c r="B109">
        <v>402.04502000000002</v>
      </c>
      <c r="C109">
        <v>-85245.626829999994</v>
      </c>
      <c r="D109">
        <v>-84206.310840000006</v>
      </c>
      <c r="E109">
        <v>233000.31726000001</v>
      </c>
      <c r="F109">
        <v>-183.80445</v>
      </c>
      <c r="G109">
        <v>8.1720000000000001E-2</v>
      </c>
      <c r="H109">
        <f>2*14.2828</f>
        <v>28.5656</v>
      </c>
      <c r="I109">
        <f>2*14.2828</f>
        <v>28.5656</v>
      </c>
      <c r="J109">
        <f>2*142.828</f>
        <v>285.65600000000001</v>
      </c>
      <c r="K109">
        <f t="shared" ref="K109:K110" si="274">H109/10</f>
        <v>2.85656</v>
      </c>
      <c r="L109">
        <f t="shared" ref="L109:L110" si="275">I109/10</f>
        <v>2.85656</v>
      </c>
      <c r="M109">
        <f t="shared" ref="M109:M110" si="276">J109/100</f>
        <v>2.85656</v>
      </c>
      <c r="O109">
        <f t="shared" ref="O109:O110" si="277">C109/20000</f>
        <v>-4.2622813414999996</v>
      </c>
      <c r="P109">
        <f t="shared" ref="P109:P110" si="278">C109-10000*$H$6-5000*$R$6-5000*$R$14</f>
        <v>-6096.8619549999894</v>
      </c>
      <c r="Q109">
        <f t="shared" ref="Q109:Q110" si="279">P109/20000</f>
        <v>-0.30484309774999946</v>
      </c>
      <c r="R109">
        <f t="shared" ref="R109:R110" si="280">Q109/(H109*I109)</f>
        <v>-3.7358520195902688E-4</v>
      </c>
      <c r="S109">
        <f t="shared" ref="S109:S110" si="281">P109/(H109*I109)</f>
        <v>-7.4717040391805378</v>
      </c>
      <c r="T109">
        <f t="shared" si="272"/>
        <v>-7.5798799999929543</v>
      </c>
      <c r="U109">
        <f t="shared" ref="U109:U110" si="282">T109/(H109*I109)</f>
        <v>-9.2891425835885163E-3</v>
      </c>
      <c r="V109">
        <f>AVERAGE(U108:U113)</f>
        <v>-1.0156561739603224E-2</v>
      </c>
    </row>
    <row r="110" spans="1:27">
      <c r="A110">
        <v>400</v>
      </c>
      <c r="B110">
        <v>400.21899999999999</v>
      </c>
      <c r="C110">
        <v>-85250.699399999998</v>
      </c>
      <c r="D110">
        <v>-84216.103820000004</v>
      </c>
      <c r="E110">
        <v>232986.41516</v>
      </c>
      <c r="F110">
        <v>-193.41812999999999</v>
      </c>
      <c r="G110">
        <v>8.1750000000000003E-2</v>
      </c>
      <c r="H110">
        <f>2*14.2831</f>
        <v>28.566199999999998</v>
      </c>
      <c r="I110">
        <f>2*14.2831</f>
        <v>28.566199999999998</v>
      </c>
      <c r="J110">
        <f>2*142.831</f>
        <v>285.66199999999998</v>
      </c>
      <c r="K110">
        <f t="shared" si="274"/>
        <v>2.8566199999999999</v>
      </c>
      <c r="L110">
        <f t="shared" si="275"/>
        <v>2.8566199999999999</v>
      </c>
      <c r="M110">
        <f t="shared" si="276"/>
        <v>2.8566199999999999</v>
      </c>
      <c r="O110">
        <f t="shared" si="277"/>
        <v>-4.2625349699999999</v>
      </c>
      <c r="P110">
        <f t="shared" si="278"/>
        <v>-6101.9345249999933</v>
      </c>
      <c r="Q110">
        <f t="shared" si="279"/>
        <v>-0.30509672624999967</v>
      </c>
      <c r="R110">
        <f t="shared" si="280"/>
        <v>-3.7388031733151506E-4</v>
      </c>
      <c r="S110">
        <f t="shared" si="281"/>
        <v>-7.4776063466303002</v>
      </c>
      <c r="T110">
        <f t="shared" si="272"/>
        <v>-12.652449999996861</v>
      </c>
      <c r="U110">
        <f t="shared" si="282"/>
        <v>-1.5504925533496966E-2</v>
      </c>
      <c r="V110">
        <f>STDEV(U108:U113)</f>
        <v>3.2557059560078669E-3</v>
      </c>
    </row>
    <row r="111" spans="1:27">
      <c r="A111">
        <v>400</v>
      </c>
      <c r="B111">
        <v>402.66493000000003</v>
      </c>
      <c r="C111">
        <v>-85244.041360000003</v>
      </c>
      <c r="D111">
        <v>-84203.122860000003</v>
      </c>
      <c r="E111">
        <v>233000.92983000001</v>
      </c>
      <c r="F111">
        <v>-156.60793000000001</v>
      </c>
      <c r="G111">
        <v>8.2570000000000005E-2</v>
      </c>
      <c r="H111">
        <f>2*14.2832</f>
        <v>28.566400000000002</v>
      </c>
      <c r="I111">
        <f>2*14.2832</f>
        <v>28.566400000000002</v>
      </c>
      <c r="K111">
        <f t="shared" ref="K111:K113" si="283">H111/10</f>
        <v>2.8566400000000001</v>
      </c>
      <c r="L111">
        <f t="shared" ref="L111:L113" si="284">I111/10</f>
        <v>2.8566400000000001</v>
      </c>
      <c r="M111">
        <f t="shared" ref="M111:M113" si="285">J111/100</f>
        <v>0</v>
      </c>
      <c r="O111">
        <f t="shared" ref="O111:O113" si="286">C111/20000</f>
        <v>-4.2622020680000006</v>
      </c>
      <c r="P111">
        <f t="shared" ref="P111:P113" si="287">C111-10000*$H$6-5000*$R$6-5000*$R$14</f>
        <v>-6095.2764849999985</v>
      </c>
      <c r="Q111">
        <f t="shared" ref="Q111:Q113" si="288">P111/20000</f>
        <v>-0.30476382424999993</v>
      </c>
      <c r="R111">
        <f t="shared" ref="R111:R113" si="289">Q111/(H111*I111)</f>
        <v>-3.7346713356874812E-4</v>
      </c>
      <c r="S111">
        <f t="shared" ref="S111:S113" si="290">P111/(H111*I111)</f>
        <v>-7.4693426713749629</v>
      </c>
      <c r="T111">
        <f t="shared" si="272"/>
        <v>-5.9944100000020626</v>
      </c>
      <c r="U111">
        <f t="shared" ref="U111:U113" si="291">T111/(H111*I111)</f>
        <v>-7.3457377221391468E-3</v>
      </c>
    </row>
    <row r="112" spans="1:27">
      <c r="A112">
        <v>400</v>
      </c>
      <c r="B112">
        <v>401.52616</v>
      </c>
      <c r="C112">
        <v>-85247.160130000004</v>
      </c>
      <c r="D112">
        <v>-84209.185440000001</v>
      </c>
      <c r="E112">
        <v>232983.37335000001</v>
      </c>
      <c r="F112">
        <v>-138.73167000000001</v>
      </c>
      <c r="G112">
        <v>8.5089999999999999E-2</v>
      </c>
      <c r="H112">
        <f>2*14.2827</f>
        <v>28.5654</v>
      </c>
      <c r="I112">
        <f>2*14.2827</f>
        <v>28.5654</v>
      </c>
      <c r="K112">
        <f t="shared" si="283"/>
        <v>2.8565399999999999</v>
      </c>
      <c r="L112">
        <f t="shared" si="284"/>
        <v>2.8565399999999999</v>
      </c>
      <c r="M112">
        <f t="shared" si="285"/>
        <v>0</v>
      </c>
      <c r="O112">
        <f t="shared" si="286"/>
        <v>-4.2623580065000004</v>
      </c>
      <c r="P112">
        <f t="shared" si="287"/>
        <v>-6098.3952549999995</v>
      </c>
      <c r="Q112">
        <f t="shared" si="288"/>
        <v>-0.30491976274999999</v>
      </c>
      <c r="R112">
        <f t="shared" si="289"/>
        <v>-3.7368438754349073E-4</v>
      </c>
      <c r="S112">
        <f t="shared" si="290"/>
        <v>-7.4736877508698143</v>
      </c>
      <c r="T112">
        <f t="shared" si="272"/>
        <v>-9.1131800000030125</v>
      </c>
      <c r="U112">
        <f t="shared" si="291"/>
        <v>-1.1168358049874268E-2</v>
      </c>
    </row>
    <row r="113" spans="1:22">
      <c r="A113">
        <v>400</v>
      </c>
      <c r="B113">
        <v>401.56486999999998</v>
      </c>
      <c r="C113">
        <v>-85247.164499999999</v>
      </c>
      <c r="D113">
        <v>-84209.089749999999</v>
      </c>
      <c r="E113">
        <v>232988.4436</v>
      </c>
      <c r="F113">
        <v>-127.2393</v>
      </c>
      <c r="G113">
        <v>8.4000000000000005E-2</v>
      </c>
      <c r="H113">
        <f>2*14.2828</f>
        <v>28.5656</v>
      </c>
      <c r="I113">
        <f>2*14.2828</f>
        <v>28.5656</v>
      </c>
      <c r="K113">
        <f t="shared" si="283"/>
        <v>2.85656</v>
      </c>
      <c r="L113">
        <f t="shared" si="284"/>
        <v>2.85656</v>
      </c>
      <c r="M113">
        <f t="shared" si="285"/>
        <v>0</v>
      </c>
      <c r="O113">
        <f t="shared" si="286"/>
        <v>-4.2623582249999998</v>
      </c>
      <c r="P113">
        <f t="shared" si="287"/>
        <v>-6098.3996249999946</v>
      </c>
      <c r="Q113">
        <f t="shared" si="288"/>
        <v>-0.30491998124999975</v>
      </c>
      <c r="R113">
        <f t="shared" si="289"/>
        <v>-3.736794226846622E-4</v>
      </c>
      <c r="S113">
        <f t="shared" si="290"/>
        <v>-7.4735884536932433</v>
      </c>
      <c r="T113">
        <f t="shared" si="272"/>
        <v>-9.1175499999981184</v>
      </c>
      <c r="U113">
        <f t="shared" si="291"/>
        <v>-1.1173557096294232E-2</v>
      </c>
    </row>
    <row r="114" spans="1:22">
      <c r="A114">
        <v>500</v>
      </c>
      <c r="K114">
        <f t="shared" ref="K114:K119" si="292">H114/10</f>
        <v>0</v>
      </c>
      <c r="L114">
        <f t="shared" ref="L114:L119" si="293">I114/10</f>
        <v>0</v>
      </c>
      <c r="M114">
        <f t="shared" ref="M114:M119" si="294">J114/100</f>
        <v>0</v>
      </c>
      <c r="O114">
        <f t="shared" ref="O114" si="295">C114/20000</f>
        <v>0</v>
      </c>
      <c r="P114">
        <f>C114-10000*$H$7-5000*$R$7-5000*$R$15</f>
        <v>78839.452737500003</v>
      </c>
      <c r="Q114">
        <f t="shared" ref="Q114" si="296">P114/20000</f>
        <v>3.9419726368750001</v>
      </c>
      <c r="R114" t="e">
        <f t="shared" ref="R114" si="297">Q114/(H114*I114)</f>
        <v>#DIV/0!</v>
      </c>
      <c r="S114" t="e">
        <f t="shared" ref="S114" si="298">P114/(H114*I114)</f>
        <v>#DIV/0!</v>
      </c>
      <c r="T114">
        <f>P114-10000*$I$15</f>
        <v>84964.385850000006</v>
      </c>
      <c r="U114" t="e">
        <f t="shared" ref="U114" si="299">T114/(H114*I114)</f>
        <v>#DIV/0!</v>
      </c>
    </row>
    <row r="115" spans="1:22">
      <c r="A115">
        <v>500</v>
      </c>
      <c r="K115">
        <f t="shared" si="292"/>
        <v>0</v>
      </c>
      <c r="L115">
        <f t="shared" si="293"/>
        <v>0</v>
      </c>
      <c r="M115">
        <f t="shared" si="294"/>
        <v>0</v>
      </c>
      <c r="O115">
        <f t="shared" ref="O115:O119" si="300">C115/20000</f>
        <v>0</v>
      </c>
      <c r="P115">
        <f t="shared" ref="P115:P119" si="301">C115-10000*$H$7-5000*$R$7-5000*$R$15</f>
        <v>78839.452737500003</v>
      </c>
      <c r="Q115">
        <f t="shared" ref="Q115:Q119" si="302">P115/20000</f>
        <v>3.9419726368750001</v>
      </c>
      <c r="R115" t="e">
        <f t="shared" ref="R115:R119" si="303">Q115/(H115*I115)</f>
        <v>#DIV/0!</v>
      </c>
      <c r="S115" t="e">
        <f t="shared" ref="S115:S119" si="304">P115/(H115*I115)</f>
        <v>#DIV/0!</v>
      </c>
      <c r="T115">
        <f t="shared" ref="T115:T119" si="305">P115-10000*$I$15</f>
        <v>84964.385850000006</v>
      </c>
      <c r="U115" t="e">
        <f t="shared" ref="U115:U119" si="306">T115/(H115*I115)</f>
        <v>#DIV/0!</v>
      </c>
      <c r="V115" t="e">
        <f>AVERAGE(U114:U119)</f>
        <v>#DIV/0!</v>
      </c>
    </row>
    <row r="116" spans="1:22">
      <c r="A116">
        <v>500</v>
      </c>
      <c r="K116">
        <f t="shared" si="292"/>
        <v>0</v>
      </c>
      <c r="L116">
        <f t="shared" si="293"/>
        <v>0</v>
      </c>
      <c r="M116">
        <f t="shared" si="294"/>
        <v>0</v>
      </c>
      <c r="O116">
        <f t="shared" si="300"/>
        <v>0</v>
      </c>
      <c r="P116">
        <f t="shared" si="301"/>
        <v>78839.452737500003</v>
      </c>
      <c r="Q116">
        <f t="shared" si="302"/>
        <v>3.9419726368750001</v>
      </c>
      <c r="R116" t="e">
        <f t="shared" si="303"/>
        <v>#DIV/0!</v>
      </c>
      <c r="S116" t="e">
        <f t="shared" si="304"/>
        <v>#DIV/0!</v>
      </c>
      <c r="T116">
        <f t="shared" si="305"/>
        <v>84964.385850000006</v>
      </c>
      <c r="U116" t="e">
        <f t="shared" si="306"/>
        <v>#DIV/0!</v>
      </c>
      <c r="V116" t="e">
        <f>STDEV(U114:U119)</f>
        <v>#DIV/0!</v>
      </c>
    </row>
    <row r="117" spans="1:22">
      <c r="A117">
        <v>500</v>
      </c>
      <c r="K117">
        <f t="shared" si="292"/>
        <v>0</v>
      </c>
      <c r="L117">
        <f t="shared" si="293"/>
        <v>0</v>
      </c>
      <c r="M117">
        <f t="shared" si="294"/>
        <v>0</v>
      </c>
      <c r="O117">
        <f t="shared" si="300"/>
        <v>0</v>
      </c>
      <c r="P117">
        <f t="shared" si="301"/>
        <v>78839.452737500003</v>
      </c>
      <c r="Q117">
        <f t="shared" si="302"/>
        <v>3.9419726368750001</v>
      </c>
      <c r="R117" t="e">
        <f t="shared" si="303"/>
        <v>#DIV/0!</v>
      </c>
      <c r="S117" t="e">
        <f t="shared" si="304"/>
        <v>#DIV/0!</v>
      </c>
      <c r="T117">
        <f t="shared" si="305"/>
        <v>84964.385850000006</v>
      </c>
      <c r="U117" t="e">
        <f t="shared" si="306"/>
        <v>#DIV/0!</v>
      </c>
    </row>
    <row r="118" spans="1:22">
      <c r="A118">
        <v>500</v>
      </c>
      <c r="K118">
        <f t="shared" si="292"/>
        <v>0</v>
      </c>
      <c r="L118">
        <f t="shared" si="293"/>
        <v>0</v>
      </c>
      <c r="M118">
        <f t="shared" si="294"/>
        <v>0</v>
      </c>
      <c r="O118">
        <f t="shared" si="300"/>
        <v>0</v>
      </c>
      <c r="P118">
        <f t="shared" si="301"/>
        <v>78839.452737500003</v>
      </c>
      <c r="Q118">
        <f t="shared" si="302"/>
        <v>3.9419726368750001</v>
      </c>
      <c r="R118" t="e">
        <f t="shared" si="303"/>
        <v>#DIV/0!</v>
      </c>
      <c r="S118" t="e">
        <f t="shared" si="304"/>
        <v>#DIV/0!</v>
      </c>
      <c r="T118">
        <f t="shared" si="305"/>
        <v>84964.385850000006</v>
      </c>
      <c r="U118" t="e">
        <f t="shared" si="306"/>
        <v>#DIV/0!</v>
      </c>
    </row>
    <row r="119" spans="1:22">
      <c r="A119">
        <v>500</v>
      </c>
      <c r="K119">
        <f t="shared" si="292"/>
        <v>0</v>
      </c>
      <c r="L119">
        <f t="shared" si="293"/>
        <v>0</v>
      </c>
      <c r="M119">
        <f t="shared" si="294"/>
        <v>0</v>
      </c>
      <c r="O119">
        <f t="shared" si="300"/>
        <v>0</v>
      </c>
      <c r="P119">
        <f t="shared" si="301"/>
        <v>78839.452737500003</v>
      </c>
      <c r="Q119">
        <f t="shared" si="302"/>
        <v>3.9419726368750001</v>
      </c>
      <c r="R119" t="e">
        <f t="shared" si="303"/>
        <v>#DIV/0!</v>
      </c>
      <c r="S119" t="e">
        <f t="shared" si="304"/>
        <v>#DIV/0!</v>
      </c>
      <c r="T119">
        <f t="shared" si="305"/>
        <v>84964.385850000006</v>
      </c>
      <c r="U119" t="e">
        <f t="shared" si="306"/>
        <v>#DIV/0!</v>
      </c>
    </row>
    <row r="120" spans="1:22">
      <c r="C120" t="s">
        <v>20</v>
      </c>
    </row>
    <row r="121" spans="1:22">
      <c r="A121">
        <v>100</v>
      </c>
      <c r="B121">
        <v>101.24473999999999</v>
      </c>
      <c r="C121">
        <v>-172145.30420000001</v>
      </c>
      <c r="D121">
        <v>-171621.84088999999</v>
      </c>
      <c r="E121">
        <v>462061.23202</v>
      </c>
      <c r="F121">
        <v>-6.2109199999999998</v>
      </c>
      <c r="G121">
        <v>4.6309999999999997E-2</v>
      </c>
      <c r="H121">
        <f>2*28.4812</f>
        <v>56.962400000000002</v>
      </c>
      <c r="I121">
        <f>2*28.4812</f>
        <v>56.962400000000002</v>
      </c>
      <c r="J121">
        <f>2*71.2029</f>
        <v>142.4058</v>
      </c>
      <c r="K121">
        <f>H121/20</f>
        <v>2.8481200000000002</v>
      </c>
      <c r="L121">
        <f>I121/20</f>
        <v>2.8481200000000002</v>
      </c>
      <c r="M121">
        <f>J121/50</f>
        <v>2.8481160000000001</v>
      </c>
      <c r="O121">
        <f>C121/40000</f>
        <v>-4.3036326050000007</v>
      </c>
      <c r="P121">
        <f>C121-20000*$H$3-10000*$R$3-10000*$R$11</f>
        <v>-12126.11280000001</v>
      </c>
      <c r="Q121">
        <f>P121/40000</f>
        <v>-0.30315282000000027</v>
      </c>
      <c r="R121">
        <f t="shared" ref="R121" si="307">Q121/(H121*I121)</f>
        <v>-9.3429721474584763E-5</v>
      </c>
      <c r="S121">
        <f t="shared" si="11"/>
        <v>-3.7371888589833899</v>
      </c>
      <c r="T121">
        <f t="shared" ref="T121:T126" si="308">P121-20000*$I$11</f>
        <v>-7.1994000000158849</v>
      </c>
      <c r="U121">
        <f t="shared" si="12"/>
        <v>-2.2188081139591876E-3</v>
      </c>
    </row>
    <row r="122" spans="1:22">
      <c r="A122">
        <v>100</v>
      </c>
      <c r="B122">
        <v>101.0194</v>
      </c>
      <c r="C122">
        <v>-172146.49958</v>
      </c>
      <c r="D122">
        <v>-171624.20136000001</v>
      </c>
      <c r="E122">
        <v>462057.66846999998</v>
      </c>
      <c r="F122">
        <v>-3.13083</v>
      </c>
      <c r="G122">
        <v>4.632E-2</v>
      </c>
      <c r="H122">
        <f>2*28.4814</f>
        <v>56.962800000000001</v>
      </c>
      <c r="I122">
        <f>2*28.4814</f>
        <v>56.962800000000001</v>
      </c>
      <c r="J122">
        <f>2*71.2036</f>
        <v>142.40719999999999</v>
      </c>
      <c r="K122">
        <f t="shared" ref="K122:K123" si="309">H122/20</f>
        <v>2.8481399999999999</v>
      </c>
      <c r="L122">
        <f t="shared" ref="L122:L123" si="310">I122/20</f>
        <v>2.8481399999999999</v>
      </c>
      <c r="M122">
        <f t="shared" ref="M122:M123" si="311">J122/50</f>
        <v>2.8481439999999996</v>
      </c>
      <c r="O122">
        <f t="shared" ref="O122:O123" si="312">C122/40000</f>
        <v>-4.3036624894999997</v>
      </c>
      <c r="P122">
        <f t="shared" ref="P122:P123" si="313">C122-20000*$H$3-10000*$R$3-10000*$R$11</f>
        <v>-12127.30818</v>
      </c>
      <c r="Q122">
        <f t="shared" ref="Q122:Q123" si="314">P122/40000</f>
        <v>-0.30318270450000001</v>
      </c>
      <c r="R122">
        <f t="shared" ref="R122:R123" si="315">Q122/(H122*I122)</f>
        <v>-9.3437619407099539E-5</v>
      </c>
      <c r="S122">
        <f t="shared" ref="S122:S123" si="316">P122/(H122*I122)</f>
        <v>-3.7375047762839815</v>
      </c>
      <c r="T122">
        <f t="shared" si="308"/>
        <v>-8.3947800000059942</v>
      </c>
      <c r="U122">
        <f t="shared" ref="U122:U123" si="317">T122/(H122*I122)</f>
        <v>-2.5871800963728495E-3</v>
      </c>
      <c r="V122">
        <f>AVERAGE(U121:U126)</f>
        <v>-2.4388885852655684E-3</v>
      </c>
    </row>
    <row r="123" spans="1:22">
      <c r="A123">
        <v>100</v>
      </c>
      <c r="B123">
        <v>100.96205</v>
      </c>
      <c r="C123">
        <v>-172146.79853999999</v>
      </c>
      <c r="D123">
        <v>-171624.79681999999</v>
      </c>
      <c r="E123">
        <v>462054.38944</v>
      </c>
      <c r="F123">
        <v>1.2976399999999999</v>
      </c>
      <c r="G123">
        <v>4.6350000000000002E-2</v>
      </c>
      <c r="H123">
        <f>2*28.4816</f>
        <v>56.963200000000001</v>
      </c>
      <c r="I123">
        <f>2*28.4816</f>
        <v>56.963200000000001</v>
      </c>
      <c r="J123">
        <f>2*71.2039</f>
        <v>142.40780000000001</v>
      </c>
      <c r="K123">
        <f t="shared" si="309"/>
        <v>2.84816</v>
      </c>
      <c r="L123">
        <f t="shared" si="310"/>
        <v>2.84816</v>
      </c>
      <c r="M123">
        <f t="shared" si="311"/>
        <v>2.8481560000000004</v>
      </c>
      <c r="O123">
        <f t="shared" si="312"/>
        <v>-4.3036699635</v>
      </c>
      <c r="P123">
        <f t="shared" si="313"/>
        <v>-12127.607139999986</v>
      </c>
      <c r="Q123">
        <f t="shared" si="314"/>
        <v>-0.30319017849999963</v>
      </c>
      <c r="R123">
        <f t="shared" si="315"/>
        <v>-9.343861053265691E-5</v>
      </c>
      <c r="S123">
        <f t="shared" si="316"/>
        <v>-3.7375444213062763</v>
      </c>
      <c r="T123">
        <f t="shared" si="308"/>
        <v>-8.6937399999915215</v>
      </c>
      <c r="U123">
        <f t="shared" si="317"/>
        <v>-2.6792786954719558E-3</v>
      </c>
      <c r="V123">
        <f>STDEV(U121:U126)</f>
        <v>1.8967001474327029E-4</v>
      </c>
    </row>
    <row r="124" spans="1:22">
      <c r="A124">
        <v>100</v>
      </c>
      <c r="B124">
        <v>101.16374</v>
      </c>
      <c r="C124">
        <v>-172145.79029</v>
      </c>
      <c r="D124">
        <v>-171622.7458</v>
      </c>
      <c r="E124">
        <v>462058.86839999998</v>
      </c>
      <c r="F124">
        <v>-0.69228000000000001</v>
      </c>
      <c r="G124">
        <v>4.6240000000000003E-2</v>
      </c>
      <c r="H124">
        <f>2*28.4815</f>
        <v>56.963000000000001</v>
      </c>
      <c r="I124">
        <f>2*28.4815</f>
        <v>56.963000000000001</v>
      </c>
      <c r="K124">
        <f t="shared" ref="K124" si="318">H124/20</f>
        <v>2.84815</v>
      </c>
      <c r="L124">
        <f t="shared" ref="L124" si="319">I124/20</f>
        <v>2.84815</v>
      </c>
      <c r="M124">
        <f t="shared" ref="M124" si="320">J124/50</f>
        <v>0</v>
      </c>
      <c r="O124">
        <f t="shared" ref="O124:O126" si="321">C124/40000</f>
        <v>-4.3036447572499998</v>
      </c>
      <c r="P124">
        <f t="shared" ref="P124:P126" si="322">C124-20000*$H$3-10000*$R$3-10000*$R$11</f>
        <v>-12126.598890000001</v>
      </c>
      <c r="Q124">
        <f t="shared" ref="Q124:Q126" si="323">P124/40000</f>
        <v>-0.30316497225000005</v>
      </c>
      <c r="R124">
        <f t="shared" ref="R124:R126" si="324">Q124/(H124*I124)</f>
        <v>-9.3431498431105288E-5</v>
      </c>
      <c r="S124">
        <f t="shared" ref="S124:S126" si="325">P124/(H124*I124)</f>
        <v>-3.737259937244211</v>
      </c>
      <c r="T124">
        <f t="shared" si="308"/>
        <v>-7.6854900000071211</v>
      </c>
      <c r="U124">
        <f t="shared" ref="U124:U126" si="326">T124/(H124*I124)</f>
        <v>-2.3685679831303157E-3</v>
      </c>
    </row>
    <row r="125" spans="1:22">
      <c r="A125">
        <v>100</v>
      </c>
      <c r="B125">
        <v>101.05164000000001</v>
      </c>
      <c r="C125">
        <v>-172146.32858999999</v>
      </c>
      <c r="D125">
        <v>-171623.86368000001</v>
      </c>
      <c r="E125">
        <v>462059.88050000003</v>
      </c>
      <c r="F125">
        <v>-1.6726099999999999</v>
      </c>
      <c r="G125">
        <v>4.6249999999999999E-2</v>
      </c>
      <c r="H125">
        <f>2*28.4815</f>
        <v>56.963000000000001</v>
      </c>
      <c r="I125">
        <f>2*28.4815</f>
        <v>56.963000000000001</v>
      </c>
      <c r="K125">
        <f t="shared" ref="K125:K126" si="327">H125/20</f>
        <v>2.84815</v>
      </c>
      <c r="L125">
        <f t="shared" ref="L125:L126" si="328">I125/20</f>
        <v>2.84815</v>
      </c>
      <c r="M125">
        <f t="shared" ref="M125:M126" si="329">J125/50</f>
        <v>0</v>
      </c>
      <c r="O125">
        <f t="shared" si="321"/>
        <v>-4.3036582147499995</v>
      </c>
      <c r="P125">
        <f t="shared" si="322"/>
        <v>-12127.137189999987</v>
      </c>
      <c r="Q125">
        <f t="shared" si="323"/>
        <v>-0.30317842974999965</v>
      </c>
      <c r="R125">
        <f t="shared" si="324"/>
        <v>-9.343564585744141E-5</v>
      </c>
      <c r="S125">
        <f t="shared" si="325"/>
        <v>-3.7374258342976567</v>
      </c>
      <c r="T125">
        <f t="shared" si="308"/>
        <v>-8.2237899999927322</v>
      </c>
      <c r="U125">
        <f t="shared" si="326"/>
        <v>-2.5344650365756766E-3</v>
      </c>
    </row>
    <row r="126" spans="1:22">
      <c r="A126">
        <v>100</v>
      </c>
      <c r="B126">
        <v>101.23262</v>
      </c>
      <c r="C126">
        <v>-172145.38939</v>
      </c>
      <c r="D126">
        <v>-171621.98873000001</v>
      </c>
      <c r="E126">
        <v>462055.18925</v>
      </c>
      <c r="F126">
        <v>1.5412300000000001</v>
      </c>
      <c r="G126">
        <v>4.6309999999999997E-2</v>
      </c>
      <c r="H126">
        <f>2*28.4814</f>
        <v>56.962800000000001</v>
      </c>
      <c r="I126">
        <f>2*28.4814</f>
        <v>56.962800000000001</v>
      </c>
      <c r="K126">
        <f t="shared" si="327"/>
        <v>2.8481399999999999</v>
      </c>
      <c r="L126">
        <f t="shared" si="328"/>
        <v>2.8481399999999999</v>
      </c>
      <c r="M126">
        <f t="shared" si="329"/>
        <v>0</v>
      </c>
      <c r="O126">
        <f t="shared" si="321"/>
        <v>-4.3036347347500001</v>
      </c>
      <c r="P126">
        <f t="shared" si="322"/>
        <v>-12126.197989999993</v>
      </c>
      <c r="Q126">
        <f t="shared" si="323"/>
        <v>-0.30315494974999985</v>
      </c>
      <c r="R126">
        <f t="shared" si="324"/>
        <v>-9.3429065694342303E-5</v>
      </c>
      <c r="S126">
        <f t="shared" si="325"/>
        <v>-3.7371626277736918</v>
      </c>
      <c r="T126">
        <f t="shared" si="308"/>
        <v>-7.284589999999298</v>
      </c>
      <c r="U126">
        <f t="shared" si="326"/>
        <v>-2.2450315860834259E-3</v>
      </c>
    </row>
    <row r="127" spans="1:22">
      <c r="A127">
        <v>200</v>
      </c>
      <c r="B127">
        <v>201.71092999999999</v>
      </c>
      <c r="C127">
        <v>-171605.42817</v>
      </c>
      <c r="D127">
        <v>-170562.52689000001</v>
      </c>
      <c r="E127">
        <v>463388.06715000002</v>
      </c>
      <c r="F127">
        <v>38.977260000000001</v>
      </c>
      <c r="G127">
        <v>3.9609999999999999E-2</v>
      </c>
      <c r="H127">
        <f>2*28.5101</f>
        <v>57.020200000000003</v>
      </c>
      <c r="I127">
        <f>2*28.5101</f>
        <v>57.020200000000003</v>
      </c>
      <c r="J127">
        <f>2*71.2752</f>
        <v>142.5504</v>
      </c>
      <c r="K127">
        <f t="shared" ref="K127:K133" si="330">H127/20</f>
        <v>2.85101</v>
      </c>
      <c r="L127">
        <f t="shared" ref="L127:L133" si="331">I127/20</f>
        <v>2.85101</v>
      </c>
      <c r="M127">
        <f t="shared" ref="M127:M133" si="332">J127/50</f>
        <v>2.8510079999999998</v>
      </c>
      <c r="O127">
        <f t="shared" ref="O127:O133" si="333">C127/40000</f>
        <v>-4.2901357042499999</v>
      </c>
      <c r="P127">
        <f>C127-20000*$H$4-10000*$R$4-10000*$R$12</f>
        <v>-12126.814119999995</v>
      </c>
      <c r="Q127">
        <f t="shared" ref="Q127:Q141" si="334">P127/40000</f>
        <v>-0.30317035299999989</v>
      </c>
      <c r="R127">
        <f t="shared" ref="R127:R133" si="335">Q127/(H127*I127)</f>
        <v>-9.324579517846987E-5</v>
      </c>
      <c r="S127">
        <f t="shared" si="11"/>
        <v>-3.7298318071387948</v>
      </c>
      <c r="T127">
        <f t="shared" ref="T127:T132" si="336">P127-20000*$I$12</f>
        <v>-13.235969999983354</v>
      </c>
      <c r="U127">
        <f t="shared" si="12"/>
        <v>-4.0709737459283168E-3</v>
      </c>
    </row>
    <row r="128" spans="1:22">
      <c r="A128">
        <v>200</v>
      </c>
      <c r="B128">
        <v>202.02594999999999</v>
      </c>
      <c r="C128">
        <v>-171603.65888999999</v>
      </c>
      <c r="D128">
        <v>-170559.12886</v>
      </c>
      <c r="E128">
        <v>463391.63795</v>
      </c>
      <c r="F128">
        <v>25.151710000000001</v>
      </c>
      <c r="G128">
        <v>3.9750000000000001E-2</v>
      </c>
      <c r="H128">
        <f>2*28.5097</f>
        <v>57.019399999999997</v>
      </c>
      <c r="I128">
        <f>2*28.5097</f>
        <v>57.019399999999997</v>
      </c>
      <c r="J128">
        <f>2*71.2743</f>
        <v>142.54859999999999</v>
      </c>
      <c r="K128">
        <f t="shared" ref="K128:K129" si="337">H128/20</f>
        <v>2.8509699999999998</v>
      </c>
      <c r="L128">
        <f t="shared" ref="L128:L129" si="338">I128/20</f>
        <v>2.8509699999999998</v>
      </c>
      <c r="M128">
        <f t="shared" ref="M128:M129" si="339">J128/50</f>
        <v>2.8509720000000001</v>
      </c>
      <c r="O128">
        <f t="shared" ref="O128:O129" si="340">C128/40000</f>
        <v>-4.2900914722499994</v>
      </c>
      <c r="P128">
        <f t="shared" ref="P128:P129" si="341">C128-20000*$H$4-10000*$R$4-10000*$R$12</f>
        <v>-12125.044839999988</v>
      </c>
      <c r="Q128">
        <f t="shared" si="334"/>
        <v>-0.30312612099999969</v>
      </c>
      <c r="R128">
        <f t="shared" ref="R128:R129" si="342">Q128/(H128*I128)</f>
        <v>-9.3234806959395622E-5</v>
      </c>
      <c r="S128">
        <f t="shared" ref="S128:S129" si="343">P128/(H128*I128)</f>
        <v>-3.7293922783758249</v>
      </c>
      <c r="T128">
        <f t="shared" si="336"/>
        <v>-11.466689999975642</v>
      </c>
      <c r="U128">
        <f t="shared" ref="U128:U129" si="344">T128/(H128*I128)</f>
        <v>-3.5268970720308272E-3</v>
      </c>
      <c r="V128">
        <f>AVERAGE(U127:U132)</f>
        <v>-4.3005534120017569E-3</v>
      </c>
    </row>
    <row r="129" spans="1:22">
      <c r="A129">
        <v>200</v>
      </c>
      <c r="B129">
        <v>201.80006</v>
      </c>
      <c r="C129">
        <v>-171604.92374999999</v>
      </c>
      <c r="D129">
        <v>-170561.56164</v>
      </c>
      <c r="E129">
        <v>463388.29904000001</v>
      </c>
      <c r="F129">
        <v>32.151620000000001</v>
      </c>
      <c r="G129">
        <v>3.9690000000000003E-2</v>
      </c>
      <c r="H129">
        <f>2*28.5097</f>
        <v>57.019399999999997</v>
      </c>
      <c r="I129">
        <f>2*28.5097</f>
        <v>57.019399999999997</v>
      </c>
      <c r="J129">
        <f>2*71.2741</f>
        <v>142.54820000000001</v>
      </c>
      <c r="K129">
        <f t="shared" si="337"/>
        <v>2.8509699999999998</v>
      </c>
      <c r="L129">
        <f t="shared" si="338"/>
        <v>2.8509699999999998</v>
      </c>
      <c r="M129">
        <f t="shared" si="339"/>
        <v>2.8509640000000003</v>
      </c>
      <c r="O129">
        <f t="shared" si="340"/>
        <v>-4.2901230937500001</v>
      </c>
      <c r="P129">
        <f t="shared" si="341"/>
        <v>-12126.309699999983</v>
      </c>
      <c r="Q129">
        <f t="shared" si="334"/>
        <v>-0.30315774249999961</v>
      </c>
      <c r="R129">
        <f t="shared" si="342"/>
        <v>-9.3244533024699821E-5</v>
      </c>
      <c r="S129">
        <f t="shared" si="343"/>
        <v>-3.7297813209879931</v>
      </c>
      <c r="T129">
        <f t="shared" si="336"/>
        <v>-12.731549999971321</v>
      </c>
      <c r="U129">
        <f t="shared" si="344"/>
        <v>-3.9159396841990423E-3</v>
      </c>
      <c r="V129">
        <f>STDEV(U127:U132)</f>
        <v>5.3882356797270664E-4</v>
      </c>
    </row>
    <row r="130" spans="1:22">
      <c r="A130">
        <v>200</v>
      </c>
      <c r="B130">
        <v>201.25981999999999</v>
      </c>
      <c r="C130">
        <v>-171607.94128</v>
      </c>
      <c r="D130">
        <v>-170567.37234999999</v>
      </c>
      <c r="E130">
        <v>463389.06056000001</v>
      </c>
      <c r="F130">
        <v>21.66572</v>
      </c>
      <c r="G130">
        <v>3.9530000000000003E-2</v>
      </c>
      <c r="H130">
        <f>2*28.5092</f>
        <v>57.0184</v>
      </c>
      <c r="I130">
        <f>2*28.5092</f>
        <v>57.0184</v>
      </c>
      <c r="K130">
        <f t="shared" ref="K130:K132" si="345">H130/20</f>
        <v>2.8509199999999999</v>
      </c>
      <c r="L130">
        <f t="shared" ref="L130:L132" si="346">I130/20</f>
        <v>2.8509199999999999</v>
      </c>
      <c r="M130">
        <f t="shared" ref="M130:M132" si="347">J130/50</f>
        <v>0</v>
      </c>
      <c r="O130">
        <f t="shared" ref="O130:O132" si="348">C130/40000</f>
        <v>-4.2901985319999998</v>
      </c>
      <c r="P130">
        <f t="shared" ref="P130:P132" si="349">C130-20000*$H$4-10000*$R$4-10000*$R$12</f>
        <v>-12129.327229999995</v>
      </c>
      <c r="Q130">
        <f t="shared" ref="Q130:Q132" si="350">P130/40000</f>
        <v>-0.30323318074999989</v>
      </c>
      <c r="R130">
        <f t="shared" ref="R130:R132" si="351">Q130/(H130*I130)</f>
        <v>-9.3271007665893374E-5</v>
      </c>
      <c r="S130">
        <f t="shared" ref="S130:S132" si="352">P130/(H130*I130)</f>
        <v>-3.7308403066357347</v>
      </c>
      <c r="T130">
        <f t="shared" si="336"/>
        <v>-15.749079999983223</v>
      </c>
      <c r="U130">
        <f t="shared" ref="U130:U132" si="353">T130/(H130*I130)</f>
        <v>-4.8442342548926471E-3</v>
      </c>
    </row>
    <row r="131" spans="1:22">
      <c r="A131">
        <v>200</v>
      </c>
      <c r="B131">
        <v>201.31773999999999</v>
      </c>
      <c r="C131">
        <v>-171607.60146000001</v>
      </c>
      <c r="D131">
        <v>-170566.73306999999</v>
      </c>
      <c r="E131">
        <v>463387.93027000001</v>
      </c>
      <c r="F131">
        <v>23.865739999999999</v>
      </c>
      <c r="G131">
        <v>3.9530000000000003E-2</v>
      </c>
      <c r="H131">
        <f>2*28.5095</f>
        <v>57.018999999999998</v>
      </c>
      <c r="I131">
        <f>2*28.5095</f>
        <v>57.018999999999998</v>
      </c>
      <c r="K131">
        <f t="shared" si="345"/>
        <v>2.8509500000000001</v>
      </c>
      <c r="L131">
        <f t="shared" si="346"/>
        <v>2.8509500000000001</v>
      </c>
      <c r="M131">
        <f t="shared" si="347"/>
        <v>0</v>
      </c>
      <c r="O131">
        <f t="shared" si="348"/>
        <v>-4.2901900365000003</v>
      </c>
      <c r="P131">
        <f t="shared" si="349"/>
        <v>-12128.987410000002</v>
      </c>
      <c r="Q131">
        <f t="shared" si="350"/>
        <v>-0.30322468525000001</v>
      </c>
      <c r="R131">
        <f t="shared" si="351"/>
        <v>-9.3266431668151742E-5</v>
      </c>
      <c r="S131">
        <f t="shared" si="352"/>
        <v>-3.73065726672607</v>
      </c>
      <c r="T131">
        <f t="shared" si="336"/>
        <v>-15.409259999989445</v>
      </c>
      <c r="U131">
        <f t="shared" si="353"/>
        <v>-4.7396098165982002E-3</v>
      </c>
    </row>
    <row r="132" spans="1:22">
      <c r="A132">
        <v>200</v>
      </c>
      <c r="B132">
        <v>201.32785999999999</v>
      </c>
      <c r="C132">
        <v>-171607.49121000001</v>
      </c>
      <c r="D132">
        <v>-170566.57053</v>
      </c>
      <c r="E132">
        <v>463382.45179999998</v>
      </c>
      <c r="F132">
        <v>36.7684</v>
      </c>
      <c r="G132">
        <v>3.952E-2</v>
      </c>
      <c r="H132">
        <f>2*28.5096</f>
        <v>57.019199999999998</v>
      </c>
      <c r="I132">
        <f>2*28.5096</f>
        <v>57.019199999999998</v>
      </c>
      <c r="K132">
        <f t="shared" si="345"/>
        <v>2.8509599999999997</v>
      </c>
      <c r="L132">
        <f t="shared" si="346"/>
        <v>2.8509599999999997</v>
      </c>
      <c r="M132">
        <f t="shared" si="347"/>
        <v>0</v>
      </c>
      <c r="O132">
        <f t="shared" si="348"/>
        <v>-4.2901872802500005</v>
      </c>
      <c r="P132">
        <f t="shared" si="349"/>
        <v>-12128.877160000004</v>
      </c>
      <c r="Q132">
        <f t="shared" si="350"/>
        <v>-0.30322192900000011</v>
      </c>
      <c r="R132">
        <f t="shared" si="351"/>
        <v>-9.3264929621686833E-5</v>
      </c>
      <c r="S132">
        <f t="shared" si="352"/>
        <v>-3.7305971848674728</v>
      </c>
      <c r="T132">
        <f t="shared" si="336"/>
        <v>-15.29900999999154</v>
      </c>
      <c r="U132">
        <f t="shared" si="353"/>
        <v>-4.7056658983615053E-3</v>
      </c>
    </row>
    <row r="133" spans="1:22">
      <c r="A133">
        <v>300</v>
      </c>
      <c r="B133">
        <v>301.92932999999999</v>
      </c>
      <c r="C133">
        <v>-171057.01383000001</v>
      </c>
      <c r="D133">
        <v>-169495.95569</v>
      </c>
      <c r="E133">
        <v>464887.29537000001</v>
      </c>
      <c r="F133">
        <v>119.81556999999999</v>
      </c>
      <c r="G133">
        <v>3.8420000000000003E-2</v>
      </c>
      <c r="H133">
        <f>2*28.5399</f>
        <v>57.079799999999999</v>
      </c>
      <c r="I133">
        <f>2*28.5399</f>
        <v>57.079799999999999</v>
      </c>
      <c r="J133">
        <f>2*71.3499</f>
        <v>142.69980000000001</v>
      </c>
      <c r="K133">
        <f t="shared" si="330"/>
        <v>2.85399</v>
      </c>
      <c r="L133">
        <f t="shared" si="331"/>
        <v>2.85399</v>
      </c>
      <c r="M133">
        <f t="shared" si="332"/>
        <v>2.8539960000000004</v>
      </c>
      <c r="O133">
        <f t="shared" si="333"/>
        <v>-4.2764253457499999</v>
      </c>
      <c r="P133">
        <f>C133-20000*$H$5-10000*$R$5-10000*$R$13</f>
        <v>-12136.020280000004</v>
      </c>
      <c r="Q133">
        <f t="shared" si="334"/>
        <v>-0.3034005070000001</v>
      </c>
      <c r="R133">
        <f t="shared" si="335"/>
        <v>-9.3121811711626725E-5</v>
      </c>
      <c r="S133">
        <f t="shared" si="11"/>
        <v>-3.7248724684650694</v>
      </c>
      <c r="T133">
        <f t="shared" ref="T133:T138" si="354">P133-20000*$I$13</f>
        <v>-7.3332300000074611</v>
      </c>
      <c r="U133">
        <f t="shared" si="12"/>
        <v>-2.2507663881350965E-3</v>
      </c>
    </row>
    <row r="134" spans="1:22">
      <c r="A134">
        <v>300</v>
      </c>
      <c r="B134">
        <v>302.44439999999997</v>
      </c>
      <c r="C134">
        <v>-171054.03636999999</v>
      </c>
      <c r="D134">
        <v>-169490.31520000001</v>
      </c>
      <c r="E134">
        <v>464897.08601000003</v>
      </c>
      <c r="F134">
        <v>98.352940000000004</v>
      </c>
      <c r="G134">
        <v>3.8510000000000003E-2</v>
      </c>
      <c r="H134">
        <f>2*28.5397</f>
        <v>57.0794</v>
      </c>
      <c r="I134">
        <f>2*28.5397</f>
        <v>57.0794</v>
      </c>
      <c r="J134">
        <f>2*71.3492</f>
        <v>142.69839999999999</v>
      </c>
      <c r="K134">
        <f t="shared" ref="K134:K135" si="355">H134/20</f>
        <v>2.8539699999999999</v>
      </c>
      <c r="L134">
        <f t="shared" ref="L134:L135" si="356">I134/20</f>
        <v>2.8539699999999999</v>
      </c>
      <c r="M134">
        <f t="shared" ref="M134:M135" si="357">J134/50</f>
        <v>2.8539680000000001</v>
      </c>
      <c r="O134">
        <f t="shared" ref="O134:O135" si="358">C134/40000</f>
        <v>-4.2763509092499996</v>
      </c>
      <c r="P134">
        <f t="shared" ref="P134:P135" si="359">C134-20000*$H$5-10000*$R$5-10000*$R$13</f>
        <v>-12133.042819999981</v>
      </c>
      <c r="Q134">
        <f t="shared" si="334"/>
        <v>-0.30332607049999949</v>
      </c>
      <c r="R134">
        <f t="shared" ref="R134:R135" si="360">Q134/(H134*I134)</f>
        <v>-9.3100269978038853E-5</v>
      </c>
      <c r="S134">
        <f t="shared" ref="S134:S135" si="361">P134/(H134*I134)</f>
        <v>-3.7240107991215545</v>
      </c>
      <c r="T134">
        <f t="shared" si="354"/>
        <v>-4.3557699999837496</v>
      </c>
      <c r="U134">
        <f t="shared" ref="U134:U135" si="362">T134/(H134*I134)</f>
        <v>-1.3369222180350964E-3</v>
      </c>
      <c r="V134">
        <f>AVERAGE(U133:U138)</f>
        <v>-2.1954281207299631E-3</v>
      </c>
    </row>
    <row r="135" spans="1:22">
      <c r="A135">
        <v>300</v>
      </c>
      <c r="B135">
        <v>302.02476000000001</v>
      </c>
      <c r="C135">
        <v>-171056.33835000001</v>
      </c>
      <c r="D135">
        <v>-169494.78683</v>
      </c>
      <c r="E135">
        <v>464886.90551000001</v>
      </c>
      <c r="F135">
        <v>127.68004000000001</v>
      </c>
      <c r="G135">
        <v>3.8679999999999999E-2</v>
      </c>
      <c r="H135">
        <f>2*28.5389</f>
        <v>57.077800000000003</v>
      </c>
      <c r="I135">
        <f>2*28.5389</f>
        <v>57.077800000000003</v>
      </c>
      <c r="J135">
        <f>2*71.3473</f>
        <v>142.69460000000001</v>
      </c>
      <c r="K135">
        <f t="shared" si="355"/>
        <v>2.8538900000000003</v>
      </c>
      <c r="L135">
        <f t="shared" si="356"/>
        <v>2.8538900000000003</v>
      </c>
      <c r="M135">
        <f t="shared" si="357"/>
        <v>2.8538920000000001</v>
      </c>
      <c r="O135">
        <f t="shared" si="358"/>
        <v>-4.2764084587499998</v>
      </c>
      <c r="P135">
        <f t="shared" si="359"/>
        <v>-12135.344799999999</v>
      </c>
      <c r="Q135">
        <f t="shared" si="334"/>
        <v>-0.30338361999999996</v>
      </c>
      <c r="R135">
        <f t="shared" si="360"/>
        <v>-9.3123154342858938E-5</v>
      </c>
      <c r="S135">
        <f t="shared" si="361"/>
        <v>-3.724926173714358</v>
      </c>
      <c r="T135">
        <f t="shared" si="354"/>
        <v>-6.6577500000021246</v>
      </c>
      <c r="U135">
        <f t="shared" si="362"/>
        <v>-2.0435865351806637E-3</v>
      </c>
      <c r="V135">
        <f>STDEV(U133:U138)</f>
        <v>6.5302122708643109E-4</v>
      </c>
    </row>
    <row r="136" spans="1:22">
      <c r="A136">
        <v>300</v>
      </c>
      <c r="B136">
        <v>301.39951000000002</v>
      </c>
      <c r="C136">
        <v>-171059.97167999999</v>
      </c>
      <c r="D136">
        <v>-169501.65285000001</v>
      </c>
      <c r="E136">
        <v>464879.60407</v>
      </c>
      <c r="F136">
        <v>120.98657</v>
      </c>
      <c r="G136">
        <v>3.8280000000000002E-2</v>
      </c>
      <c r="H136">
        <f>2*28.5384</f>
        <v>57.076799999999999</v>
      </c>
      <c r="I136">
        <f>2*28.5384</f>
        <v>57.076799999999999</v>
      </c>
      <c r="K136">
        <f t="shared" ref="K136:K138" si="363">H136/20</f>
        <v>2.8538399999999999</v>
      </c>
      <c r="L136">
        <f t="shared" ref="L136:L138" si="364">I136/20</f>
        <v>2.8538399999999999</v>
      </c>
      <c r="M136">
        <f t="shared" ref="M136:M138" si="365">J136/50</f>
        <v>0</v>
      </c>
      <c r="O136">
        <f t="shared" ref="O136:O138" si="366">C136/40000</f>
        <v>-4.2764992919999996</v>
      </c>
      <c r="P136">
        <f t="shared" ref="P136:P138" si="367">C136-20000*$H$5-10000*$R$5-10000*$R$13</f>
        <v>-12138.978129999981</v>
      </c>
      <c r="Q136">
        <f t="shared" ref="Q136:Q138" si="368">P136/40000</f>
        <v>-0.30347445324999955</v>
      </c>
      <c r="R136">
        <f t="shared" ref="R136:R138" si="369">Q136/(H136*I136)</f>
        <v>-9.3154299562957864E-5</v>
      </c>
      <c r="S136">
        <f t="shared" ref="S136:S138" si="370">P136/(H136*I136)</f>
        <v>-3.7261719825183146</v>
      </c>
      <c r="T136">
        <f t="shared" si="354"/>
        <v>-10.291079999984504</v>
      </c>
      <c r="U136">
        <f t="shared" ref="U136:U138" si="371">T136/(H136*I136)</f>
        <v>-3.1589425036551155E-3</v>
      </c>
    </row>
    <row r="137" spans="1:22">
      <c r="A137">
        <v>300</v>
      </c>
      <c r="B137">
        <v>301.69206000000003</v>
      </c>
      <c r="C137">
        <v>-171058.34909</v>
      </c>
      <c r="D137">
        <v>-169498.51772999999</v>
      </c>
      <c r="E137">
        <v>464890.37591</v>
      </c>
      <c r="F137">
        <v>116.09893</v>
      </c>
      <c r="G137">
        <v>3.8240000000000003E-2</v>
      </c>
      <c r="H137">
        <f>2*28.5401</f>
        <v>57.080199999999998</v>
      </c>
      <c r="I137">
        <f>2*28.5401</f>
        <v>57.080199999999998</v>
      </c>
      <c r="K137">
        <f t="shared" si="363"/>
        <v>2.8540099999999997</v>
      </c>
      <c r="L137">
        <f t="shared" si="364"/>
        <v>2.8540099999999997</v>
      </c>
      <c r="M137">
        <f t="shared" si="365"/>
        <v>0</v>
      </c>
      <c r="O137">
        <f t="shared" si="366"/>
        <v>-4.2764587272499996</v>
      </c>
      <c r="P137">
        <f t="shared" si="367"/>
        <v>-12137.355539999997</v>
      </c>
      <c r="Q137">
        <f t="shared" si="368"/>
        <v>-0.30343388849999992</v>
      </c>
      <c r="R137">
        <f t="shared" si="369"/>
        <v>-9.3130752120280632E-5</v>
      </c>
      <c r="S137">
        <f t="shared" si="370"/>
        <v>-3.7252300848112254</v>
      </c>
      <c r="T137">
        <f t="shared" si="354"/>
        <v>-8.6684900000000198</v>
      </c>
      <c r="U137">
        <f t="shared" si="371"/>
        <v>-2.6605564640059427E-3</v>
      </c>
    </row>
    <row r="138" spans="1:22">
      <c r="A138">
        <v>300</v>
      </c>
      <c r="B138">
        <v>302.25198999999998</v>
      </c>
      <c r="C138">
        <v>-171055.29011</v>
      </c>
      <c r="D138">
        <v>-169492.56374000001</v>
      </c>
      <c r="E138">
        <v>464893.81612999999</v>
      </c>
      <c r="F138">
        <v>108.50778</v>
      </c>
      <c r="G138">
        <v>3.8390000000000001E-2</v>
      </c>
      <c r="H138">
        <f>2*28.5392</f>
        <v>57.078400000000002</v>
      </c>
      <c r="I138">
        <f>2*28.5392</f>
        <v>57.078400000000002</v>
      </c>
      <c r="K138">
        <f t="shared" si="363"/>
        <v>2.85392</v>
      </c>
      <c r="L138">
        <f t="shared" si="364"/>
        <v>2.85392</v>
      </c>
      <c r="M138">
        <f t="shared" si="365"/>
        <v>0</v>
      </c>
      <c r="O138">
        <f t="shared" si="366"/>
        <v>-4.2763822527500004</v>
      </c>
      <c r="P138">
        <f t="shared" si="367"/>
        <v>-12134.296559999995</v>
      </c>
      <c r="Q138">
        <f t="shared" si="368"/>
        <v>-0.30335741399999988</v>
      </c>
      <c r="R138">
        <f t="shared" si="369"/>
        <v>-9.311315283460897E-5</v>
      </c>
      <c r="S138">
        <f t="shared" si="370"/>
        <v>-3.7245261133843588</v>
      </c>
      <c r="T138">
        <f t="shared" si="354"/>
        <v>-5.6095099999984086</v>
      </c>
      <c r="U138">
        <f t="shared" si="371"/>
        <v>-1.7217946153678624E-3</v>
      </c>
    </row>
    <row r="139" spans="1:22">
      <c r="A139">
        <v>400</v>
      </c>
      <c r="B139">
        <v>402.38950999999997</v>
      </c>
      <c r="C139">
        <v>-170498.62198</v>
      </c>
      <c r="D139">
        <v>-168418.15692000001</v>
      </c>
      <c r="E139">
        <v>466596.33536999999</v>
      </c>
      <c r="F139">
        <v>-110.02327</v>
      </c>
      <c r="G139">
        <v>4.3860000000000003E-2</v>
      </c>
      <c r="H139">
        <f>2*28.577</f>
        <v>57.154000000000003</v>
      </c>
      <c r="I139">
        <f>2*28.577</f>
        <v>57.154000000000003</v>
      </c>
      <c r="J139">
        <f>2*71.4424</f>
        <v>142.88480000000001</v>
      </c>
      <c r="K139">
        <f t="shared" ref="K139" si="372">H139/20</f>
        <v>2.8577000000000004</v>
      </c>
      <c r="L139">
        <f t="shared" ref="L139" si="373">I139/20</f>
        <v>2.8577000000000004</v>
      </c>
      <c r="M139">
        <f t="shared" ref="M139" si="374">J139/50</f>
        <v>2.8576960000000002</v>
      </c>
      <c r="O139">
        <f t="shared" ref="O139" si="375">C139/40000</f>
        <v>-4.2624655494999999</v>
      </c>
      <c r="P139">
        <f>C139-20000*$H$6-10000*$R$6-10000*$R$14</f>
        <v>-12201.092229999987</v>
      </c>
      <c r="Q139">
        <f t="shared" si="334"/>
        <v>-0.3050273057499997</v>
      </c>
      <c r="R139">
        <f t="shared" ref="R139" si="376">Q139/(H139*I139)</f>
        <v>-9.3378191340608843E-5</v>
      </c>
      <c r="S139">
        <f t="shared" ref="S139" si="377">P139/(H139*I139)</f>
        <v>-3.7351276536243536</v>
      </c>
      <c r="T139">
        <f t="shared" ref="T139:T144" si="378">P139-20000*$I$14</f>
        <v>-22.528079999994588</v>
      </c>
      <c r="U139">
        <f t="shared" ref="U139" si="379">T139/(H139*I139)</f>
        <v>-6.8965345892678005E-3</v>
      </c>
    </row>
    <row r="140" spans="1:22">
      <c r="A140">
        <v>400</v>
      </c>
      <c r="B140">
        <v>402.76353</v>
      </c>
      <c r="C140">
        <v>-170496.69041000001</v>
      </c>
      <c r="D140">
        <v>-168414.29157</v>
      </c>
      <c r="E140">
        <v>466613.13724000001</v>
      </c>
      <c r="F140">
        <v>-108.00949</v>
      </c>
      <c r="G140">
        <v>4.3529999999999999E-2</v>
      </c>
      <c r="H140">
        <f>2*28.5783</f>
        <v>57.156599999999997</v>
      </c>
      <c r="I140">
        <f>2*28.5783</f>
        <v>57.156599999999997</v>
      </c>
      <c r="J140">
        <f>2*71.4457</f>
        <v>142.8914</v>
      </c>
      <c r="K140">
        <f t="shared" ref="K140:K141" si="380">H140/20</f>
        <v>2.8578299999999999</v>
      </c>
      <c r="L140">
        <f t="shared" ref="L140:L141" si="381">I140/20</f>
        <v>2.8578299999999999</v>
      </c>
      <c r="M140">
        <f t="shared" ref="M140:M141" si="382">J140/50</f>
        <v>2.857828</v>
      </c>
      <c r="O140">
        <f t="shared" ref="O140:O141" si="383">C140/40000</f>
        <v>-4.2624172602500003</v>
      </c>
      <c r="P140">
        <f t="shared" ref="P140:P141" si="384">C140-20000*$H$6-10000*$R$6-10000*$R$14</f>
        <v>-12199.160660000001</v>
      </c>
      <c r="Q140">
        <f t="shared" si="334"/>
        <v>-0.30497901650000003</v>
      </c>
      <c r="R140">
        <f t="shared" ref="R140:R141" si="385">Q140/(H140*I140)</f>
        <v>-9.3354914689487768E-5</v>
      </c>
      <c r="S140">
        <f t="shared" ref="S140:S141" si="386">P140/(H140*I140)</f>
        <v>-3.7341965875795107</v>
      </c>
      <c r="T140">
        <f t="shared" si="378"/>
        <v>-20.596510000008493</v>
      </c>
      <c r="U140">
        <f t="shared" ref="U140:U141" si="387">T140/(H140*I140)</f>
        <v>-6.3046482870141142E-3</v>
      </c>
      <c r="V140">
        <f>AVERAGE(U139:U144)</f>
        <v>-7.9712595447637511E-3</v>
      </c>
    </row>
    <row r="141" spans="1:22">
      <c r="A141">
        <v>400</v>
      </c>
      <c r="B141">
        <v>400.63704000000001</v>
      </c>
      <c r="C141">
        <v>-170508.56046000001</v>
      </c>
      <c r="D141">
        <v>-168437.15616000001</v>
      </c>
      <c r="E141">
        <v>466563.84411000001</v>
      </c>
      <c r="F141">
        <v>-101.4787</v>
      </c>
      <c r="G141">
        <v>4.3319999999999997E-2</v>
      </c>
      <c r="H141">
        <f>2*28.5766</f>
        <v>57.153199999999998</v>
      </c>
      <c r="I141">
        <f>2*28.5766</f>
        <v>57.153199999999998</v>
      </c>
      <c r="J141">
        <f>2*71.4416</f>
        <v>142.88319999999999</v>
      </c>
      <c r="K141">
        <f t="shared" si="380"/>
        <v>2.8576600000000001</v>
      </c>
      <c r="L141">
        <f t="shared" si="381"/>
        <v>2.8576600000000001</v>
      </c>
      <c r="M141">
        <f t="shared" si="382"/>
        <v>2.8576639999999998</v>
      </c>
      <c r="O141">
        <f t="shared" si="383"/>
        <v>-4.2627140115</v>
      </c>
      <c r="P141">
        <f t="shared" si="384"/>
        <v>-12211.030709999999</v>
      </c>
      <c r="Q141">
        <f t="shared" si="334"/>
        <v>-0.30527576774999998</v>
      </c>
      <c r="R141">
        <f t="shared" si="385"/>
        <v>-9.3456869424965162E-5</v>
      </c>
      <c r="S141">
        <f t="shared" si="386"/>
        <v>-3.7382747769986064</v>
      </c>
      <c r="T141">
        <f t="shared" si="378"/>
        <v>-32.466560000006211</v>
      </c>
      <c r="U141">
        <f t="shared" si="387"/>
        <v>-9.9392856529745884E-3</v>
      </c>
      <c r="V141">
        <f>STDEV(U139:U144)</f>
        <v>1.3030453395471949E-3</v>
      </c>
    </row>
    <row r="142" spans="1:22">
      <c r="A142">
        <v>400</v>
      </c>
      <c r="B142">
        <v>401.78926000000001</v>
      </c>
      <c r="C142">
        <v>-170502.09891</v>
      </c>
      <c r="D142">
        <v>-168424.73730000001</v>
      </c>
      <c r="E142">
        <v>466593.13761999999</v>
      </c>
      <c r="F142">
        <v>-105.23421999999999</v>
      </c>
      <c r="G142">
        <v>4.3430000000000003E-2</v>
      </c>
      <c r="H142">
        <f>2*28.5777</f>
        <v>57.1554</v>
      </c>
      <c r="I142">
        <f>2*28.5777</f>
        <v>57.1554</v>
      </c>
      <c r="K142">
        <f t="shared" ref="K142:K144" si="388">H142/20</f>
        <v>2.8577699999999999</v>
      </c>
      <c r="L142">
        <f t="shared" ref="L142:L144" si="389">I142/20</f>
        <v>2.8577699999999999</v>
      </c>
      <c r="M142">
        <f t="shared" ref="M142:M144" si="390">J142/50</f>
        <v>0</v>
      </c>
      <c r="O142">
        <f t="shared" ref="O142:O144" si="391">C142/40000</f>
        <v>-4.2625524727500004</v>
      </c>
      <c r="P142">
        <f t="shared" ref="P142:P144" si="392">C142-20000*$H$6-10000*$R$6-10000*$R$14</f>
        <v>-12204.569159999992</v>
      </c>
      <c r="Q142">
        <f t="shared" ref="Q142:Q144" si="393">P142/40000</f>
        <v>-0.30511422899999979</v>
      </c>
      <c r="R142">
        <f t="shared" ref="R142:R144" si="394">Q142/(H142*I142)</f>
        <v>-9.3400225432238977E-5</v>
      </c>
      <c r="S142">
        <f t="shared" ref="S142:S144" si="395">P142/(H142*I142)</f>
        <v>-3.7360090172895588</v>
      </c>
      <c r="T142">
        <f t="shared" si="378"/>
        <v>-26.005009999998947</v>
      </c>
      <c r="U142">
        <f t="shared" ref="U142:U144" si="396">T142/(H142*I142)</f>
        <v>-7.9605392522271792E-3</v>
      </c>
    </row>
    <row r="143" spans="1:22">
      <c r="A143">
        <v>400</v>
      </c>
      <c r="B143">
        <v>401.82477</v>
      </c>
      <c r="C143">
        <v>-170501.99661</v>
      </c>
      <c r="D143">
        <v>-168424.45141000001</v>
      </c>
      <c r="E143">
        <v>466583.65266000002</v>
      </c>
      <c r="F143">
        <v>-92.826800000000006</v>
      </c>
      <c r="G143">
        <v>4.3389999999999998E-2</v>
      </c>
      <c r="H143">
        <f>2*28.5773</f>
        <v>57.154600000000002</v>
      </c>
      <c r="I143">
        <f>2*28.5773</f>
        <v>57.154600000000002</v>
      </c>
      <c r="K143">
        <f t="shared" si="388"/>
        <v>2.8577300000000001</v>
      </c>
      <c r="L143">
        <f t="shared" si="389"/>
        <v>2.8577300000000001</v>
      </c>
      <c r="M143">
        <f t="shared" si="390"/>
        <v>0</v>
      </c>
      <c r="O143">
        <f t="shared" si="391"/>
        <v>-4.2625499152500002</v>
      </c>
      <c r="P143">
        <f t="shared" si="392"/>
        <v>-12204.466859999993</v>
      </c>
      <c r="Q143">
        <f t="shared" si="393"/>
        <v>-0.30511167149999985</v>
      </c>
      <c r="R143">
        <f t="shared" si="394"/>
        <v>-9.3402057206970658E-5</v>
      </c>
      <c r="S143">
        <f t="shared" si="395"/>
        <v>-3.7360822882788258</v>
      </c>
      <c r="T143">
        <f t="shared" si="378"/>
        <v>-25.902710000000297</v>
      </c>
      <c r="U143">
        <f t="shared" si="396"/>
        <v>-7.9294456004958165E-3</v>
      </c>
    </row>
    <row r="144" spans="1:22">
      <c r="A144">
        <v>400</v>
      </c>
      <c r="B144">
        <v>401.33693</v>
      </c>
      <c r="C144">
        <v>-170504.83014000001</v>
      </c>
      <c r="D144">
        <v>-168429.80723999999</v>
      </c>
      <c r="E144">
        <v>466577.95143000002</v>
      </c>
      <c r="F144">
        <v>-81.929140000000004</v>
      </c>
      <c r="G144">
        <v>4.2999999999999997E-2</v>
      </c>
      <c r="H144">
        <f>2*28.5769</f>
        <v>57.153799999999997</v>
      </c>
      <c r="I144">
        <f>2*28.5769</f>
        <v>57.153799999999997</v>
      </c>
      <c r="K144">
        <f t="shared" si="388"/>
        <v>2.8576899999999998</v>
      </c>
      <c r="L144">
        <f t="shared" si="389"/>
        <v>2.8576899999999998</v>
      </c>
      <c r="M144">
        <f t="shared" si="390"/>
        <v>0</v>
      </c>
      <c r="O144">
        <f t="shared" si="391"/>
        <v>-4.2626207535000002</v>
      </c>
      <c r="P144">
        <f t="shared" si="392"/>
        <v>-12207.300389999997</v>
      </c>
      <c r="Q144">
        <f t="shared" si="393"/>
        <v>-0.30518250974999994</v>
      </c>
      <c r="R144">
        <f t="shared" si="394"/>
        <v>-9.3426357889710973E-5</v>
      </c>
      <c r="S144">
        <f t="shared" si="395"/>
        <v>-3.7370543155884386</v>
      </c>
      <c r="T144">
        <f t="shared" si="378"/>
        <v>-28.736240000003818</v>
      </c>
      <c r="U144">
        <f t="shared" si="396"/>
        <v>-8.7971038866030086E-3</v>
      </c>
    </row>
    <row r="145" spans="1:22">
      <c r="A145">
        <v>500</v>
      </c>
      <c r="K145">
        <f t="shared" ref="K145:K150" si="397">H145/20</f>
        <v>0</v>
      </c>
      <c r="L145">
        <f t="shared" ref="L145:L150" si="398">I145/20</f>
        <v>0</v>
      </c>
      <c r="M145">
        <f t="shared" ref="M145:M150" si="399">J145/50</f>
        <v>0</v>
      </c>
      <c r="O145">
        <f t="shared" ref="O145" si="400">C145/40000</f>
        <v>0</v>
      </c>
      <c r="P145">
        <f>C145-20000*$H$7-10000*$R$7-10000*$R$15</f>
        <v>157678.90547500001</v>
      </c>
      <c r="Q145">
        <f t="shared" ref="Q145" si="401">P145/40000</f>
        <v>3.9419726368750001</v>
      </c>
      <c r="R145" t="e">
        <f t="shared" ref="R145" si="402">Q145/(H145*I145)</f>
        <v>#DIV/0!</v>
      </c>
      <c r="S145" t="e">
        <f t="shared" ref="S145" si="403">P145/(H145*I145)</f>
        <v>#DIV/0!</v>
      </c>
      <c r="T145">
        <f>P145-20000*$I$15</f>
        <v>169928.77170000001</v>
      </c>
      <c r="U145" t="e">
        <f t="shared" ref="U145" si="404">T145/(H145*I145)</f>
        <v>#DIV/0!</v>
      </c>
    </row>
    <row r="146" spans="1:22">
      <c r="A146">
        <v>500</v>
      </c>
      <c r="K146">
        <f t="shared" si="397"/>
        <v>0</v>
      </c>
      <c r="L146">
        <f t="shared" si="398"/>
        <v>0</v>
      </c>
      <c r="M146">
        <f t="shared" si="399"/>
        <v>0</v>
      </c>
      <c r="O146">
        <f t="shared" ref="O146:O150" si="405">C146/40000</f>
        <v>0</v>
      </c>
      <c r="P146">
        <f t="shared" ref="P146:P150" si="406">C146-20000*$H$7-10000*$R$7-10000*$R$15</f>
        <v>157678.90547500001</v>
      </c>
      <c r="Q146">
        <f t="shared" ref="Q146:Q150" si="407">P146/40000</f>
        <v>3.9419726368750001</v>
      </c>
      <c r="R146" t="e">
        <f t="shared" ref="R146:R150" si="408">Q146/(H146*I146)</f>
        <v>#DIV/0!</v>
      </c>
      <c r="S146" t="e">
        <f t="shared" ref="S146:S150" si="409">P146/(H146*I146)</f>
        <v>#DIV/0!</v>
      </c>
      <c r="T146">
        <f t="shared" ref="T146:T150" si="410">P146-20000*$I$15</f>
        <v>169928.77170000001</v>
      </c>
      <c r="U146" t="e">
        <f t="shared" ref="U146:U150" si="411">T146/(H146*I146)</f>
        <v>#DIV/0!</v>
      </c>
      <c r="V146" t="e">
        <f>AVERAGE(U145:U150)</f>
        <v>#DIV/0!</v>
      </c>
    </row>
    <row r="147" spans="1:22">
      <c r="A147">
        <v>500</v>
      </c>
      <c r="K147">
        <f t="shared" si="397"/>
        <v>0</v>
      </c>
      <c r="L147">
        <f t="shared" si="398"/>
        <v>0</v>
      </c>
      <c r="M147">
        <f t="shared" si="399"/>
        <v>0</v>
      </c>
      <c r="O147">
        <f t="shared" si="405"/>
        <v>0</v>
      </c>
      <c r="P147">
        <f t="shared" si="406"/>
        <v>157678.90547500001</v>
      </c>
      <c r="Q147">
        <f t="shared" si="407"/>
        <v>3.9419726368750001</v>
      </c>
      <c r="R147" t="e">
        <f t="shared" si="408"/>
        <v>#DIV/0!</v>
      </c>
      <c r="S147" t="e">
        <f t="shared" si="409"/>
        <v>#DIV/0!</v>
      </c>
      <c r="T147">
        <f t="shared" si="410"/>
        <v>169928.77170000001</v>
      </c>
      <c r="U147" t="e">
        <f t="shared" si="411"/>
        <v>#DIV/0!</v>
      </c>
      <c r="V147" t="e">
        <f>STDEV(U145:U150)</f>
        <v>#DIV/0!</v>
      </c>
    </row>
    <row r="148" spans="1:22">
      <c r="A148">
        <v>500</v>
      </c>
      <c r="K148">
        <f t="shared" si="397"/>
        <v>0</v>
      </c>
      <c r="L148">
        <f t="shared" si="398"/>
        <v>0</v>
      </c>
      <c r="M148">
        <f t="shared" si="399"/>
        <v>0</v>
      </c>
      <c r="O148">
        <f t="shared" si="405"/>
        <v>0</v>
      </c>
      <c r="P148">
        <f t="shared" si="406"/>
        <v>157678.90547500001</v>
      </c>
      <c r="Q148">
        <f t="shared" si="407"/>
        <v>3.9419726368750001</v>
      </c>
      <c r="R148" t="e">
        <f t="shared" si="408"/>
        <v>#DIV/0!</v>
      </c>
      <c r="S148" t="e">
        <f t="shared" si="409"/>
        <v>#DIV/0!</v>
      </c>
      <c r="T148">
        <f t="shared" si="410"/>
        <v>169928.77170000001</v>
      </c>
      <c r="U148" t="e">
        <f t="shared" si="411"/>
        <v>#DIV/0!</v>
      </c>
    </row>
    <row r="149" spans="1:22">
      <c r="A149">
        <v>500</v>
      </c>
      <c r="K149">
        <f t="shared" si="397"/>
        <v>0</v>
      </c>
      <c r="L149">
        <f t="shared" si="398"/>
        <v>0</v>
      </c>
      <c r="M149">
        <f t="shared" si="399"/>
        <v>0</v>
      </c>
      <c r="O149">
        <f t="shared" si="405"/>
        <v>0</v>
      </c>
      <c r="P149">
        <f t="shared" si="406"/>
        <v>157678.90547500001</v>
      </c>
      <c r="Q149">
        <f t="shared" si="407"/>
        <v>3.9419726368750001</v>
      </c>
      <c r="R149" t="e">
        <f t="shared" si="408"/>
        <v>#DIV/0!</v>
      </c>
      <c r="S149" t="e">
        <f t="shared" si="409"/>
        <v>#DIV/0!</v>
      </c>
      <c r="T149">
        <f t="shared" si="410"/>
        <v>169928.77170000001</v>
      </c>
      <c r="U149" t="e">
        <f t="shared" si="411"/>
        <v>#DIV/0!</v>
      </c>
    </row>
    <row r="150" spans="1:22">
      <c r="A150">
        <v>500</v>
      </c>
      <c r="K150">
        <f t="shared" si="397"/>
        <v>0</v>
      </c>
      <c r="L150">
        <f t="shared" si="398"/>
        <v>0</v>
      </c>
      <c r="M150">
        <f t="shared" si="399"/>
        <v>0</v>
      </c>
      <c r="O150">
        <f t="shared" si="405"/>
        <v>0</v>
      </c>
      <c r="P150">
        <f t="shared" si="406"/>
        <v>157678.90547500001</v>
      </c>
      <c r="Q150">
        <f t="shared" si="407"/>
        <v>3.9419726368750001</v>
      </c>
      <c r="R150" t="e">
        <f t="shared" si="408"/>
        <v>#DIV/0!</v>
      </c>
      <c r="S150" t="e">
        <f t="shared" si="409"/>
        <v>#DIV/0!</v>
      </c>
      <c r="T150">
        <f t="shared" si="410"/>
        <v>169928.77170000001</v>
      </c>
      <c r="U150" t="e">
        <f t="shared" si="411"/>
        <v>#DIV/0!</v>
      </c>
    </row>
    <row r="151" spans="1:22">
      <c r="C151" t="s">
        <v>21</v>
      </c>
    </row>
    <row r="152" spans="1:22">
      <c r="A152">
        <v>100</v>
      </c>
      <c r="B152">
        <v>101.21095</v>
      </c>
      <c r="C152">
        <v>-344273.76893999998</v>
      </c>
      <c r="D152">
        <v>-343227.17864</v>
      </c>
      <c r="E152">
        <v>923016.23201000004</v>
      </c>
      <c r="F152">
        <v>-1.0961399999999999</v>
      </c>
      <c r="G152">
        <v>0.16134999999999999</v>
      </c>
      <c r="H152">
        <f>2*28.4698</f>
        <v>56.939599999999999</v>
      </c>
      <c r="I152">
        <f>2*28.4698</f>
        <v>56.939599999999999</v>
      </c>
      <c r="J152">
        <f>2*142.349</f>
        <v>284.69799999999998</v>
      </c>
      <c r="K152">
        <f t="shared" ref="K152:K164" si="412">H152/20</f>
        <v>2.8469799999999998</v>
      </c>
      <c r="L152">
        <f t="shared" ref="L152:L164" si="413">I152/20</f>
        <v>2.8469799999999998</v>
      </c>
      <c r="M152">
        <f>J152/100</f>
        <v>2.8469799999999998</v>
      </c>
      <c r="O152">
        <f>C152/80000</f>
        <v>-4.3034221117499998</v>
      </c>
      <c r="P152">
        <f>C152-40000*$H$3-20000*$R$3-20000*$R$11</f>
        <v>-24235.386139999973</v>
      </c>
      <c r="Q152">
        <f>P152/80000</f>
        <v>-0.30294232674999966</v>
      </c>
      <c r="R152">
        <f t="shared" ref="R152" si="414">Q152/(H152*I152)</f>
        <v>-9.3439634908398409E-5</v>
      </c>
      <c r="S152">
        <f t="shared" si="11"/>
        <v>-7.4751707926718733</v>
      </c>
      <c r="T152">
        <f t="shared" ref="T152:T157" si="415">P152-40000*$I$11</f>
        <v>2.4406600000147591</v>
      </c>
      <c r="U152">
        <f t="shared" si="12"/>
        <v>7.5279800542731859E-4</v>
      </c>
    </row>
    <row r="153" spans="1:22">
      <c r="A153">
        <v>100</v>
      </c>
      <c r="B153">
        <v>101.01081000000001</v>
      </c>
      <c r="C153">
        <v>-344275.82227</v>
      </c>
      <c r="D153">
        <v>-343231.30158000003</v>
      </c>
      <c r="E153">
        <v>923009.91631</v>
      </c>
      <c r="F153">
        <v>1.10405</v>
      </c>
      <c r="G153">
        <v>0.16128000000000001</v>
      </c>
      <c r="H153">
        <f>2*28.4697</f>
        <v>56.939399999999999</v>
      </c>
      <c r="I153">
        <f>2*28.4697</f>
        <v>56.939399999999999</v>
      </c>
      <c r="J153">
        <f>2*142.348</f>
        <v>284.69600000000003</v>
      </c>
      <c r="K153">
        <f t="shared" ref="K153:K154" si="416">H153/20</f>
        <v>2.8469699999999998</v>
      </c>
      <c r="L153">
        <f t="shared" ref="L153:L154" si="417">I153/20</f>
        <v>2.8469699999999998</v>
      </c>
      <c r="M153">
        <f t="shared" ref="M153:M154" si="418">J153/100</f>
        <v>2.8469600000000002</v>
      </c>
      <c r="O153">
        <f t="shared" ref="O153:O154" si="419">C153/80000</f>
        <v>-4.3034477783750003</v>
      </c>
      <c r="P153">
        <f t="shared" ref="P153:P154" si="420">C153-40000*$H$3-20000*$R$3-20000*$R$11</f>
        <v>-24237.439469999998</v>
      </c>
      <c r="Q153">
        <f t="shared" ref="Q153:Q154" si="421">P153/80000</f>
        <v>-0.30296799337499997</v>
      </c>
      <c r="R153">
        <f t="shared" ref="R153:R154" si="422">Q153/(H153*I153)</f>
        <v>-9.3448208002370702E-5</v>
      </c>
      <c r="S153">
        <f t="shared" ref="S153:S154" si="423">P153/(H153*I153)</f>
        <v>-7.4758566401896562</v>
      </c>
      <c r="T153">
        <f t="shared" si="415"/>
        <v>0.38732999999047024</v>
      </c>
      <c r="U153">
        <f t="shared" ref="U153:U154" si="424">T153/(H153*I153)</f>
        <v>1.1946903698129862E-4</v>
      </c>
      <c r="V153">
        <f>AVERAGE(U152:U157)</f>
        <v>4.4453149188451377E-4</v>
      </c>
    </row>
    <row r="154" spans="1:22">
      <c r="A154">
        <v>100</v>
      </c>
      <c r="B154">
        <v>100.89687000000001</v>
      </c>
      <c r="C154">
        <v>-344277.03230000002</v>
      </c>
      <c r="D154">
        <v>-343233.68982000003</v>
      </c>
      <c r="E154">
        <v>923006.57466000004</v>
      </c>
      <c r="F154">
        <v>2.6254400000000002</v>
      </c>
      <c r="G154">
        <v>0.16114000000000001</v>
      </c>
      <c r="H154">
        <f>2*28.4699</f>
        <v>56.939799999999998</v>
      </c>
      <c r="I154">
        <f>2*28.4699</f>
        <v>56.939799999999998</v>
      </c>
      <c r="J154">
        <f>2*142.349</f>
        <v>284.69799999999998</v>
      </c>
      <c r="K154">
        <f t="shared" si="416"/>
        <v>2.8469899999999999</v>
      </c>
      <c r="L154">
        <f t="shared" si="417"/>
        <v>2.8469899999999999</v>
      </c>
      <c r="M154">
        <f t="shared" si="418"/>
        <v>2.8469799999999998</v>
      </c>
      <c r="O154">
        <f t="shared" si="419"/>
        <v>-4.3034629037499998</v>
      </c>
      <c r="P154">
        <f t="shared" si="420"/>
        <v>-24238.649500000014</v>
      </c>
      <c r="Q154">
        <f t="shared" si="421"/>
        <v>-0.30298311875000017</v>
      </c>
      <c r="R154">
        <f t="shared" si="422"/>
        <v>-9.345156030960306E-5</v>
      </c>
      <c r="S154">
        <f t="shared" si="423"/>
        <v>-7.4761248247682444</v>
      </c>
      <c r="T154">
        <f t="shared" si="415"/>
        <v>-0.82270000002608867</v>
      </c>
      <c r="U154">
        <f t="shared" si="424"/>
        <v>-2.5375208686985109E-4</v>
      </c>
      <c r="V154">
        <f>STDEV(U152:U157)</f>
        <v>4.8131653593490125E-4</v>
      </c>
    </row>
    <row r="155" spans="1:22">
      <c r="A155">
        <v>100</v>
      </c>
      <c r="B155">
        <v>101.2893</v>
      </c>
      <c r="C155">
        <v>-344272.94507999998</v>
      </c>
      <c r="D155">
        <v>-343225.54457999999</v>
      </c>
      <c r="E155">
        <v>923019.22042999999</v>
      </c>
      <c r="F155">
        <v>-1.6097999999999999</v>
      </c>
      <c r="G155">
        <v>0.16125</v>
      </c>
      <c r="H155">
        <f>2*28.4699</f>
        <v>56.939799999999998</v>
      </c>
      <c r="I155">
        <f>2*28.4699</f>
        <v>56.939799999999998</v>
      </c>
      <c r="K155">
        <f t="shared" ref="K155:K157" si="425">H155/20</f>
        <v>2.8469899999999999</v>
      </c>
      <c r="L155">
        <f t="shared" ref="L155:L157" si="426">I155/20</f>
        <v>2.8469899999999999</v>
      </c>
      <c r="M155">
        <f t="shared" ref="M155:M157" si="427">J155/100</f>
        <v>0</v>
      </c>
      <c r="O155">
        <f t="shared" ref="O155:O157" si="428">C155/80000</f>
        <v>-4.3034118134999995</v>
      </c>
      <c r="P155">
        <f t="shared" ref="P155:P157" si="429">C155-40000*$H$3-20000*$R$3-20000*$R$11</f>
        <v>-24234.562279999969</v>
      </c>
      <c r="Q155">
        <f t="shared" ref="Q155:Q157" si="430">P155/80000</f>
        <v>-0.30293202849999962</v>
      </c>
      <c r="R155">
        <f t="shared" ref="R155:R157" si="431">Q155/(H155*I155)</f>
        <v>-9.3435802126114623E-5</v>
      </c>
      <c r="S155">
        <f t="shared" ref="S155:S157" si="432">P155/(H155*I155)</f>
        <v>-7.4748641700891696</v>
      </c>
      <c r="T155">
        <f t="shared" si="415"/>
        <v>3.2645200000188197</v>
      </c>
      <c r="U155">
        <f t="shared" ref="U155:U157" si="433">T155/(H155*I155)</f>
        <v>1.0069025922047807E-3</v>
      </c>
    </row>
    <row r="156" spans="1:22">
      <c r="A156">
        <v>100</v>
      </c>
      <c r="B156">
        <v>101.05629999999999</v>
      </c>
      <c r="C156">
        <v>-344275.38506</v>
      </c>
      <c r="D156">
        <v>-343230.39402000001</v>
      </c>
      <c r="E156">
        <v>923012.49673000001</v>
      </c>
      <c r="F156">
        <v>-1.9801299999999999</v>
      </c>
      <c r="G156">
        <v>0.16142999999999999</v>
      </c>
      <c r="H156">
        <f>2*28.4698</f>
        <v>56.939599999999999</v>
      </c>
      <c r="I156">
        <f>2*28.4698</f>
        <v>56.939599999999999</v>
      </c>
      <c r="K156">
        <f t="shared" si="425"/>
        <v>2.8469799999999998</v>
      </c>
      <c r="L156">
        <f t="shared" si="426"/>
        <v>2.8469799999999998</v>
      </c>
      <c r="M156">
        <f t="shared" si="427"/>
        <v>0</v>
      </c>
      <c r="O156">
        <f t="shared" si="428"/>
        <v>-4.3034423132499997</v>
      </c>
      <c r="P156">
        <f t="shared" si="429"/>
        <v>-24237.002259999994</v>
      </c>
      <c r="Q156">
        <f t="shared" si="430"/>
        <v>-0.30296252824999992</v>
      </c>
      <c r="R156">
        <f t="shared" si="431"/>
        <v>-9.3445865865970026E-5</v>
      </c>
      <c r="S156">
        <f t="shared" si="432"/>
        <v>-7.4756692692776028</v>
      </c>
      <c r="T156">
        <f t="shared" si="415"/>
        <v>0.82453999999415828</v>
      </c>
      <c r="U156">
        <f t="shared" si="433"/>
        <v>2.5432139969798744E-4</v>
      </c>
    </row>
    <row r="157" spans="1:22">
      <c r="A157">
        <v>100</v>
      </c>
      <c r="B157">
        <v>101.21965</v>
      </c>
      <c r="C157">
        <v>-344273.65662999998</v>
      </c>
      <c r="D157">
        <v>-343226.97635999997</v>
      </c>
      <c r="E157">
        <v>923017.82478999998</v>
      </c>
      <c r="F157">
        <v>-1.20957</v>
      </c>
      <c r="G157">
        <v>0.16128000000000001</v>
      </c>
      <c r="H157">
        <f>2*28.4696</f>
        <v>56.9392</v>
      </c>
      <c r="I157">
        <f>2*28.4696</f>
        <v>56.9392</v>
      </c>
      <c r="K157">
        <f t="shared" si="425"/>
        <v>2.8469600000000002</v>
      </c>
      <c r="L157">
        <f t="shared" si="426"/>
        <v>2.8469600000000002</v>
      </c>
      <c r="M157">
        <f t="shared" si="427"/>
        <v>0</v>
      </c>
      <c r="O157">
        <f t="shared" si="428"/>
        <v>-4.3034207078749995</v>
      </c>
      <c r="P157">
        <f t="shared" si="429"/>
        <v>-24235.273829999976</v>
      </c>
      <c r="Q157">
        <f t="shared" si="430"/>
        <v>-0.30294092287499969</v>
      </c>
      <c r="R157">
        <f t="shared" si="431"/>
        <v>-9.3440514729069087E-5</v>
      </c>
      <c r="S157">
        <f t="shared" si="432"/>
        <v>-7.4752411783255273</v>
      </c>
      <c r="T157">
        <f t="shared" si="415"/>
        <v>2.5529700000115554</v>
      </c>
      <c r="U157">
        <f t="shared" si="433"/>
        <v>7.8745000386554816E-4</v>
      </c>
    </row>
    <row r="158" spans="1:22">
      <c r="A158">
        <v>200</v>
      </c>
      <c r="B158">
        <v>201.50456</v>
      </c>
      <c r="C158">
        <v>-343195.47284</v>
      </c>
      <c r="D158">
        <v>-341111.7782</v>
      </c>
      <c r="E158">
        <v>925640.11828000005</v>
      </c>
      <c r="F158">
        <v>7.6556600000000001</v>
      </c>
      <c r="G158">
        <v>0.11489000000000001</v>
      </c>
      <c r="H158">
        <f>2*28.497</f>
        <v>56.994</v>
      </c>
      <c r="I158">
        <f>2*28.497</f>
        <v>56.994</v>
      </c>
      <c r="J158">
        <f>2*142.485</f>
        <v>284.97000000000003</v>
      </c>
      <c r="K158">
        <f t="shared" si="412"/>
        <v>2.8496999999999999</v>
      </c>
      <c r="L158">
        <f t="shared" si="413"/>
        <v>2.8496999999999999</v>
      </c>
      <c r="M158">
        <f t="shared" ref="M158:M164" si="434">J158/100</f>
        <v>2.8497000000000003</v>
      </c>
      <c r="O158">
        <f t="shared" ref="O158:O164" si="435">C158/80000</f>
        <v>-4.2899434105000003</v>
      </c>
      <c r="P158">
        <f>C158-40000*$H$4-20000*$R$4-20000*$R$12</f>
        <v>-24238.244739999995</v>
      </c>
      <c r="Q158">
        <f t="shared" ref="Q158:Q172" si="436">P158/80000</f>
        <v>-0.30297805924999993</v>
      </c>
      <c r="R158">
        <f t="shared" ref="R158:R164" si="437">Q158/(H158*I158)</f>
        <v>-9.3272346622740965E-5</v>
      </c>
      <c r="S158">
        <f t="shared" si="11"/>
        <v>-7.4617877298192772</v>
      </c>
      <c r="T158">
        <f t="shared" ref="T158:T163" si="438">P158-40000*$I$12</f>
        <v>-11.088439999970433</v>
      </c>
      <c r="U158">
        <f t="shared" si="12"/>
        <v>-3.4135964226020376E-3</v>
      </c>
    </row>
    <row r="159" spans="1:22">
      <c r="A159">
        <v>200</v>
      </c>
      <c r="B159">
        <v>201.50039000000001</v>
      </c>
      <c r="C159">
        <v>-343195.47944999998</v>
      </c>
      <c r="D159">
        <v>-341111.82788</v>
      </c>
      <c r="E159">
        <v>925639.35065000004</v>
      </c>
      <c r="F159">
        <v>12.47603</v>
      </c>
      <c r="G159">
        <v>0.11479</v>
      </c>
      <c r="H159">
        <f>2*28.4968</f>
        <v>56.993600000000001</v>
      </c>
      <c r="I159">
        <f>2*28.4968</f>
        <v>56.993600000000001</v>
      </c>
      <c r="J159">
        <f>2*142.484</f>
        <v>284.96800000000002</v>
      </c>
      <c r="K159">
        <f t="shared" ref="K159:K160" si="439">H159/20</f>
        <v>2.8496800000000002</v>
      </c>
      <c r="L159">
        <f t="shared" ref="L159:L160" si="440">I159/20</f>
        <v>2.8496800000000002</v>
      </c>
      <c r="M159">
        <f t="shared" ref="M159:M160" si="441">J159/100</f>
        <v>2.8496800000000002</v>
      </c>
      <c r="O159">
        <f t="shared" ref="O159:O160" si="442">C159/80000</f>
        <v>-4.2899434931249996</v>
      </c>
      <c r="P159">
        <f t="shared" ref="P159:P160" si="443">C159-40000*$H$4-20000*$R$4-20000*$R$12</f>
        <v>-24238.251349999977</v>
      </c>
      <c r="Q159">
        <f t="shared" si="436"/>
        <v>-0.30297814187499972</v>
      </c>
      <c r="R159">
        <f t="shared" ref="R159:R160" si="444">Q159/(H159*I159)</f>
        <v>-9.3273681296516977E-5</v>
      </c>
      <c r="S159">
        <f t="shared" ref="S159:S160" si="445">P159/(H159*I159)</f>
        <v>-7.461894503721358</v>
      </c>
      <c r="T159">
        <f t="shared" si="438"/>
        <v>-11.095049999952607</v>
      </c>
      <c r="U159">
        <f t="shared" ref="U159:U160" si="446">T159/(H159*I159)</f>
        <v>-3.4156792673560627E-3</v>
      </c>
      <c r="V159">
        <f>AVERAGE(U158:U163)</f>
        <v>-3.274415782449375E-3</v>
      </c>
    </row>
    <row r="160" spans="1:22">
      <c r="A160">
        <v>200</v>
      </c>
      <c r="B160">
        <v>201.58580000000001</v>
      </c>
      <c r="C160">
        <v>-343194.58888</v>
      </c>
      <c r="D160">
        <v>-341110.05411999999</v>
      </c>
      <c r="E160">
        <v>925650.03732</v>
      </c>
      <c r="F160">
        <v>4.2851400000000002</v>
      </c>
      <c r="G160">
        <v>0.11473999999999999</v>
      </c>
      <c r="H160">
        <f>2*28.497</f>
        <v>56.994</v>
      </c>
      <c r="I160">
        <f>2*28.497</f>
        <v>56.994</v>
      </c>
      <c r="J160">
        <f>2*142.485</f>
        <v>284.97000000000003</v>
      </c>
      <c r="K160">
        <f t="shared" si="439"/>
        <v>2.8496999999999999</v>
      </c>
      <c r="L160">
        <f t="shared" si="440"/>
        <v>2.8496999999999999</v>
      </c>
      <c r="M160">
        <f t="shared" si="441"/>
        <v>2.8497000000000003</v>
      </c>
      <c r="O160">
        <f t="shared" si="442"/>
        <v>-4.289932361</v>
      </c>
      <c r="P160">
        <f t="shared" si="443"/>
        <v>-24237.360779999988</v>
      </c>
      <c r="Q160">
        <f t="shared" si="436"/>
        <v>-0.30296700974999985</v>
      </c>
      <c r="R160">
        <f t="shared" si="444"/>
        <v>-9.3268945014068154E-5</v>
      </c>
      <c r="S160">
        <f t="shared" si="445"/>
        <v>-7.4615156011254529</v>
      </c>
      <c r="T160">
        <f t="shared" si="438"/>
        <v>-10.204479999963951</v>
      </c>
      <c r="U160">
        <f t="shared" si="446"/>
        <v>-3.1414677287773455E-3</v>
      </c>
      <c r="V160">
        <f>STDEV(U158:U163)</f>
        <v>1.6134865622604079E-3</v>
      </c>
    </row>
    <row r="161" spans="1:24">
      <c r="A161">
        <v>200</v>
      </c>
      <c r="B161">
        <v>202.41702000000001</v>
      </c>
      <c r="C161">
        <v>-343185.47918999998</v>
      </c>
      <c r="D161">
        <v>-341092.34905000002</v>
      </c>
      <c r="E161">
        <v>925663.92287999997</v>
      </c>
      <c r="F161">
        <v>8.3084199999999999</v>
      </c>
      <c r="G161">
        <v>0.11466</v>
      </c>
      <c r="H161">
        <f>2*28.4974</f>
        <v>56.994799999999998</v>
      </c>
      <c r="I161">
        <f>2*28.4974</f>
        <v>56.994799999999998</v>
      </c>
      <c r="K161">
        <f t="shared" ref="K161:K163" si="447">H161/20</f>
        <v>2.8497399999999997</v>
      </c>
      <c r="L161">
        <f t="shared" ref="L161:L163" si="448">I161/20</f>
        <v>2.8497399999999997</v>
      </c>
      <c r="M161">
        <f t="shared" ref="M161:M163" si="449">J161/100</f>
        <v>0</v>
      </c>
      <c r="O161">
        <f t="shared" ref="O161:O163" si="450">C161/80000</f>
        <v>-4.2898184898749996</v>
      </c>
      <c r="P161">
        <f t="shared" ref="P161:P163" si="451">C161-40000*$H$4-20000*$R$4-20000*$R$12</f>
        <v>-24228.251089999976</v>
      </c>
      <c r="Q161">
        <f t="shared" ref="Q161:Q163" si="452">P161/80000</f>
        <v>-0.30285313862499968</v>
      </c>
      <c r="R161">
        <f t="shared" ref="R161:R163" si="453">Q161/(H161*I161)</f>
        <v>-9.3231272269075777E-5</v>
      </c>
      <c r="S161">
        <f t="shared" ref="S161:S163" si="454">P161/(H161*I161)</f>
        <v>-7.4585017815260626</v>
      </c>
      <c r="T161">
        <f t="shared" si="438"/>
        <v>-1.0947899999518995</v>
      </c>
      <c r="U161">
        <f t="shared" ref="U161:U163" si="455">T161/(H161*I161)</f>
        <v>-3.3702363140888881E-4</v>
      </c>
    </row>
    <row r="162" spans="1:24">
      <c r="A162">
        <v>200</v>
      </c>
      <c r="B162">
        <v>201.26661999999999</v>
      </c>
      <c r="C162">
        <v>-343198.02857999998</v>
      </c>
      <c r="D162">
        <v>-341116.79437000002</v>
      </c>
      <c r="E162">
        <v>925639.76029000001</v>
      </c>
      <c r="F162">
        <v>6.3331200000000001</v>
      </c>
      <c r="G162">
        <v>0.11509</v>
      </c>
      <c r="H162">
        <f>2*28.4966</f>
        <v>56.993200000000002</v>
      </c>
      <c r="I162">
        <f>2*28.4966</f>
        <v>56.993200000000002</v>
      </c>
      <c r="K162">
        <f t="shared" si="447"/>
        <v>2.8496600000000001</v>
      </c>
      <c r="L162">
        <f t="shared" si="448"/>
        <v>2.8496600000000001</v>
      </c>
      <c r="M162">
        <f t="shared" si="449"/>
        <v>0</v>
      </c>
      <c r="O162">
        <f t="shared" si="450"/>
        <v>-4.2899753572499995</v>
      </c>
      <c r="P162">
        <f t="shared" si="451"/>
        <v>-24240.800479999976</v>
      </c>
      <c r="Q162">
        <f t="shared" si="452"/>
        <v>-0.30301000599999972</v>
      </c>
      <c r="R162">
        <f t="shared" si="453"/>
        <v>-9.3284800265828441E-5</v>
      </c>
      <c r="S162">
        <f t="shared" si="454"/>
        <v>-7.462784021266275</v>
      </c>
      <c r="T162">
        <f t="shared" si="438"/>
        <v>-13.64417999995203</v>
      </c>
      <c r="U162">
        <f t="shared" si="455"/>
        <v>-4.2005035506534972E-3</v>
      </c>
    </row>
    <row r="163" spans="1:24">
      <c r="A163">
        <v>200</v>
      </c>
      <c r="B163">
        <v>200.977</v>
      </c>
      <c r="C163">
        <v>-343201.07520999998</v>
      </c>
      <c r="D163">
        <v>-341122.83590000001</v>
      </c>
      <c r="E163">
        <v>925615.67812000006</v>
      </c>
      <c r="F163">
        <v>16.791779999999999</v>
      </c>
      <c r="G163">
        <v>0.11586</v>
      </c>
      <c r="H163">
        <f>2*28.4972</f>
        <v>56.994399999999999</v>
      </c>
      <c r="I163">
        <f>2*28.4972</f>
        <v>56.994399999999999</v>
      </c>
      <c r="K163">
        <f t="shared" si="447"/>
        <v>2.84972</v>
      </c>
      <c r="L163">
        <f t="shared" si="448"/>
        <v>2.84972</v>
      </c>
      <c r="M163">
        <f t="shared" si="449"/>
        <v>0</v>
      </c>
      <c r="O163">
        <f t="shared" si="450"/>
        <v>-4.2900134401249996</v>
      </c>
      <c r="P163">
        <f t="shared" si="451"/>
        <v>-24243.847109999973</v>
      </c>
      <c r="Q163">
        <f t="shared" si="452"/>
        <v>-0.30304808887499968</v>
      </c>
      <c r="R163">
        <f t="shared" si="453"/>
        <v>-9.3292595857968476E-5</v>
      </c>
      <c r="S163">
        <f t="shared" si="454"/>
        <v>-7.463407668637478</v>
      </c>
      <c r="T163">
        <f t="shared" si="438"/>
        <v>-16.690809999949124</v>
      </c>
      <c r="U163">
        <f t="shared" si="455"/>
        <v>-5.138224093898418E-3</v>
      </c>
    </row>
    <row r="164" spans="1:24">
      <c r="A164">
        <v>300</v>
      </c>
      <c r="B164">
        <v>302.25722000000002</v>
      </c>
      <c r="C164">
        <v>-342092.02346</v>
      </c>
      <c r="D164">
        <v>-338966.47759999998</v>
      </c>
      <c r="E164">
        <v>928636.96784000006</v>
      </c>
      <c r="F164">
        <v>42.66095</v>
      </c>
      <c r="G164">
        <v>8.7840000000000001E-2</v>
      </c>
      <c r="H164">
        <f>2*28.5264</f>
        <v>57.052799999999998</v>
      </c>
      <c r="I164">
        <f>2*28.5264</f>
        <v>57.052799999999998</v>
      </c>
      <c r="J164">
        <f>2*142.632</f>
        <v>285.26400000000001</v>
      </c>
      <c r="K164">
        <f t="shared" si="412"/>
        <v>2.8526400000000001</v>
      </c>
      <c r="L164">
        <f t="shared" si="413"/>
        <v>2.8526400000000001</v>
      </c>
      <c r="M164">
        <f t="shared" si="434"/>
        <v>2.8526400000000001</v>
      </c>
      <c r="O164">
        <f t="shared" si="435"/>
        <v>-4.2761502932499997</v>
      </c>
      <c r="P164">
        <f>C164-40000*$H$5-20000*$R$5-20000*$R$13</f>
        <v>-24250.036359999984</v>
      </c>
      <c r="Q164">
        <f t="shared" si="436"/>
        <v>-0.30312545449999978</v>
      </c>
      <c r="R164">
        <f t="shared" si="437"/>
        <v>-9.3125470621214092E-5</v>
      </c>
      <c r="S164">
        <f t="shared" si="11"/>
        <v>-7.4500376496971272</v>
      </c>
      <c r="T164">
        <f t="shared" ref="T164:T169" si="456">P164-40000*$I$13</f>
        <v>7.3377400000099442</v>
      </c>
      <c r="U164">
        <f t="shared" si="12"/>
        <v>2.2542827751769489E-3</v>
      </c>
    </row>
    <row r="165" spans="1:24">
      <c r="A165">
        <v>300</v>
      </c>
      <c r="B165">
        <v>301.67545000000001</v>
      </c>
      <c r="C165">
        <v>-342098.42324999999</v>
      </c>
      <c r="D165">
        <v>-338978.89324</v>
      </c>
      <c r="E165">
        <v>928619.32816999999</v>
      </c>
      <c r="F165">
        <v>37.755279999999999</v>
      </c>
      <c r="G165">
        <v>8.8419999999999999E-2</v>
      </c>
      <c r="H165">
        <f>2*28.5277</f>
        <v>57.055399999999999</v>
      </c>
      <c r="I165">
        <f>2*28.5277</f>
        <v>57.055399999999999</v>
      </c>
      <c r="J165">
        <f>2*142.639</f>
        <v>285.27800000000002</v>
      </c>
      <c r="K165">
        <f t="shared" ref="K165:K166" si="457">H165/20</f>
        <v>2.85277</v>
      </c>
      <c r="L165">
        <f t="shared" ref="L165:L166" si="458">I165/20</f>
        <v>2.85277</v>
      </c>
      <c r="M165">
        <f t="shared" ref="M165:M166" si="459">J165/100</f>
        <v>2.8527800000000001</v>
      </c>
      <c r="O165">
        <f t="shared" ref="O165:O166" si="460">C165/80000</f>
        <v>-4.2762302906249996</v>
      </c>
      <c r="P165">
        <f t="shared" ref="P165:P166" si="461">C165-40000*$H$5-20000*$R$5-20000*$R$13</f>
        <v>-24256.43614999998</v>
      </c>
      <c r="Q165">
        <f t="shared" si="436"/>
        <v>-0.30320545187499975</v>
      </c>
      <c r="R165">
        <f t="shared" ref="R165:R166" si="462">Q165/(H165*I165)</f>
        <v>-9.3141557767442376E-5</v>
      </c>
      <c r="S165">
        <f t="shared" ref="S165:S166" si="463">P165/(H165*I165)</f>
        <v>-7.4513246213953899</v>
      </c>
      <c r="T165">
        <f t="shared" si="456"/>
        <v>0.9379500000140979</v>
      </c>
      <c r="U165">
        <f t="shared" ref="U165:U166" si="464">T165/(H165*I165)</f>
        <v>2.881284738418945E-4</v>
      </c>
      <c r="V165">
        <f>AVERAGE(U164:U169)</f>
        <v>7.1702720505117804E-4</v>
      </c>
    </row>
    <row r="166" spans="1:24">
      <c r="A166">
        <v>300</v>
      </c>
      <c r="B166">
        <v>301.54692999999997</v>
      </c>
      <c r="C166">
        <v>-342099.90120000002</v>
      </c>
      <c r="D166">
        <v>-338981.70020999998</v>
      </c>
      <c r="E166">
        <v>928627.96618999995</v>
      </c>
      <c r="F166">
        <v>34.708950000000002</v>
      </c>
      <c r="G166">
        <v>8.8050000000000003E-2</v>
      </c>
      <c r="H166">
        <f>2*28.527</f>
        <v>57.054000000000002</v>
      </c>
      <c r="I166">
        <f>2*28.527</f>
        <v>57.054000000000002</v>
      </c>
      <c r="J166">
        <f>2*142.635</f>
        <v>285.27</v>
      </c>
      <c r="K166">
        <f t="shared" si="457"/>
        <v>2.8527</v>
      </c>
      <c r="L166">
        <f t="shared" si="458"/>
        <v>2.8527</v>
      </c>
      <c r="M166">
        <f t="shared" si="459"/>
        <v>2.8527</v>
      </c>
      <c r="O166">
        <f t="shared" si="460"/>
        <v>-4.2762487650000001</v>
      </c>
      <c r="P166">
        <f t="shared" si="461"/>
        <v>-24257.914100000009</v>
      </c>
      <c r="Q166">
        <f t="shared" si="436"/>
        <v>-0.30322392625000011</v>
      </c>
      <c r="R166">
        <f t="shared" si="462"/>
        <v>-9.3151804281987964E-5</v>
      </c>
      <c r="S166">
        <f t="shared" si="463"/>
        <v>-7.4521443425590368</v>
      </c>
      <c r="T166">
        <f t="shared" si="456"/>
        <v>-0.54000000001542503</v>
      </c>
      <c r="U166">
        <f t="shared" si="464"/>
        <v>-1.658905183894945E-4</v>
      </c>
      <c r="V166">
        <f>STDEV(U164:U169)</f>
        <v>9.6352293382757155E-4</v>
      </c>
    </row>
    <row r="167" spans="1:24">
      <c r="A167">
        <v>300</v>
      </c>
      <c r="B167">
        <v>301.53859999999997</v>
      </c>
      <c r="C167">
        <v>-342100.16753999999</v>
      </c>
      <c r="D167">
        <v>-338982.05271999998</v>
      </c>
      <c r="E167">
        <v>928620.89858000004</v>
      </c>
      <c r="F167">
        <v>39.382800000000003</v>
      </c>
      <c r="G167">
        <v>8.8319999999999996E-2</v>
      </c>
      <c r="H167">
        <f>2*28.5274</f>
        <v>57.0548</v>
      </c>
      <c r="I167">
        <f>2*28.5274</f>
        <v>57.0548</v>
      </c>
      <c r="K167">
        <f t="shared" ref="K167:K169" si="465">H167/20</f>
        <v>2.8527399999999998</v>
      </c>
      <c r="L167">
        <f t="shared" ref="L167:L169" si="466">I167/20</f>
        <v>2.8527399999999998</v>
      </c>
      <c r="M167">
        <f t="shared" ref="M167:M169" si="467">J167/100</f>
        <v>0</v>
      </c>
      <c r="O167">
        <f t="shared" ref="O167:O169" si="468">C167/80000</f>
        <v>-4.2762520942500002</v>
      </c>
      <c r="P167">
        <f t="shared" ref="P167:P169" si="469">C167-40000*$H$5-20000*$R$5-20000*$R$13</f>
        <v>-24258.180439999982</v>
      </c>
      <c r="Q167">
        <f t="shared" ref="Q167:Q169" si="470">P167/80000</f>
        <v>-0.30322725549999979</v>
      </c>
      <c r="R167">
        <f t="shared" ref="R167:R169" si="471">Q167/(H167*I167)</f>
        <v>-9.3150214756709988E-5</v>
      </c>
      <c r="S167">
        <f t="shared" ref="S167:S169" si="472">P167/(H167*I167)</f>
        <v>-7.4520171805367985</v>
      </c>
      <c r="T167">
        <f t="shared" si="456"/>
        <v>-0.80633999998826766</v>
      </c>
      <c r="U167">
        <f t="shared" ref="U167:U169" si="473">T167/(H167*I167)</f>
        <v>-2.4770446192899279E-4</v>
      </c>
    </row>
    <row r="168" spans="1:24">
      <c r="A168">
        <v>300</v>
      </c>
      <c r="B168">
        <v>301.98777000000001</v>
      </c>
      <c r="C168">
        <v>-342095.05586000002</v>
      </c>
      <c r="D168">
        <v>-338972.29628000001</v>
      </c>
      <c r="E168">
        <v>928635.80120999995</v>
      </c>
      <c r="F168">
        <v>42.778480000000002</v>
      </c>
      <c r="G168">
        <v>8.8169999999999998E-2</v>
      </c>
      <c r="H168">
        <f>2*28.5281</f>
        <v>57.056199999999997</v>
      </c>
      <c r="I168">
        <f>2*28.5281</f>
        <v>57.056199999999997</v>
      </c>
      <c r="K168">
        <f t="shared" si="465"/>
        <v>2.8528099999999998</v>
      </c>
      <c r="L168">
        <f t="shared" si="466"/>
        <v>2.8528099999999998</v>
      </c>
      <c r="M168">
        <f t="shared" si="467"/>
        <v>0</v>
      </c>
      <c r="O168">
        <f t="shared" si="468"/>
        <v>-4.2761881982499999</v>
      </c>
      <c r="P168">
        <f t="shared" si="469"/>
        <v>-24253.068760000009</v>
      </c>
      <c r="Q168">
        <f t="shared" si="470"/>
        <v>-0.30316335950000012</v>
      </c>
      <c r="R168">
        <f t="shared" si="471"/>
        <v>-9.3126015884425424E-5</v>
      </c>
      <c r="S168">
        <f t="shared" si="472"/>
        <v>-7.4500812707540343</v>
      </c>
      <c r="T168">
        <f t="shared" si="456"/>
        <v>4.305339999984426</v>
      </c>
      <c r="U168">
        <f t="shared" si="473"/>
        <v>1.3225185322120092E-3</v>
      </c>
    </row>
    <row r="169" spans="1:24">
      <c r="A169">
        <v>300</v>
      </c>
      <c r="B169">
        <v>301.83067999999997</v>
      </c>
      <c r="C169">
        <v>-342096.59155999997</v>
      </c>
      <c r="D169">
        <v>-338975.45639000001</v>
      </c>
      <c r="E169">
        <v>928628.40521</v>
      </c>
      <c r="F169">
        <v>35.962299999999999</v>
      </c>
      <c r="G169">
        <v>8.8059999999999999E-2</v>
      </c>
      <c r="H169">
        <f>2*28.5273</f>
        <v>57.054600000000001</v>
      </c>
      <c r="I169">
        <f>2*28.5273</f>
        <v>57.054600000000001</v>
      </c>
      <c r="K169">
        <f t="shared" si="465"/>
        <v>2.8527300000000002</v>
      </c>
      <c r="L169">
        <f t="shared" si="466"/>
        <v>2.8527300000000002</v>
      </c>
      <c r="M169">
        <f t="shared" si="467"/>
        <v>0</v>
      </c>
      <c r="O169">
        <f t="shared" si="468"/>
        <v>-4.2762073944999992</v>
      </c>
      <c r="P169">
        <f t="shared" si="469"/>
        <v>-24254.604459999959</v>
      </c>
      <c r="Q169">
        <f t="shared" si="470"/>
        <v>-0.30318255574999947</v>
      </c>
      <c r="R169">
        <f t="shared" si="471"/>
        <v>-9.3137136135160043E-5</v>
      </c>
      <c r="S169">
        <f t="shared" si="472"/>
        <v>-7.4509708908128038</v>
      </c>
      <c r="T169">
        <f t="shared" si="456"/>
        <v>2.7696400000349968</v>
      </c>
      <c r="U169">
        <f t="shared" si="473"/>
        <v>8.5082842939470348E-4</v>
      </c>
      <c r="W169">
        <v>19916</v>
      </c>
      <c r="X169">
        <f>W169/SUM(W169:W171)</f>
        <v>0.50062842491579107</v>
      </c>
    </row>
    <row r="170" spans="1:24">
      <c r="A170">
        <v>400</v>
      </c>
      <c r="B170">
        <v>401.63826</v>
      </c>
      <c r="C170">
        <v>-340988.3861</v>
      </c>
      <c r="D170">
        <v>-336835.17248000001</v>
      </c>
      <c r="E170">
        <v>931888.16316999996</v>
      </c>
      <c r="F170">
        <v>-40.029229999999998</v>
      </c>
      <c r="G170">
        <v>8.0320000000000003E-2</v>
      </c>
      <c r="H170">
        <f>2*28.5623</f>
        <v>57.124600000000001</v>
      </c>
      <c r="I170">
        <f>2*28.5623</f>
        <v>57.124600000000001</v>
      </c>
      <c r="J170">
        <f>2*142.812</f>
        <v>285.62400000000002</v>
      </c>
      <c r="K170">
        <f t="shared" ref="K170" si="474">H170/20</f>
        <v>2.85623</v>
      </c>
      <c r="L170">
        <f t="shared" ref="L170" si="475">I170/20</f>
        <v>2.85623</v>
      </c>
      <c r="M170">
        <f t="shared" ref="M170" si="476">J170/100</f>
        <v>2.8562400000000001</v>
      </c>
      <c r="O170">
        <f t="shared" ref="O170" si="477">C170/80000</f>
        <v>-4.2623548262500002</v>
      </c>
      <c r="P170">
        <f>C170-40000*$H$6-20000*$R$6-20000*$R$14</f>
        <v>-24393.326599999986</v>
      </c>
      <c r="Q170">
        <f t="shared" si="436"/>
        <v>-0.30491658249999981</v>
      </c>
      <c r="R170">
        <f t="shared" ref="R170" si="478">Q170/(H170*I170)</f>
        <v>-9.3440402269255368E-5</v>
      </c>
      <c r="S170">
        <f t="shared" ref="S170" si="479">P170/(H170*I170)</f>
        <v>-7.4752321815404299</v>
      </c>
      <c r="T170">
        <f t="shared" ref="T170:T175" si="480">P170-40000*$I$14</f>
        <v>-36.198300000000017</v>
      </c>
      <c r="U170">
        <f t="shared" ref="U170" si="481">T170/(H170*I170)</f>
        <v>-1.1092816552419515E-2</v>
      </c>
      <c r="W170">
        <v>9891</v>
      </c>
      <c r="X170">
        <f>W170/SUM(W169:W171)</f>
        <v>0.24863003368357547</v>
      </c>
    </row>
    <row r="171" spans="1:24">
      <c r="A171">
        <v>400</v>
      </c>
      <c r="B171">
        <v>401.97996999999998</v>
      </c>
      <c r="C171">
        <v>-340984.75037999998</v>
      </c>
      <c r="D171">
        <v>-336828.00316000002</v>
      </c>
      <c r="E171">
        <v>931908.97394000005</v>
      </c>
      <c r="F171">
        <v>-55.697290000000002</v>
      </c>
      <c r="G171">
        <v>8.0810000000000007E-2</v>
      </c>
      <c r="H171">
        <f>2*28.5609</f>
        <v>57.1218</v>
      </c>
      <c r="I171">
        <f>2*28.5609</f>
        <v>57.1218</v>
      </c>
      <c r="J171">
        <f>2*142.805</f>
        <v>285.61</v>
      </c>
      <c r="K171">
        <f t="shared" ref="K171:K172" si="482">H171/20</f>
        <v>2.85609</v>
      </c>
      <c r="L171">
        <f t="shared" ref="L171:L172" si="483">I171/20</f>
        <v>2.85609</v>
      </c>
      <c r="M171">
        <f t="shared" ref="M171:M172" si="484">J171/100</f>
        <v>2.8561000000000001</v>
      </c>
      <c r="O171">
        <f t="shared" ref="O171:O172" si="485">C171/80000</f>
        <v>-4.2623093797499996</v>
      </c>
      <c r="P171">
        <f t="shared" ref="P171:P172" si="486">C171-40000*$H$6-20000*$R$6-20000*$R$14</f>
        <v>-24389.690879999966</v>
      </c>
      <c r="Q171">
        <f t="shared" si="436"/>
        <v>-0.30487113599999954</v>
      </c>
      <c r="R171">
        <f t="shared" ref="R171:R172" si="487">Q171/(H171*I171)</f>
        <v>-9.3435634774993964E-5</v>
      </c>
      <c r="S171">
        <f t="shared" ref="S171:S172" si="488">P171/(H171*I171)</f>
        <v>-7.4748507819995176</v>
      </c>
      <c r="T171">
        <f t="shared" si="480"/>
        <v>-32.562579999979789</v>
      </c>
      <c r="U171">
        <f t="shared" ref="U171:U172" si="489">T171/(H171*I171)</f>
        <v>-9.9796437672920232E-3</v>
      </c>
      <c r="V171">
        <f>AVERAGE(U170:U175)</f>
        <v>-9.8733181630402608E-3</v>
      </c>
      <c r="W171">
        <v>9975</v>
      </c>
      <c r="X171">
        <f>W171/SUM(W169:W171)</f>
        <v>0.25074154140063343</v>
      </c>
    </row>
    <row r="172" spans="1:24">
      <c r="A172">
        <v>400</v>
      </c>
      <c r="B172">
        <v>402.25812999999999</v>
      </c>
      <c r="C172">
        <v>-340981.69549999997</v>
      </c>
      <c r="D172">
        <v>-336822.07198000001</v>
      </c>
      <c r="E172">
        <v>931911.31559999997</v>
      </c>
      <c r="F172">
        <v>-41.716799999999999</v>
      </c>
      <c r="G172">
        <v>8.0250000000000002E-2</v>
      </c>
      <c r="H172">
        <f>2*28.5621</f>
        <v>57.124200000000002</v>
      </c>
      <c r="I172">
        <f>2*28.5621</f>
        <v>57.124200000000002</v>
      </c>
      <c r="J172">
        <f>2*142.81</f>
        <v>285.62</v>
      </c>
      <c r="K172">
        <f t="shared" si="482"/>
        <v>2.8562099999999999</v>
      </c>
      <c r="L172">
        <f t="shared" si="483"/>
        <v>2.8562099999999999</v>
      </c>
      <c r="M172">
        <f t="shared" si="484"/>
        <v>2.8561999999999999</v>
      </c>
      <c r="O172">
        <f t="shared" si="485"/>
        <v>-4.2622711937499993</v>
      </c>
      <c r="P172">
        <f t="shared" si="486"/>
        <v>-24386.635999999955</v>
      </c>
      <c r="Q172">
        <f t="shared" si="436"/>
        <v>-0.30483294999999944</v>
      </c>
      <c r="R172">
        <f t="shared" si="487"/>
        <v>-9.3416081680472676E-5</v>
      </c>
      <c r="S172">
        <f t="shared" si="488"/>
        <v>-7.4732865344378139</v>
      </c>
      <c r="T172">
        <f t="shared" si="480"/>
        <v>-29.507699999969191</v>
      </c>
      <c r="U172">
        <f t="shared" si="489"/>
        <v>-9.0426370029880639E-3</v>
      </c>
      <c r="V172">
        <f>STDEV(U170:U175)</f>
        <v>2.1580618815672504E-3</v>
      </c>
    </row>
    <row r="173" spans="1:24">
      <c r="A173">
        <v>400</v>
      </c>
      <c r="B173">
        <v>401.41771</v>
      </c>
      <c r="C173">
        <v>-340990.95348000003</v>
      </c>
      <c r="D173">
        <v>-336840.02049999998</v>
      </c>
      <c r="E173">
        <v>931876.23638000002</v>
      </c>
      <c r="F173">
        <v>-48.296250000000001</v>
      </c>
      <c r="G173">
        <v>8.09E-2</v>
      </c>
      <c r="H173">
        <f>2*28.5614</f>
        <v>57.122799999999998</v>
      </c>
      <c r="I173">
        <f>2*28.5614</f>
        <v>57.122799999999998</v>
      </c>
      <c r="K173">
        <f t="shared" ref="K173:K175" si="490">H173/20</f>
        <v>2.8561399999999999</v>
      </c>
      <c r="L173">
        <f t="shared" ref="L173:L175" si="491">I173/20</f>
        <v>2.8561399999999999</v>
      </c>
      <c r="M173">
        <f t="shared" ref="M173:M175" si="492">J173/100</f>
        <v>0</v>
      </c>
      <c r="O173">
        <f t="shared" ref="O173:O175" si="493">C173/80000</f>
        <v>-4.2623869185000007</v>
      </c>
      <c r="P173">
        <f t="shared" ref="P173:P175" si="494">C173-40000*$H$6-20000*$R$6-20000*$R$14</f>
        <v>-24395.893980000008</v>
      </c>
      <c r="Q173">
        <f t="shared" ref="Q173:Q175" si="495">P173/80000</f>
        <v>-0.30494867475000009</v>
      </c>
      <c r="R173">
        <f t="shared" ref="R173:R175" si="496">Q173/(H173*I173)</f>
        <v>-9.3456126328982263E-5</v>
      </c>
      <c r="S173">
        <f t="shared" ref="S173:S175" si="497">P173/(H173*I173)</f>
        <v>-7.4764901063185807</v>
      </c>
      <c r="T173">
        <f t="shared" si="480"/>
        <v>-38.765680000022257</v>
      </c>
      <c r="U173">
        <f t="shared" ref="U173:U175" si="498">T173/(H173*I173)</f>
        <v>-1.1880328026613207E-2</v>
      </c>
    </row>
    <row r="174" spans="1:24">
      <c r="A174">
        <v>400</v>
      </c>
      <c r="B174">
        <v>403.11500000000001</v>
      </c>
      <c r="C174">
        <v>-340971.70958999998</v>
      </c>
      <c r="D174">
        <v>-336803.22542999999</v>
      </c>
      <c r="E174">
        <v>931938.92255999998</v>
      </c>
      <c r="F174">
        <v>-50.796579999999999</v>
      </c>
      <c r="G174">
        <v>8.1199999999999994E-2</v>
      </c>
      <c r="H174">
        <f>2*28.5626</f>
        <v>57.1252</v>
      </c>
      <c r="I174">
        <f>2*28.5626</f>
        <v>57.1252</v>
      </c>
      <c r="K174">
        <f t="shared" si="490"/>
        <v>2.8562599999999998</v>
      </c>
      <c r="L174">
        <f t="shared" si="491"/>
        <v>2.8562599999999998</v>
      </c>
      <c r="M174">
        <f t="shared" si="492"/>
        <v>0</v>
      </c>
      <c r="O174">
        <f t="shared" si="493"/>
        <v>-4.2621463698749995</v>
      </c>
      <c r="P174">
        <f t="shared" si="494"/>
        <v>-24376.650089999966</v>
      </c>
      <c r="Q174">
        <f t="shared" si="495"/>
        <v>-0.30470812612499959</v>
      </c>
      <c r="R174">
        <f t="shared" si="496"/>
        <v>-9.3374560188481232E-5</v>
      </c>
      <c r="S174">
        <f t="shared" si="497"/>
        <v>-7.4699648150784981</v>
      </c>
      <c r="T174">
        <f t="shared" si="480"/>
        <v>-19.521789999980683</v>
      </c>
      <c r="U174">
        <f t="shared" si="498"/>
        <v>-5.9822446434930621E-3</v>
      </c>
    </row>
    <row r="175" spans="1:24">
      <c r="A175">
        <v>400</v>
      </c>
      <c r="B175">
        <v>401.61810000000003</v>
      </c>
      <c r="C175">
        <v>-340988.93922</v>
      </c>
      <c r="D175">
        <v>-336835.93401000003</v>
      </c>
      <c r="E175">
        <v>931884.98293000006</v>
      </c>
      <c r="F175">
        <v>-30.912099999999999</v>
      </c>
      <c r="G175">
        <v>8.0710000000000004E-2</v>
      </c>
      <c r="H175">
        <f>2*28.5624</f>
        <v>57.1248</v>
      </c>
      <c r="I175">
        <f>2*28.5624</f>
        <v>57.1248</v>
      </c>
      <c r="K175">
        <f t="shared" si="490"/>
        <v>2.8562400000000001</v>
      </c>
      <c r="L175">
        <f t="shared" si="491"/>
        <v>2.8562400000000001</v>
      </c>
      <c r="M175">
        <f t="shared" si="492"/>
        <v>0</v>
      </c>
      <c r="O175">
        <f t="shared" si="493"/>
        <v>-4.2623617402500003</v>
      </c>
      <c r="P175">
        <f t="shared" si="494"/>
        <v>-24393.879719999983</v>
      </c>
      <c r="Q175">
        <f t="shared" si="495"/>
        <v>-0.30492349649999978</v>
      </c>
      <c r="R175">
        <f t="shared" si="496"/>
        <v>-9.3441866732168609E-5</v>
      </c>
      <c r="S175">
        <f t="shared" si="497"/>
        <v>-7.4753493385734888</v>
      </c>
      <c r="T175">
        <f t="shared" si="480"/>
        <v>-36.75141999999687</v>
      </c>
      <c r="U175">
        <f t="shared" si="498"/>
        <v>-1.1262238985435699E-2</v>
      </c>
    </row>
    <row r="176" spans="1:24">
      <c r="A176">
        <v>500</v>
      </c>
      <c r="K176">
        <f t="shared" ref="K176:K181" si="499">H176/20</f>
        <v>0</v>
      </c>
      <c r="L176">
        <f t="shared" ref="L176:L181" si="500">I176/20</f>
        <v>0</v>
      </c>
      <c r="M176">
        <f t="shared" ref="M176:M181" si="501">J176/100</f>
        <v>0</v>
      </c>
      <c r="O176">
        <f t="shared" ref="O176" si="502">C176/80000</f>
        <v>0</v>
      </c>
      <c r="P176">
        <f>C176-40000*$H$7-20000*$R$7-20000*$R$15</f>
        <v>315357.81095000001</v>
      </c>
      <c r="Q176">
        <f t="shared" ref="Q176" si="503">P176/80000</f>
        <v>3.9419726368750001</v>
      </c>
      <c r="R176" t="e">
        <f t="shared" ref="R176" si="504">Q176/(H176*I176)</f>
        <v>#DIV/0!</v>
      </c>
      <c r="S176" t="e">
        <f t="shared" ref="S176" si="505">P176/(H176*I176)</f>
        <v>#DIV/0!</v>
      </c>
      <c r="T176">
        <f>P176-40000*$I$15</f>
        <v>339857.54340000002</v>
      </c>
      <c r="U176" t="e">
        <f t="shared" ref="U176" si="506">T176/(H176*I176)</f>
        <v>#DIV/0!</v>
      </c>
    </row>
    <row r="177" spans="1:24">
      <c r="A177">
        <v>500</v>
      </c>
      <c r="K177">
        <f t="shared" si="499"/>
        <v>0</v>
      </c>
      <c r="L177">
        <f t="shared" si="500"/>
        <v>0</v>
      </c>
      <c r="M177">
        <f t="shared" si="501"/>
        <v>0</v>
      </c>
      <c r="O177">
        <f t="shared" ref="O177:O181" si="507">C177/80000</f>
        <v>0</v>
      </c>
      <c r="P177">
        <f t="shared" ref="P177:P181" si="508">C177-40000*$H$7-20000*$R$7-20000*$R$15</f>
        <v>315357.81095000001</v>
      </c>
      <c r="Q177">
        <f t="shared" ref="Q177:Q181" si="509">P177/80000</f>
        <v>3.9419726368750001</v>
      </c>
      <c r="R177" t="e">
        <f t="shared" ref="R177:R181" si="510">Q177/(H177*I177)</f>
        <v>#DIV/0!</v>
      </c>
      <c r="S177" t="e">
        <f t="shared" ref="S177:S181" si="511">P177/(H177*I177)</f>
        <v>#DIV/0!</v>
      </c>
      <c r="T177">
        <f t="shared" ref="T177:T181" si="512">P177-40000*$I$15</f>
        <v>339857.54340000002</v>
      </c>
      <c r="U177" t="e">
        <f t="shared" ref="U177:U181" si="513">T177/(H177*I177)</f>
        <v>#DIV/0!</v>
      </c>
      <c r="V177" t="e">
        <f>AVERAGE(U176:U181)</f>
        <v>#DIV/0!</v>
      </c>
    </row>
    <row r="178" spans="1:24">
      <c r="A178">
        <v>500</v>
      </c>
      <c r="K178">
        <f t="shared" si="499"/>
        <v>0</v>
      </c>
      <c r="L178">
        <f t="shared" si="500"/>
        <v>0</v>
      </c>
      <c r="M178">
        <f t="shared" si="501"/>
        <v>0</v>
      </c>
      <c r="O178">
        <f t="shared" si="507"/>
        <v>0</v>
      </c>
      <c r="P178">
        <f t="shared" si="508"/>
        <v>315357.81095000001</v>
      </c>
      <c r="Q178">
        <f t="shared" si="509"/>
        <v>3.9419726368750001</v>
      </c>
      <c r="R178" t="e">
        <f t="shared" si="510"/>
        <v>#DIV/0!</v>
      </c>
      <c r="S178" t="e">
        <f t="shared" si="511"/>
        <v>#DIV/0!</v>
      </c>
      <c r="T178">
        <f t="shared" si="512"/>
        <v>339857.54340000002</v>
      </c>
      <c r="U178" t="e">
        <f t="shared" si="513"/>
        <v>#DIV/0!</v>
      </c>
      <c r="V178" t="e">
        <f>STDEV(U176:U181)</f>
        <v>#DIV/0!</v>
      </c>
    </row>
    <row r="179" spans="1:24">
      <c r="A179">
        <v>500</v>
      </c>
      <c r="K179">
        <f t="shared" si="499"/>
        <v>0</v>
      </c>
      <c r="L179">
        <f t="shared" si="500"/>
        <v>0</v>
      </c>
      <c r="M179">
        <f t="shared" si="501"/>
        <v>0</v>
      </c>
      <c r="O179">
        <f t="shared" si="507"/>
        <v>0</v>
      </c>
      <c r="P179">
        <f t="shared" si="508"/>
        <v>315357.81095000001</v>
      </c>
      <c r="Q179">
        <f t="shared" si="509"/>
        <v>3.9419726368750001</v>
      </c>
      <c r="R179" t="e">
        <f t="shared" si="510"/>
        <v>#DIV/0!</v>
      </c>
      <c r="S179" t="e">
        <f t="shared" si="511"/>
        <v>#DIV/0!</v>
      </c>
      <c r="T179">
        <f t="shared" si="512"/>
        <v>339857.54340000002</v>
      </c>
      <c r="U179" t="e">
        <f t="shared" si="513"/>
        <v>#DIV/0!</v>
      </c>
    </row>
    <row r="180" spans="1:24">
      <c r="A180">
        <v>500</v>
      </c>
      <c r="K180">
        <f t="shared" si="499"/>
        <v>0</v>
      </c>
      <c r="L180">
        <f t="shared" si="500"/>
        <v>0</v>
      </c>
      <c r="M180">
        <f t="shared" si="501"/>
        <v>0</v>
      </c>
      <c r="O180">
        <f t="shared" si="507"/>
        <v>0</v>
      </c>
      <c r="P180">
        <f t="shared" si="508"/>
        <v>315357.81095000001</v>
      </c>
      <c r="Q180">
        <f t="shared" si="509"/>
        <v>3.9419726368750001</v>
      </c>
      <c r="R180" t="e">
        <f t="shared" si="510"/>
        <v>#DIV/0!</v>
      </c>
      <c r="S180" t="e">
        <f t="shared" si="511"/>
        <v>#DIV/0!</v>
      </c>
      <c r="T180">
        <f t="shared" si="512"/>
        <v>339857.54340000002</v>
      </c>
      <c r="U180" t="e">
        <f t="shared" si="513"/>
        <v>#DIV/0!</v>
      </c>
    </row>
    <row r="181" spans="1:24">
      <c r="A181">
        <v>500</v>
      </c>
      <c r="K181">
        <f t="shared" si="499"/>
        <v>0</v>
      </c>
      <c r="L181">
        <f t="shared" si="500"/>
        <v>0</v>
      </c>
      <c r="M181">
        <f t="shared" si="501"/>
        <v>0</v>
      </c>
      <c r="O181">
        <f t="shared" si="507"/>
        <v>0</v>
      </c>
      <c r="P181">
        <f t="shared" si="508"/>
        <v>315357.81095000001</v>
      </c>
      <c r="Q181">
        <f t="shared" si="509"/>
        <v>3.9419726368750001</v>
      </c>
      <c r="R181" t="e">
        <f t="shared" si="510"/>
        <v>#DIV/0!</v>
      </c>
      <c r="S181" t="e">
        <f t="shared" si="511"/>
        <v>#DIV/0!</v>
      </c>
      <c r="T181">
        <f t="shared" si="512"/>
        <v>339857.54340000002</v>
      </c>
      <c r="U181" t="e">
        <f t="shared" si="513"/>
        <v>#DIV/0!</v>
      </c>
    </row>
    <row r="183" spans="1:24">
      <c r="A183" t="s">
        <v>3</v>
      </c>
      <c r="C183" t="s">
        <v>4</v>
      </c>
    </row>
    <row r="184" spans="1:24">
      <c r="A184">
        <v>100</v>
      </c>
      <c r="B184">
        <v>101.12275</v>
      </c>
      <c r="C184">
        <v>-86061.685570000001</v>
      </c>
      <c r="D184">
        <v>-85800.275810000006</v>
      </c>
      <c r="E184">
        <v>232802.25185</v>
      </c>
      <c r="F184">
        <v>-11885.331469999999</v>
      </c>
      <c r="G184">
        <v>3.916E-2</v>
      </c>
      <c r="H184">
        <f>2*20.1905</f>
        <v>40.381</v>
      </c>
      <c r="I184">
        <f>2*20.1905</f>
        <v>40.381</v>
      </c>
      <c r="J184">
        <f>2*71.3843</f>
        <v>142.76859999999999</v>
      </c>
      <c r="K184">
        <f>H184/10/SQRT(2)</f>
        <v>2.8553678931093973</v>
      </c>
      <c r="L184">
        <f>I184/10/SQRT(2)</f>
        <v>2.8553678931093973</v>
      </c>
      <c r="M184">
        <f>J184/50</f>
        <v>2.855372</v>
      </c>
      <c r="O184">
        <f>C184/20000</f>
        <v>-4.3030842785000001</v>
      </c>
      <c r="P184">
        <f>C184-10000*$H$3-5000*$R$3-5000*$R$11</f>
        <v>-6052.0898699999998</v>
      </c>
      <c r="Q184">
        <f>P184/20000</f>
        <v>-0.30260449350000002</v>
      </c>
      <c r="R184">
        <f t="shared" si="10"/>
        <v>-1.8557575385039703E-4</v>
      </c>
      <c r="S184">
        <f t="shared" ref="S184" si="514">P184/(H184*I184)</f>
        <v>-3.7115150770079404</v>
      </c>
      <c r="T184">
        <f>P184-10000*$I$11</f>
        <v>7.3668299999972078</v>
      </c>
      <c r="U184">
        <f t="shared" ref="U184" si="515">T184/(H184*I184)</f>
        <v>4.5177948778120248E-3</v>
      </c>
    </row>
    <row r="185" spans="1:24">
      <c r="A185">
        <v>200</v>
      </c>
      <c r="B185">
        <v>201.32416000000001</v>
      </c>
      <c r="C185">
        <v>-85794.617790000004</v>
      </c>
      <c r="D185">
        <v>-85274.180009999996</v>
      </c>
      <c r="E185">
        <v>232802.25185</v>
      </c>
      <c r="F185">
        <v>-7238.2063500000004</v>
      </c>
      <c r="G185">
        <v>3.7859999999999998E-2</v>
      </c>
      <c r="H185">
        <f t="shared" ref="H185:I186" si="516">2*20.1905</f>
        <v>40.381</v>
      </c>
      <c r="I185">
        <f t="shared" si="516"/>
        <v>40.381</v>
      </c>
      <c r="J185">
        <f t="shared" ref="J185:J186" si="517">2*71.3843</f>
        <v>142.76859999999999</v>
      </c>
      <c r="K185">
        <f t="shared" ref="K185" si="518">H185/10/SQRT(2)</f>
        <v>2.8553678931093973</v>
      </c>
      <c r="L185">
        <f t="shared" ref="L185" si="519">I185/10/SQRT(2)</f>
        <v>2.8553678931093973</v>
      </c>
      <c r="M185">
        <f t="shared" ref="M185" si="520">J185/50</f>
        <v>2.855372</v>
      </c>
      <c r="O185">
        <f t="shared" ref="O185:O200" si="521">C185/20000</f>
        <v>-4.2897308895000004</v>
      </c>
      <c r="P185">
        <f>C185-10000*$H$4-5000*$R$4-5000*$R$12</f>
        <v>-6055.310765000002</v>
      </c>
      <c r="Q185">
        <f t="shared" ref="Q185:Q208" si="522">P185/20000</f>
        <v>-0.30276553825000008</v>
      </c>
      <c r="R185">
        <f t="shared" si="10"/>
        <v>-1.8567451643167679E-4</v>
      </c>
      <c r="S185">
        <f t="shared" ref="S185" si="523">P185/(H185*I185)</f>
        <v>-3.7134903286335357</v>
      </c>
      <c r="T185">
        <f>P185-10000*$I$12</f>
        <v>1.4783100000040577</v>
      </c>
      <c r="U185">
        <f t="shared" ref="U185" si="524">T185/(H185*I185)</f>
        <v>9.0659094153647593E-4</v>
      </c>
    </row>
    <row r="186" spans="1:24">
      <c r="A186">
        <v>300</v>
      </c>
      <c r="B186">
        <v>302.56916000000001</v>
      </c>
      <c r="C186">
        <v>-85523.222980000006</v>
      </c>
      <c r="D186">
        <v>-84741.059429999994</v>
      </c>
      <c r="E186">
        <v>232802.25185</v>
      </c>
      <c r="F186">
        <v>-2149.53107</v>
      </c>
      <c r="G186">
        <v>3.8920000000000003E-2</v>
      </c>
      <c r="H186">
        <f t="shared" si="516"/>
        <v>40.381</v>
      </c>
      <c r="I186">
        <f t="shared" si="516"/>
        <v>40.381</v>
      </c>
      <c r="J186">
        <f t="shared" si="517"/>
        <v>142.76859999999999</v>
      </c>
      <c r="K186">
        <f t="shared" ref="K186:K188" si="525">H186/10/SQRT(2)</f>
        <v>2.8553678931093973</v>
      </c>
      <c r="L186">
        <f t="shared" ref="L186:L188" si="526">I186/10/SQRT(2)</f>
        <v>2.8553678931093973</v>
      </c>
      <c r="M186">
        <f t="shared" ref="M186:M188" si="527">J186/50</f>
        <v>2.855372</v>
      </c>
      <c r="O186">
        <f t="shared" si="521"/>
        <v>-4.276161149</v>
      </c>
      <c r="P186">
        <f>C186-10000*$H$5-5000*$R$5-5000*$R$13</f>
        <v>-6062.7262050000027</v>
      </c>
      <c r="Q186">
        <f t="shared" si="522"/>
        <v>-0.30313631025000015</v>
      </c>
      <c r="R186">
        <f t="shared" si="10"/>
        <v>-1.8590189670819151E-4</v>
      </c>
      <c r="S186">
        <f t="shared" ref="S186" si="528">P186/(H186*I186)</f>
        <v>-3.7180379341638301</v>
      </c>
      <c r="T186">
        <f>P186-10000*$I$13</f>
        <v>1.6173199999957433</v>
      </c>
      <c r="U186">
        <f t="shared" ref="U186" si="529">T186/(H186*I186)</f>
        <v>9.9184045400348337E-4</v>
      </c>
    </row>
    <row r="187" spans="1:24">
      <c r="A187" t="s">
        <v>3</v>
      </c>
      <c r="C187" t="s">
        <v>5</v>
      </c>
    </row>
    <row r="188" spans="1:24">
      <c r="A188">
        <v>100</v>
      </c>
      <c r="B188">
        <v>101.2449</v>
      </c>
      <c r="C188">
        <v>-86072.655920000005</v>
      </c>
      <c r="D188">
        <v>-85810.930389999994</v>
      </c>
      <c r="E188">
        <v>231029.58538999999</v>
      </c>
      <c r="F188">
        <v>-6.37948</v>
      </c>
      <c r="G188">
        <v>4.4540000000000003E-2</v>
      </c>
      <c r="H188">
        <f>2*20.1396</f>
        <v>40.279200000000003</v>
      </c>
      <c r="I188">
        <f>2*20.1396</f>
        <v>40.279200000000003</v>
      </c>
      <c r="J188">
        <f>2*71.2041</f>
        <v>142.40819999999999</v>
      </c>
      <c r="K188">
        <f t="shared" si="525"/>
        <v>2.8481695460769183</v>
      </c>
      <c r="L188">
        <f t="shared" si="526"/>
        <v>2.8481695460769183</v>
      </c>
      <c r="M188">
        <f t="shared" si="527"/>
        <v>2.8481639999999997</v>
      </c>
      <c r="O188">
        <f t="shared" si="521"/>
        <v>-4.3036327960000005</v>
      </c>
      <c r="P188">
        <f>C188-10000*$H$3-5000*$R$3-5000*$R$11</f>
        <v>-6063.060220000003</v>
      </c>
      <c r="Q188">
        <f t="shared" si="522"/>
        <v>-0.30315301100000014</v>
      </c>
      <c r="R188">
        <f t="shared" si="10"/>
        <v>-1.8685305960707994E-4</v>
      </c>
      <c r="S188">
        <f t="shared" ref="S188:S208" si="530">P188/(H188*I188)</f>
        <v>-3.7370611921415993</v>
      </c>
      <c r="T188">
        <f t="shared" ref="T188:T193" si="531">P188-10000*$I$11</f>
        <v>-3.6035200000060286</v>
      </c>
      <c r="U188">
        <f t="shared" ref="U188:U208" si="532">T188/(H188*I188)</f>
        <v>-2.2210854351581251E-3</v>
      </c>
    </row>
    <row r="189" spans="1:24">
      <c r="A189">
        <v>100</v>
      </c>
      <c r="B189">
        <v>101.47665000000001</v>
      </c>
      <c r="C189">
        <v>-86072.045910000001</v>
      </c>
      <c r="D189">
        <v>-85809.721309999994</v>
      </c>
      <c r="E189">
        <v>231031.60425999999</v>
      </c>
      <c r="F189">
        <v>-6.3666</v>
      </c>
      <c r="G189">
        <v>4.462E-2</v>
      </c>
      <c r="H189">
        <f>2*20.1396</f>
        <v>40.279200000000003</v>
      </c>
      <c r="I189">
        <f>2*20.1396</f>
        <v>40.279200000000003</v>
      </c>
      <c r="J189">
        <f>2*71.2043</f>
        <v>142.40860000000001</v>
      </c>
      <c r="K189">
        <f t="shared" ref="K189:K208" si="533">H189/10/SQRT(2)</f>
        <v>2.8481695460769183</v>
      </c>
      <c r="L189">
        <f t="shared" ref="L189:L208" si="534">I189/10/SQRT(2)</f>
        <v>2.8481695460769183</v>
      </c>
      <c r="M189">
        <f t="shared" ref="M189:M208" si="535">J189/50</f>
        <v>2.8481719999999999</v>
      </c>
      <c r="O189">
        <f t="shared" ref="O189:O193" si="536">C189/20000</f>
        <v>-4.3036022955000002</v>
      </c>
      <c r="P189">
        <f t="shared" ref="P189:P193" si="537">C189-10000*$H$3-5000*$R$3-5000*$R$11</f>
        <v>-6062.4502099999991</v>
      </c>
      <c r="Q189">
        <f t="shared" si="522"/>
        <v>-0.30312251049999994</v>
      </c>
      <c r="R189">
        <f t="shared" ref="R189:R193" si="538">Q189/(H189*I189)</f>
        <v>-1.8683426015090506E-4</v>
      </c>
      <c r="S189">
        <f t="shared" si="530"/>
        <v>-3.736685203018101</v>
      </c>
      <c r="T189">
        <f t="shared" si="531"/>
        <v>-2.9935100000020611</v>
      </c>
      <c r="U189">
        <f t="shared" si="532"/>
        <v>-1.8450963116601695E-3</v>
      </c>
      <c r="V189">
        <f>AVERAGE(U188:U193)</f>
        <v>-2.3478966389881496E-3</v>
      </c>
      <c r="W189">
        <v>23867</v>
      </c>
      <c r="X189">
        <f>W189/SUM(W189:W191)</f>
        <v>0.50035639412997901</v>
      </c>
    </row>
    <row r="190" spans="1:24">
      <c r="A190">
        <v>100</v>
      </c>
      <c r="B190">
        <v>101.16853</v>
      </c>
      <c r="C190">
        <v>-86072.872860000003</v>
      </c>
      <c r="D190">
        <v>-85811.34474</v>
      </c>
      <c r="E190">
        <v>231029.84826</v>
      </c>
      <c r="F190">
        <v>-0.45939999999999998</v>
      </c>
      <c r="G190">
        <v>4.4650000000000002E-2</v>
      </c>
      <c r="H190">
        <f>2*20.1399</f>
        <v>40.279800000000002</v>
      </c>
      <c r="I190">
        <f>2*20.1399</f>
        <v>40.279800000000002</v>
      </c>
      <c r="J190">
        <f>2*71.2051</f>
        <v>142.4102</v>
      </c>
      <c r="K190">
        <f t="shared" si="533"/>
        <v>2.8482119724837895</v>
      </c>
      <c r="L190">
        <f t="shared" si="534"/>
        <v>2.8482119724837895</v>
      </c>
      <c r="M190">
        <f t="shared" si="535"/>
        <v>2.848204</v>
      </c>
      <c r="O190">
        <f t="shared" si="536"/>
        <v>-4.303643643</v>
      </c>
      <c r="P190">
        <f t="shared" si="537"/>
        <v>-6063.2771600000015</v>
      </c>
      <c r="Q190">
        <f t="shared" si="522"/>
        <v>-0.30316385800000006</v>
      </c>
      <c r="R190">
        <f t="shared" si="538"/>
        <v>-1.8685417851297745E-4</v>
      </c>
      <c r="S190">
        <f t="shared" si="530"/>
        <v>-3.7370835702595495</v>
      </c>
      <c r="T190">
        <f t="shared" si="531"/>
        <v>-3.8204600000044593</v>
      </c>
      <c r="U190">
        <f t="shared" si="532"/>
        <v>-2.3547296157001769E-3</v>
      </c>
      <c r="V190">
        <f>STDEV(U188:U193)</f>
        <v>3.7518338819235653E-4</v>
      </c>
      <c r="W190">
        <v>11858</v>
      </c>
      <c r="X190">
        <f>W190/SUM(W189:W191)</f>
        <v>0.24859538784067087</v>
      </c>
    </row>
    <row r="191" spans="1:24">
      <c r="A191">
        <v>100</v>
      </c>
      <c r="B191">
        <v>101.27735</v>
      </c>
      <c r="C191">
        <v>-86072.57187</v>
      </c>
      <c r="D191">
        <v>-85810.762470000001</v>
      </c>
      <c r="E191">
        <v>231030.27884000001</v>
      </c>
      <c r="F191">
        <v>-3.7180200000000001</v>
      </c>
      <c r="G191">
        <v>4.4499999999999998E-2</v>
      </c>
      <c r="H191">
        <f>2*20.1398</f>
        <v>40.279600000000002</v>
      </c>
      <c r="I191">
        <f>2*20.1398</f>
        <v>40.279600000000002</v>
      </c>
      <c r="K191">
        <f t="shared" ref="K191" si="539">H191/10/SQRT(2)</f>
        <v>2.8481978303481661</v>
      </c>
      <c r="L191">
        <f t="shared" ref="L191" si="540">I191/10/SQRT(2)</f>
        <v>2.8481978303481661</v>
      </c>
      <c r="M191">
        <f t="shared" ref="M191" si="541">J191/50</f>
        <v>0</v>
      </c>
      <c r="O191">
        <f t="shared" si="536"/>
        <v>-4.3036285935</v>
      </c>
      <c r="P191">
        <f t="shared" si="537"/>
        <v>-6062.9761699999981</v>
      </c>
      <c r="Q191">
        <f t="shared" si="522"/>
        <v>-0.30314880849999992</v>
      </c>
      <c r="R191">
        <f t="shared" si="538"/>
        <v>-1.8684675828044503E-4</v>
      </c>
      <c r="S191">
        <f t="shared" si="530"/>
        <v>-3.7369351656089007</v>
      </c>
      <c r="T191">
        <f t="shared" si="531"/>
        <v>-3.5194700000010926</v>
      </c>
      <c r="U191">
        <f t="shared" si="532"/>
        <v>-2.1692368299889991E-3</v>
      </c>
      <c r="W191">
        <v>11975</v>
      </c>
      <c r="X191">
        <f>W191/SUM(W189:W191)</f>
        <v>0.25104821802935012</v>
      </c>
    </row>
    <row r="192" spans="1:24">
      <c r="A192">
        <v>100</v>
      </c>
      <c r="B192">
        <v>100.79962999999999</v>
      </c>
      <c r="C192">
        <v>-86073.840060000002</v>
      </c>
      <c r="D192">
        <v>-85813.265589999995</v>
      </c>
      <c r="E192">
        <v>231027.92887</v>
      </c>
      <c r="F192">
        <v>-9.4749800000000004</v>
      </c>
      <c r="G192">
        <v>4.4569999999999999E-2</v>
      </c>
      <c r="H192">
        <f>2*20.1399</f>
        <v>40.279800000000002</v>
      </c>
      <c r="I192">
        <f>2*20.1399</f>
        <v>40.279800000000002</v>
      </c>
      <c r="K192">
        <f t="shared" ref="K192:K193" si="542">H192/10/SQRT(2)</f>
        <v>2.8482119724837895</v>
      </c>
      <c r="L192">
        <f t="shared" ref="L192:L193" si="543">I192/10/SQRT(2)</f>
        <v>2.8482119724837895</v>
      </c>
      <c r="M192">
        <f t="shared" ref="M192:M193" si="544">J192/50</f>
        <v>0</v>
      </c>
      <c r="O192">
        <f t="shared" si="536"/>
        <v>-4.3036920030000001</v>
      </c>
      <c r="P192">
        <f t="shared" si="537"/>
        <v>-6064.2443600000006</v>
      </c>
      <c r="Q192">
        <f t="shared" si="522"/>
        <v>-0.30321221800000003</v>
      </c>
      <c r="R192">
        <f t="shared" si="538"/>
        <v>-1.8688398506093638E-4</v>
      </c>
      <c r="S192">
        <f t="shared" si="530"/>
        <v>-3.7376797012187271</v>
      </c>
      <c r="T192">
        <f t="shared" si="531"/>
        <v>-4.7876600000035978</v>
      </c>
      <c r="U192">
        <f t="shared" si="532"/>
        <v>-2.9508605748780046E-3</v>
      </c>
    </row>
    <row r="193" spans="1:24">
      <c r="A193">
        <v>100</v>
      </c>
      <c r="B193">
        <v>101.04640000000001</v>
      </c>
      <c r="C193">
        <v>-86073.183749999997</v>
      </c>
      <c r="D193">
        <v>-85811.971359999996</v>
      </c>
      <c r="E193">
        <v>231029.62090000001</v>
      </c>
      <c r="F193">
        <v>-11.868399999999999</v>
      </c>
      <c r="G193">
        <v>4.4659999999999998E-2</v>
      </c>
      <c r="H193">
        <f>2*20.1398</f>
        <v>40.279600000000002</v>
      </c>
      <c r="I193">
        <f>2*20.1398</f>
        <v>40.279600000000002</v>
      </c>
      <c r="K193">
        <f t="shared" si="542"/>
        <v>2.8481978303481661</v>
      </c>
      <c r="L193">
        <f t="shared" si="543"/>
        <v>2.8481978303481661</v>
      </c>
      <c r="M193">
        <f t="shared" si="544"/>
        <v>0</v>
      </c>
      <c r="O193">
        <f t="shared" si="536"/>
        <v>-4.3036591875000001</v>
      </c>
      <c r="P193">
        <f t="shared" si="537"/>
        <v>-6063.5880499999948</v>
      </c>
      <c r="Q193">
        <f t="shared" si="522"/>
        <v>-0.30317940249999975</v>
      </c>
      <c r="R193">
        <f t="shared" si="538"/>
        <v>-1.8686561499227275E-4</v>
      </c>
      <c r="S193">
        <f t="shared" si="530"/>
        <v>-3.7373122998454549</v>
      </c>
      <c r="T193">
        <f t="shared" si="531"/>
        <v>-4.1313499999978376</v>
      </c>
      <c r="U193">
        <f t="shared" si="532"/>
        <v>-2.5463710665434226E-3</v>
      </c>
    </row>
    <row r="194" spans="1:24">
      <c r="A194">
        <v>200</v>
      </c>
      <c r="B194">
        <v>201.09733</v>
      </c>
      <c r="C194">
        <v>-85804.406950000004</v>
      </c>
      <c r="D194">
        <v>-85284.555540000001</v>
      </c>
      <c r="E194">
        <v>231688.21023999999</v>
      </c>
      <c r="F194">
        <v>56.685580000000002</v>
      </c>
      <c r="G194">
        <v>3.9210000000000002E-2</v>
      </c>
      <c r="H194">
        <f>2*20.1609</f>
        <v>40.321800000000003</v>
      </c>
      <c r="I194">
        <f>2*20.1609</f>
        <v>40.321800000000003</v>
      </c>
      <c r="J194">
        <f>2*71.2794</f>
        <v>142.55879999999999</v>
      </c>
      <c r="K194">
        <f t="shared" si="533"/>
        <v>2.851181820964773</v>
      </c>
      <c r="L194">
        <f t="shared" si="534"/>
        <v>2.851181820964773</v>
      </c>
      <c r="M194">
        <f t="shared" si="535"/>
        <v>2.8511759999999997</v>
      </c>
      <c r="O194">
        <f t="shared" si="521"/>
        <v>-4.2902203475</v>
      </c>
      <c r="P194">
        <f>C194-10000*$H$4-5000*$R$4-5000*$R$12</f>
        <v>-6065.0999250000023</v>
      </c>
      <c r="Q194">
        <f t="shared" si="522"/>
        <v>-0.30325499625000013</v>
      </c>
      <c r="R194">
        <f t="shared" si="10"/>
        <v>-1.8652117492358317E-4</v>
      </c>
      <c r="S194">
        <f t="shared" si="530"/>
        <v>-3.7304234984716631</v>
      </c>
      <c r="T194">
        <f t="shared" ref="T194:T199" si="545">P194-10000*$I$12</f>
        <v>-8.3108499999962078</v>
      </c>
      <c r="U194">
        <f t="shared" si="532"/>
        <v>-5.1117031072260635E-3</v>
      </c>
    </row>
    <row r="195" spans="1:24">
      <c r="A195">
        <v>200</v>
      </c>
      <c r="B195">
        <v>201.12203</v>
      </c>
      <c r="C195">
        <v>-85804.360530000005</v>
      </c>
      <c r="D195">
        <v>-85284.445269999997</v>
      </c>
      <c r="E195">
        <v>231687.28101999999</v>
      </c>
      <c r="F195">
        <v>64.681010000000001</v>
      </c>
      <c r="G195">
        <v>3.8940000000000002E-2</v>
      </c>
      <c r="H195">
        <f>2*20.1606</f>
        <v>40.321199999999997</v>
      </c>
      <c r="I195">
        <f>2*20.1606</f>
        <v>40.321199999999997</v>
      </c>
      <c r="J195">
        <f>2*71.2786</f>
        <v>142.55719999999999</v>
      </c>
      <c r="K195">
        <f t="shared" si="533"/>
        <v>2.8511393945579018</v>
      </c>
      <c r="L195">
        <f t="shared" si="534"/>
        <v>2.8511393945579018</v>
      </c>
      <c r="M195">
        <f t="shared" si="535"/>
        <v>2.8511439999999997</v>
      </c>
      <c r="O195">
        <f t="shared" ref="O195:O196" si="546">C195/20000</f>
        <v>-4.2902180264999998</v>
      </c>
      <c r="P195">
        <f t="shared" ref="P195:P196" si="547">C195-10000*$H$4-5000*$R$4-5000*$R$12</f>
        <v>-6065.0535050000035</v>
      </c>
      <c r="Q195">
        <f t="shared" si="522"/>
        <v>-0.30325267525000016</v>
      </c>
      <c r="R195">
        <f t="shared" ref="R195:R196" si="548">Q195/(H195*I195)</f>
        <v>-1.865252984195178E-4</v>
      </c>
      <c r="S195">
        <f t="shared" si="530"/>
        <v>-3.7305059683903563</v>
      </c>
      <c r="T195">
        <f t="shared" si="545"/>
        <v>-8.2644299999974464</v>
      </c>
      <c r="U195">
        <f t="shared" si="532"/>
        <v>-5.0833031258369363E-3</v>
      </c>
      <c r="V195">
        <f>AVERAGE(U194:U199)</f>
        <v>-4.0050606124871517E-3</v>
      </c>
    </row>
    <row r="196" spans="1:24">
      <c r="A196">
        <v>200</v>
      </c>
      <c r="B196">
        <v>201.72535999999999</v>
      </c>
      <c r="C196">
        <v>-85802.704570000002</v>
      </c>
      <c r="D196">
        <v>-85281.229649999994</v>
      </c>
      <c r="E196">
        <v>231691.16404999999</v>
      </c>
      <c r="F196">
        <v>56.385620000000003</v>
      </c>
      <c r="G196">
        <v>3.8929999999999999E-2</v>
      </c>
      <c r="H196">
        <f>2*20.1604</f>
        <v>40.320799999999998</v>
      </c>
      <c r="I196">
        <f>2*20.1604</f>
        <v>40.320799999999998</v>
      </c>
      <c r="J196">
        <f>2*71.2779</f>
        <v>142.5558</v>
      </c>
      <c r="K196">
        <f t="shared" si="533"/>
        <v>2.851111110286654</v>
      </c>
      <c r="L196">
        <f t="shared" si="534"/>
        <v>2.851111110286654</v>
      </c>
      <c r="M196">
        <f t="shared" si="535"/>
        <v>2.8511160000000002</v>
      </c>
      <c r="O196">
        <f t="shared" si="546"/>
        <v>-4.2901352285000005</v>
      </c>
      <c r="P196">
        <f t="shared" si="547"/>
        <v>-6063.3975449999998</v>
      </c>
      <c r="Q196">
        <f t="shared" si="522"/>
        <v>-0.30316987725</v>
      </c>
      <c r="R196">
        <f t="shared" si="548"/>
        <v>-1.8647807068339085E-4</v>
      </c>
      <c r="S196">
        <f t="shared" si="530"/>
        <v>-3.7295614136678168</v>
      </c>
      <c r="T196">
        <f t="shared" si="545"/>
        <v>-6.6084699999937584</v>
      </c>
      <c r="U196">
        <f t="shared" si="532"/>
        <v>-4.0648323868657174E-3</v>
      </c>
      <c r="V196">
        <f>STDEV(U194:U199)</f>
        <v>9.7679352563849291E-4</v>
      </c>
    </row>
    <row r="197" spans="1:24">
      <c r="A197">
        <v>200</v>
      </c>
      <c r="B197">
        <v>201.88552999999999</v>
      </c>
      <c r="C197">
        <v>-85802.277589999998</v>
      </c>
      <c r="D197">
        <v>-85280.388630000001</v>
      </c>
      <c r="E197">
        <v>231693.21726999999</v>
      </c>
      <c r="F197">
        <v>60.13758</v>
      </c>
      <c r="G197">
        <v>3.9170000000000003E-2</v>
      </c>
      <c r="H197">
        <f>2*20.1603</f>
        <v>40.320599999999999</v>
      </c>
      <c r="I197">
        <f>2*20.1603</f>
        <v>40.320599999999999</v>
      </c>
      <c r="K197">
        <f t="shared" ref="K197:K199" si="549">H197/10/SQRT(2)</f>
        <v>2.8510969681510301</v>
      </c>
      <c r="L197">
        <f t="shared" ref="L197:L199" si="550">I197/10/SQRT(2)</f>
        <v>2.8510969681510301</v>
      </c>
      <c r="M197">
        <f t="shared" ref="M197:M199" si="551">J197/50</f>
        <v>0</v>
      </c>
      <c r="O197">
        <f t="shared" ref="O197:O199" si="552">C197/20000</f>
        <v>-4.2901138794999998</v>
      </c>
      <c r="P197">
        <f t="shared" ref="P197:P199" si="553">C197-10000*$H$4-5000*$R$4-5000*$R$12</f>
        <v>-6062.970564999996</v>
      </c>
      <c r="Q197">
        <f t="shared" ref="Q197:Q199" si="554">P197/20000</f>
        <v>-0.30314852824999983</v>
      </c>
      <c r="R197">
        <f t="shared" ref="R197:R199" si="555">Q197/(H197*I197)</f>
        <v>-1.8646678886231544E-4</v>
      </c>
      <c r="S197">
        <f t="shared" ref="S197:S199" si="556">P197/(H197*I197)</f>
        <v>-3.7293357772463085</v>
      </c>
      <c r="T197">
        <f t="shared" si="545"/>
        <v>-6.1814899999899353</v>
      </c>
      <c r="U197">
        <f t="shared" ref="U197:U199" si="557">T197/(H197*I197)</f>
        <v>-3.8022371321957365E-3</v>
      </c>
    </row>
    <row r="198" spans="1:24">
      <c r="A198">
        <v>200</v>
      </c>
      <c r="B198">
        <v>202.56657999999999</v>
      </c>
      <c r="C198">
        <v>-85800.36795</v>
      </c>
      <c r="D198">
        <v>-85276.718429999994</v>
      </c>
      <c r="E198">
        <v>231700.18849</v>
      </c>
      <c r="F198">
        <v>38.051909999999999</v>
      </c>
      <c r="G198">
        <v>3.8989999999999997E-2</v>
      </c>
      <c r="H198">
        <f>2*20.16</f>
        <v>40.32</v>
      </c>
      <c r="I198">
        <f>2*20.16</f>
        <v>40.32</v>
      </c>
      <c r="K198">
        <f t="shared" si="549"/>
        <v>2.8510545417441593</v>
      </c>
      <c r="L198">
        <f t="shared" si="550"/>
        <v>2.8510545417441593</v>
      </c>
      <c r="M198">
        <f t="shared" si="551"/>
        <v>0</v>
      </c>
      <c r="O198">
        <f t="shared" si="552"/>
        <v>-4.2900183974999999</v>
      </c>
      <c r="P198">
        <f t="shared" si="553"/>
        <v>-6061.060924999998</v>
      </c>
      <c r="Q198">
        <f t="shared" si="554"/>
        <v>-0.3030530462499999</v>
      </c>
      <c r="R198">
        <f t="shared" si="555"/>
        <v>-1.8641360574358498E-4</v>
      </c>
      <c r="S198">
        <f t="shared" si="556"/>
        <v>-3.7282721148716993</v>
      </c>
      <c r="T198">
        <f t="shared" si="545"/>
        <v>-4.2718499999919004</v>
      </c>
      <c r="U198">
        <f t="shared" si="557"/>
        <v>-2.6276949581866276E-3</v>
      </c>
    </row>
    <row r="199" spans="1:24">
      <c r="A199">
        <v>200</v>
      </c>
      <c r="B199">
        <v>202.13840999999999</v>
      </c>
      <c r="C199">
        <v>-85801.52691</v>
      </c>
      <c r="D199">
        <v>-85278.984219999998</v>
      </c>
      <c r="E199">
        <v>231696.33814000001</v>
      </c>
      <c r="F199">
        <v>40.951180000000001</v>
      </c>
      <c r="G199">
        <v>3.9109999999999999E-2</v>
      </c>
      <c r="H199">
        <f>2*20.16</f>
        <v>40.32</v>
      </c>
      <c r="I199">
        <f>2*20.16</f>
        <v>40.32</v>
      </c>
      <c r="K199">
        <f t="shared" si="549"/>
        <v>2.8510545417441593</v>
      </c>
      <c r="L199">
        <f t="shared" si="550"/>
        <v>2.8510545417441593</v>
      </c>
      <c r="M199">
        <f t="shared" si="551"/>
        <v>0</v>
      </c>
      <c r="O199">
        <f t="shared" si="552"/>
        <v>-4.2900763455000002</v>
      </c>
      <c r="P199">
        <f t="shared" si="553"/>
        <v>-6062.2198849999986</v>
      </c>
      <c r="Q199">
        <f t="shared" si="554"/>
        <v>-0.30311099424999993</v>
      </c>
      <c r="R199">
        <f t="shared" si="555"/>
        <v>-1.8644925064390623E-4</v>
      </c>
      <c r="S199">
        <f t="shared" si="556"/>
        <v>-3.7289850128781246</v>
      </c>
      <c r="T199">
        <f t="shared" si="545"/>
        <v>-5.4308099999925616</v>
      </c>
      <c r="U199">
        <f t="shared" si="557"/>
        <v>-3.3405929646118265E-3</v>
      </c>
    </row>
    <row r="200" spans="1:24">
      <c r="A200">
        <v>300</v>
      </c>
      <c r="B200">
        <v>303.11998</v>
      </c>
      <c r="C200">
        <v>-85525.300189999994</v>
      </c>
      <c r="D200">
        <v>-84741.712710000007</v>
      </c>
      <c r="E200">
        <v>232441.66146</v>
      </c>
      <c r="F200">
        <v>193.19799</v>
      </c>
      <c r="G200">
        <v>3.8890000000000001E-2</v>
      </c>
      <c r="H200">
        <f>2*20.1799</f>
        <v>40.3598</v>
      </c>
      <c r="I200">
        <f>2*20.1799</f>
        <v>40.3598</v>
      </c>
      <c r="J200">
        <f>2*71.3467</f>
        <v>142.6934</v>
      </c>
      <c r="K200">
        <f t="shared" si="533"/>
        <v>2.8538688267332821</v>
      </c>
      <c r="L200">
        <f t="shared" si="534"/>
        <v>2.8538688267332821</v>
      </c>
      <c r="M200">
        <f t="shared" si="535"/>
        <v>2.8538679999999998</v>
      </c>
      <c r="O200">
        <f t="shared" si="521"/>
        <v>-4.2762650094999994</v>
      </c>
      <c r="P200">
        <f>C200-10000*$H$5-5000*$R$5-5000*$R$13</f>
        <v>-6064.8034149999912</v>
      </c>
      <c r="Q200">
        <f t="shared" si="522"/>
        <v>-0.30324017074999954</v>
      </c>
      <c r="R200">
        <f t="shared" si="10"/>
        <v>-1.8616100789491734E-4</v>
      </c>
      <c r="S200">
        <f t="shared" si="530"/>
        <v>-3.7232201578983473</v>
      </c>
      <c r="T200">
        <f t="shared" ref="T200:T205" si="558">P200-10000*$I$13</f>
        <v>-0.45988999999281077</v>
      </c>
      <c r="U200">
        <f t="shared" si="532"/>
        <v>-2.823293025713194E-4</v>
      </c>
    </row>
    <row r="201" spans="1:24">
      <c r="A201">
        <v>300</v>
      </c>
      <c r="B201">
        <v>302.04484000000002</v>
      </c>
      <c r="C201">
        <v>-85528.315040000001</v>
      </c>
      <c r="D201">
        <v>-84747.506880000001</v>
      </c>
      <c r="E201">
        <v>232435.09484999999</v>
      </c>
      <c r="F201">
        <v>195.35407000000001</v>
      </c>
      <c r="G201">
        <v>3.8649999999999997E-2</v>
      </c>
      <c r="H201">
        <f>2*20.1798</f>
        <v>40.3596</v>
      </c>
      <c r="I201">
        <f>2*20.1798</f>
        <v>40.3596</v>
      </c>
      <c r="J201">
        <f>2*71.3464</f>
        <v>142.69280000000001</v>
      </c>
      <c r="K201">
        <f t="shared" si="533"/>
        <v>2.8538546845976582</v>
      </c>
      <c r="L201">
        <f t="shared" si="534"/>
        <v>2.8538546845976582</v>
      </c>
      <c r="M201">
        <f t="shared" si="535"/>
        <v>2.8538559999999999</v>
      </c>
      <c r="O201">
        <f t="shared" ref="O201:O202" si="559">C201/20000</f>
        <v>-4.2764157520000001</v>
      </c>
      <c r="P201">
        <f t="shared" ref="P201:P202" si="560">C201-10000*$H$5-5000*$R$5-5000*$R$13</f>
        <v>-6067.8182649999981</v>
      </c>
      <c r="Q201">
        <f t="shared" si="522"/>
        <v>-0.30339091324999989</v>
      </c>
      <c r="R201">
        <f t="shared" ref="R201:R202" si="561">Q201/(H201*I201)</f>
        <v>-1.862553955888651E-4</v>
      </c>
      <c r="S201">
        <f t="shared" si="530"/>
        <v>-3.7251079117773025</v>
      </c>
      <c r="T201">
        <f t="shared" si="558"/>
        <v>-3.474739999999656</v>
      </c>
      <c r="U201">
        <f t="shared" si="532"/>
        <v>-2.1331854218557067E-3</v>
      </c>
      <c r="V201">
        <f>AVERAGE(U200:U205)</f>
        <v>-2.0875605818140909E-3</v>
      </c>
    </row>
    <row r="202" spans="1:24">
      <c r="A202">
        <v>300</v>
      </c>
      <c r="B202">
        <v>302.01618999999999</v>
      </c>
      <c r="C202">
        <v>-85528.412379999994</v>
      </c>
      <c r="D202">
        <v>-84747.678279999993</v>
      </c>
      <c r="E202">
        <v>232433.11796999999</v>
      </c>
      <c r="F202">
        <v>194.55482000000001</v>
      </c>
      <c r="G202">
        <v>3.8280000000000002E-2</v>
      </c>
      <c r="H202">
        <f>2*20.1798</f>
        <v>40.3596</v>
      </c>
      <c r="I202">
        <f>2*20.1798</f>
        <v>40.3596</v>
      </c>
      <c r="J202">
        <f>2*71.3463</f>
        <v>142.6926</v>
      </c>
      <c r="K202">
        <f t="shared" si="533"/>
        <v>2.8538546845976582</v>
      </c>
      <c r="L202">
        <f t="shared" si="534"/>
        <v>2.8538546845976582</v>
      </c>
      <c r="M202">
        <f t="shared" si="535"/>
        <v>2.8538519999999998</v>
      </c>
      <c r="O202">
        <f t="shared" si="559"/>
        <v>-4.2764206189999996</v>
      </c>
      <c r="P202">
        <f t="shared" si="560"/>
        <v>-6067.915604999991</v>
      </c>
      <c r="Q202">
        <f t="shared" si="522"/>
        <v>-0.30339578024999952</v>
      </c>
      <c r="R202">
        <f t="shared" si="561"/>
        <v>-1.8625838349974402E-4</v>
      </c>
      <c r="S202">
        <f t="shared" si="530"/>
        <v>-3.7251676699948808</v>
      </c>
      <c r="T202">
        <f t="shared" si="558"/>
        <v>-3.5720799999926385</v>
      </c>
      <c r="U202">
        <f t="shared" si="532"/>
        <v>-2.1929436394341399E-3</v>
      </c>
      <c r="V202">
        <f>STDEV(U200:U205)</f>
        <v>1.0910396434848997E-3</v>
      </c>
      <c r="W202">
        <v>39695</v>
      </c>
      <c r="X202">
        <f>W202/SUM(W202:W204)</f>
        <v>0.50030879368800496</v>
      </c>
    </row>
    <row r="203" spans="1:24">
      <c r="A203">
        <v>300</v>
      </c>
      <c r="B203">
        <v>302.24468000000002</v>
      </c>
      <c r="C203">
        <v>-85527.816380000004</v>
      </c>
      <c r="D203">
        <v>-84746.491639999993</v>
      </c>
      <c r="E203">
        <v>232428.86035999999</v>
      </c>
      <c r="F203">
        <v>219.29902999999999</v>
      </c>
      <c r="G203">
        <v>3.8399999999999997E-2</v>
      </c>
      <c r="H203">
        <f>2*20.1794</f>
        <v>40.358800000000002</v>
      </c>
      <c r="I203">
        <f>2*20.1794</f>
        <v>40.358800000000002</v>
      </c>
      <c r="K203">
        <f t="shared" ref="K203:K205" si="562">H203/10/SQRT(2)</f>
        <v>2.8537981160551635</v>
      </c>
      <c r="L203">
        <f t="shared" ref="L203:L205" si="563">I203/10/SQRT(2)</f>
        <v>2.8537981160551635</v>
      </c>
      <c r="M203">
        <f t="shared" ref="M203:M205" si="564">J203/50</f>
        <v>0</v>
      </c>
      <c r="O203">
        <f t="shared" ref="O203:O205" si="565">C203/20000</f>
        <v>-4.2763908190000004</v>
      </c>
      <c r="P203">
        <f t="shared" ref="P203:P205" si="566">C203-10000*$H$5-5000*$R$5-5000*$R$13</f>
        <v>-6067.3196050000006</v>
      </c>
      <c r="Q203">
        <f t="shared" ref="Q203:Q205" si="567">P203/20000</f>
        <v>-0.30336598025000006</v>
      </c>
      <c r="R203">
        <f t="shared" ref="R203:R205" si="568">Q203/(H203*I203)</f>
        <v>-1.8624747236281215E-4</v>
      </c>
      <c r="S203">
        <f t="shared" ref="S203:S205" si="569">P203/(H203*I203)</f>
        <v>-3.7249494472562423</v>
      </c>
      <c r="T203">
        <f t="shared" si="558"/>
        <v>-2.9760800000021845</v>
      </c>
      <c r="U203">
        <f t="shared" ref="U203:U205" si="570">T203/(H203*I203)</f>
        <v>-1.8271243766131708E-3</v>
      </c>
      <c r="W203">
        <v>19708</v>
      </c>
      <c r="X203">
        <f>W203/SUM(W202:W204)</f>
        <v>0.24839616339597434</v>
      </c>
    </row>
    <row r="204" spans="1:24">
      <c r="A204">
        <v>300</v>
      </c>
      <c r="B204">
        <v>301.16165000000001</v>
      </c>
      <c r="C204">
        <v>-85530.816649999993</v>
      </c>
      <c r="D204">
        <v>-84752.29161</v>
      </c>
      <c r="E204">
        <v>232422.49885999999</v>
      </c>
      <c r="F204">
        <v>237.97461999999999</v>
      </c>
      <c r="G204">
        <v>3.8429999999999999E-2</v>
      </c>
      <c r="H204">
        <f>2*20.1797</f>
        <v>40.359400000000001</v>
      </c>
      <c r="I204">
        <f>2*20.1797</f>
        <v>40.359400000000001</v>
      </c>
      <c r="K204">
        <f t="shared" si="562"/>
        <v>2.8538405424620343</v>
      </c>
      <c r="L204">
        <f t="shared" si="563"/>
        <v>2.8538405424620343</v>
      </c>
      <c r="M204">
        <f t="shared" si="564"/>
        <v>0</v>
      </c>
      <c r="O204">
        <f t="shared" si="565"/>
        <v>-4.2765408324999994</v>
      </c>
      <c r="P204">
        <f t="shared" si="566"/>
        <v>-6070.3198749999901</v>
      </c>
      <c r="Q204">
        <f t="shared" si="567"/>
        <v>-0.30351599374999949</v>
      </c>
      <c r="R204">
        <f t="shared" si="568"/>
        <v>-1.8633403077253772E-4</v>
      </c>
      <c r="S204">
        <f t="shared" si="569"/>
        <v>-3.7266806154507548</v>
      </c>
      <c r="T204">
        <f t="shared" si="558"/>
        <v>-5.9763499999917258</v>
      </c>
      <c r="U204">
        <f t="shared" si="570"/>
        <v>-3.6689907870988956E-3</v>
      </c>
      <c r="W204">
        <v>19938</v>
      </c>
      <c r="X204">
        <f>W204/SUM(W202:W204)</f>
        <v>0.25129504291602073</v>
      </c>
    </row>
    <row r="205" spans="1:24">
      <c r="A205">
        <v>300</v>
      </c>
      <c r="B205">
        <v>301.83681999999999</v>
      </c>
      <c r="C205">
        <v>-85528.783869999999</v>
      </c>
      <c r="D205">
        <v>-84748.513460000002</v>
      </c>
      <c r="E205">
        <v>232438.03383</v>
      </c>
      <c r="F205">
        <v>154.16945999999999</v>
      </c>
      <c r="G205">
        <v>3.9079999999999997E-2</v>
      </c>
      <c r="H205">
        <f>2*20.1807</f>
        <v>40.361400000000003</v>
      </c>
      <c r="I205">
        <f>2*20.1807</f>
        <v>40.361400000000003</v>
      </c>
      <c r="K205">
        <f t="shared" si="562"/>
        <v>2.853981963818272</v>
      </c>
      <c r="L205">
        <f t="shared" si="563"/>
        <v>2.853981963818272</v>
      </c>
      <c r="M205">
        <f t="shared" si="564"/>
        <v>0</v>
      </c>
      <c r="O205">
        <f t="shared" si="565"/>
        <v>-4.2764391934999999</v>
      </c>
      <c r="P205">
        <f t="shared" si="566"/>
        <v>-6068.287094999996</v>
      </c>
      <c r="Q205">
        <f t="shared" si="567"/>
        <v>-0.30341435474999978</v>
      </c>
      <c r="R205">
        <f t="shared" si="568"/>
        <v>-1.8625317281139128E-4</v>
      </c>
      <c r="S205">
        <f t="shared" si="569"/>
        <v>-3.7250634562278258</v>
      </c>
      <c r="T205">
        <f t="shared" si="558"/>
        <v>-3.943569999997635</v>
      </c>
      <c r="U205">
        <f t="shared" si="570"/>
        <v>-2.4207899633113135E-3</v>
      </c>
    </row>
    <row r="206" spans="1:24">
      <c r="A206">
        <v>400</v>
      </c>
      <c r="B206">
        <v>400.95418999999998</v>
      </c>
      <c r="C206">
        <v>-85253.391510000001</v>
      </c>
      <c r="D206">
        <v>-84216.895409999997</v>
      </c>
      <c r="E206">
        <v>233293.92980000001</v>
      </c>
      <c r="F206">
        <v>-134.45455000000001</v>
      </c>
      <c r="G206">
        <v>4.3580000000000001E-2</v>
      </c>
      <c r="H206">
        <f>2*20.2092</f>
        <v>40.418399999999998</v>
      </c>
      <c r="I206">
        <f>2*20.2092</f>
        <v>40.418399999999998</v>
      </c>
      <c r="J206">
        <f>2*71.4503</f>
        <v>142.9006</v>
      </c>
      <c r="K206">
        <f t="shared" si="533"/>
        <v>2.8580124724710347</v>
      </c>
      <c r="L206">
        <f t="shared" si="534"/>
        <v>2.8580124724710347</v>
      </c>
      <c r="M206">
        <f t="shared" si="535"/>
        <v>2.858012</v>
      </c>
      <c r="O206">
        <f t="shared" ref="O206" si="571">C206/20000</f>
        <v>-4.2626695755000004</v>
      </c>
      <c r="P206">
        <f>C206-10000*$H$6-5000*$R$6-5000*$R$14</f>
        <v>-6104.6266349999969</v>
      </c>
      <c r="Q206">
        <f t="shared" si="522"/>
        <v>-0.30523133174999983</v>
      </c>
      <c r="R206">
        <f t="shared" ref="R206" si="572">Q206/(H206*I206)</f>
        <v>-1.8684043787221098E-4</v>
      </c>
      <c r="S206">
        <f t="shared" si="530"/>
        <v>-3.7368087574442197</v>
      </c>
      <c r="T206">
        <f t="shared" ref="T206:T211" si="573">P206-10000*$I$14</f>
        <v>-15.344560000000456</v>
      </c>
      <c r="U206">
        <f t="shared" si="532"/>
        <v>-9.3928244289963863E-3</v>
      </c>
    </row>
    <row r="207" spans="1:24">
      <c r="A207">
        <v>400</v>
      </c>
      <c r="B207">
        <v>402.88502</v>
      </c>
      <c r="C207">
        <v>-85248.029169999994</v>
      </c>
      <c r="D207">
        <v>-84206.541740000001</v>
      </c>
      <c r="E207">
        <v>233303.75779</v>
      </c>
      <c r="F207">
        <v>-108.35615</v>
      </c>
      <c r="G207">
        <v>4.36E-2</v>
      </c>
      <c r="H207">
        <f>2*20.2097</f>
        <v>40.419400000000003</v>
      </c>
      <c r="I207">
        <f>2*20.2097</f>
        <v>40.419400000000003</v>
      </c>
      <c r="J207">
        <f>2*71.4522</f>
        <v>142.90440000000001</v>
      </c>
      <c r="K207">
        <f t="shared" si="533"/>
        <v>2.8580831831491538</v>
      </c>
      <c r="L207">
        <f t="shared" si="534"/>
        <v>2.8580831831491538</v>
      </c>
      <c r="M207">
        <f t="shared" si="535"/>
        <v>2.8580880000000004</v>
      </c>
      <c r="O207">
        <f t="shared" ref="O207:O208" si="574">C207/20000</f>
        <v>-4.2624014584999994</v>
      </c>
      <c r="P207">
        <f t="shared" ref="P207:P208" si="575">C207-10000*$H$6-5000*$R$6-5000*$R$14</f>
        <v>-6099.2642949999899</v>
      </c>
      <c r="Q207">
        <f t="shared" si="522"/>
        <v>-0.30496321474999949</v>
      </c>
      <c r="R207">
        <f t="shared" ref="R207:R208" si="576">Q207/(H207*I207)</f>
        <v>-1.8666707927891029E-4</v>
      </c>
      <c r="S207">
        <f t="shared" si="530"/>
        <v>-3.7333415855782062</v>
      </c>
      <c r="T207">
        <f t="shared" si="573"/>
        <v>-9.9822199999935037</v>
      </c>
      <c r="U207">
        <f t="shared" si="532"/>
        <v>-6.1100872564116828E-3</v>
      </c>
      <c r="V207">
        <f>AVERAGE(U206:U211)</f>
        <v>-7.3379021955506584E-3</v>
      </c>
    </row>
    <row r="208" spans="1:24">
      <c r="A208">
        <v>400</v>
      </c>
      <c r="B208">
        <v>401.96978999999999</v>
      </c>
      <c r="C208">
        <v>-85250.545249999996</v>
      </c>
      <c r="D208">
        <v>-84211.423739999998</v>
      </c>
      <c r="E208">
        <v>233297.18805</v>
      </c>
      <c r="F208">
        <v>-118.39982999999999</v>
      </c>
      <c r="G208">
        <v>4.3430000000000003E-2</v>
      </c>
      <c r="H208">
        <f>2*20.2082</f>
        <v>40.416400000000003</v>
      </c>
      <c r="I208">
        <f>2*20.2082</f>
        <v>40.416400000000003</v>
      </c>
      <c r="J208">
        <f>2*71.4469</f>
        <v>142.8938</v>
      </c>
      <c r="K208">
        <f t="shared" si="533"/>
        <v>2.857871051114798</v>
      </c>
      <c r="L208">
        <f t="shared" si="534"/>
        <v>2.857871051114798</v>
      </c>
      <c r="M208">
        <f t="shared" si="535"/>
        <v>2.8578760000000001</v>
      </c>
      <c r="O208">
        <f t="shared" si="574"/>
        <v>-4.2625272624999999</v>
      </c>
      <c r="P208">
        <f t="shared" si="575"/>
        <v>-6101.7803749999912</v>
      </c>
      <c r="Q208">
        <f t="shared" si="522"/>
        <v>-0.30508901874999955</v>
      </c>
      <c r="R208">
        <f t="shared" si="576"/>
        <v>-1.8677180757903331E-4</v>
      </c>
      <c r="S208">
        <f t="shared" si="530"/>
        <v>-3.7354361515806667</v>
      </c>
      <c r="T208">
        <f t="shared" si="573"/>
        <v>-12.498299999994742</v>
      </c>
      <c r="U208">
        <f t="shared" si="532"/>
        <v>-7.6513081074769222E-3</v>
      </c>
      <c r="V208">
        <f>STDEV(U206:U211)</f>
        <v>1.2336510786748797E-3</v>
      </c>
    </row>
    <row r="209" spans="1:22">
      <c r="A209">
        <v>400</v>
      </c>
      <c r="B209">
        <v>401.88479999999998</v>
      </c>
      <c r="C209">
        <v>-85250.873590000003</v>
      </c>
      <c r="D209">
        <v>-84211.971789999996</v>
      </c>
      <c r="E209">
        <v>233300.15862</v>
      </c>
      <c r="F209">
        <v>-102.17671</v>
      </c>
      <c r="G209">
        <v>4.3650000000000001E-2</v>
      </c>
      <c r="H209">
        <f>2*20.2098</f>
        <v>40.419600000000003</v>
      </c>
      <c r="I209">
        <f>2*20.2098</f>
        <v>40.419600000000003</v>
      </c>
      <c r="K209">
        <f t="shared" ref="K209:K211" si="577">H209/10/SQRT(2)</f>
        <v>2.8580973252847777</v>
      </c>
      <c r="L209">
        <f t="shared" ref="L209:L211" si="578">I209/10/SQRT(2)</f>
        <v>2.8580973252847777</v>
      </c>
      <c r="M209">
        <f t="shared" ref="M209:M211" si="579">J209/50</f>
        <v>0</v>
      </c>
      <c r="O209">
        <f t="shared" ref="O209:O211" si="580">C209/20000</f>
        <v>-4.2625436795000002</v>
      </c>
      <c r="P209">
        <f t="shared" ref="P209:P211" si="581">C209-10000*$H$6-5000*$R$6-5000*$R$14</f>
        <v>-6102.1087149999985</v>
      </c>
      <c r="Q209">
        <f t="shared" ref="Q209:Q211" si="582">P209/20000</f>
        <v>-0.30510543574999993</v>
      </c>
      <c r="R209">
        <f t="shared" ref="R209:R211" si="583">Q209/(H209*I209)</f>
        <v>-1.8675228418159353E-4</v>
      </c>
      <c r="S209">
        <f t="shared" ref="S209:S211" si="584">P209/(H209*I209)</f>
        <v>-3.7350456836318706</v>
      </c>
      <c r="T209">
        <f t="shared" si="573"/>
        <v>-12.826640000002044</v>
      </c>
      <c r="U209">
        <f t="shared" ref="U209:U211" si="585">T209/(H209*I209)</f>
        <v>-7.8510706060908892E-3</v>
      </c>
    </row>
    <row r="210" spans="1:22">
      <c r="A210">
        <v>400</v>
      </c>
      <c r="B210">
        <v>402.46751</v>
      </c>
      <c r="C210">
        <v>-85249.131959999999</v>
      </c>
      <c r="D210">
        <v>-84208.723800000007</v>
      </c>
      <c r="E210">
        <v>233307.54689999999</v>
      </c>
      <c r="F210">
        <v>-153.58626000000001</v>
      </c>
      <c r="G210">
        <v>4.3709999999999999E-2</v>
      </c>
      <c r="H210">
        <f>2*20.2095</f>
        <v>40.418999999999997</v>
      </c>
      <c r="I210">
        <f>2*20.2095</f>
        <v>40.418999999999997</v>
      </c>
      <c r="K210">
        <f t="shared" si="577"/>
        <v>2.8580548988779064</v>
      </c>
      <c r="L210">
        <f t="shared" si="578"/>
        <v>2.8580548988779064</v>
      </c>
      <c r="M210">
        <f t="shared" si="579"/>
        <v>0</v>
      </c>
      <c r="O210">
        <f t="shared" si="580"/>
        <v>-4.262456598</v>
      </c>
      <c r="P210">
        <f t="shared" si="581"/>
        <v>-6100.3670849999944</v>
      </c>
      <c r="Q210">
        <f t="shared" si="582"/>
        <v>-0.30501835424999973</v>
      </c>
      <c r="R210">
        <f t="shared" si="583"/>
        <v>-1.8670452532985722E-4</v>
      </c>
      <c r="S210">
        <f t="shared" si="584"/>
        <v>-3.7340905065971439</v>
      </c>
      <c r="T210">
        <f t="shared" si="573"/>
        <v>-11.085009999997965</v>
      </c>
      <c r="U210">
        <f t="shared" si="585"/>
        <v>-6.7852360406811234E-3</v>
      </c>
    </row>
    <row r="211" spans="1:22">
      <c r="A211">
        <v>400</v>
      </c>
      <c r="B211">
        <v>402.77307999999999</v>
      </c>
      <c r="C211">
        <v>-85248.235620000007</v>
      </c>
      <c r="D211">
        <v>-84207.037540000005</v>
      </c>
      <c r="E211">
        <v>233306.62414</v>
      </c>
      <c r="F211">
        <v>-149.44492</v>
      </c>
      <c r="G211">
        <v>4.3549999999999998E-2</v>
      </c>
      <c r="H211">
        <f>2*20.209</f>
        <v>40.417999999999999</v>
      </c>
      <c r="I211">
        <f>2*20.209</f>
        <v>40.417999999999999</v>
      </c>
      <c r="K211">
        <f t="shared" si="577"/>
        <v>2.8579841881997878</v>
      </c>
      <c r="L211">
        <f t="shared" si="578"/>
        <v>2.8579841881997878</v>
      </c>
      <c r="M211">
        <f t="shared" si="579"/>
        <v>0</v>
      </c>
      <c r="O211">
        <f t="shared" si="580"/>
        <v>-4.262411781</v>
      </c>
      <c r="P211">
        <f t="shared" si="581"/>
        <v>-6099.4707450000024</v>
      </c>
      <c r="Q211">
        <f t="shared" si="582"/>
        <v>-0.30497353725000009</v>
      </c>
      <c r="R211">
        <f t="shared" si="583"/>
        <v>-1.8668632987296708E-4</v>
      </c>
      <c r="S211">
        <f t="shared" si="584"/>
        <v>-3.7337265974593423</v>
      </c>
      <c r="T211">
        <f t="shared" si="573"/>
        <v>-10.188670000005914</v>
      </c>
      <c r="U211">
        <f t="shared" si="585"/>
        <v>-6.2368867336469441E-3</v>
      </c>
    </row>
    <row r="212" spans="1:22">
      <c r="C212" t="s">
        <v>17</v>
      </c>
    </row>
    <row r="213" spans="1:22">
      <c r="A213">
        <v>100</v>
      </c>
      <c r="B213">
        <v>100.93938</v>
      </c>
      <c r="C213">
        <v>-103286.46219000001</v>
      </c>
      <c r="D213">
        <v>-102973.3367</v>
      </c>
      <c r="E213">
        <v>277124.21286999999</v>
      </c>
      <c r="F213">
        <v>-6.6249599999999997</v>
      </c>
      <c r="G213">
        <v>6.0749999999999998E-2</v>
      </c>
      <c r="H213">
        <f>2*20.1367</f>
        <v>40.273400000000002</v>
      </c>
      <c r="I213">
        <f>2*20.1367</f>
        <v>40.273400000000002</v>
      </c>
      <c r="J213">
        <f>2*85.4326</f>
        <v>170.86519999999999</v>
      </c>
      <c r="K213">
        <f t="shared" ref="K213" si="586">H213/10/SQRT(2)</f>
        <v>2.8477594241438307</v>
      </c>
      <c r="L213">
        <f t="shared" ref="L213" si="587">I213/10/SQRT(2)</f>
        <v>2.8477594241438307</v>
      </c>
      <c r="M213">
        <f>J213/60</f>
        <v>2.8477533333333329</v>
      </c>
      <c r="O213">
        <f>C213/24000</f>
        <v>-4.3036025912500007</v>
      </c>
      <c r="P213">
        <f>C213-12000*$H$3-6000*$R$3-6000*$R$11</f>
        <v>-7274.9473500000022</v>
      </c>
      <c r="Q213">
        <f>P213/24000</f>
        <v>-0.3031228062500001</v>
      </c>
      <c r="R213">
        <f t="shared" ref="R213" si="588">Q213/(H213*I213)</f>
        <v>-1.8688826048451185E-4</v>
      </c>
      <c r="S213">
        <f t="shared" ref="S213:S233" si="589">P213/(H213*I213)</f>
        <v>-4.4853182516282839</v>
      </c>
      <c r="T213">
        <f t="shared" ref="T213:T218" si="590">P213-12000*$I$11</f>
        <v>-3.5993100000059712</v>
      </c>
      <c r="U213">
        <f t="shared" ref="U213:U233" si="591">T213/(H213*I213)</f>
        <v>-2.2191295771088952E-3</v>
      </c>
    </row>
    <row r="214" spans="1:22">
      <c r="A214">
        <v>100</v>
      </c>
      <c r="B214">
        <v>101.14691999999999</v>
      </c>
      <c r="C214">
        <v>-103285.80175</v>
      </c>
      <c r="D214">
        <v>-102972.03244</v>
      </c>
      <c r="E214">
        <v>277126.54371</v>
      </c>
      <c r="F214">
        <v>-6.0943100000000001</v>
      </c>
      <c r="G214">
        <v>6.0510000000000001E-2</v>
      </c>
      <c r="H214">
        <f>2*20.1365</f>
        <v>40.273000000000003</v>
      </c>
      <c r="I214">
        <f>2*20.1365</f>
        <v>40.273000000000003</v>
      </c>
      <c r="J214">
        <f>2*85.4319</f>
        <v>170.8638</v>
      </c>
      <c r="K214">
        <f t="shared" ref="K214:K215" si="592">H214/10/SQRT(2)</f>
        <v>2.8477311398725829</v>
      </c>
      <c r="L214">
        <f t="shared" ref="L214:L215" si="593">I214/10/SQRT(2)</f>
        <v>2.8477311398725829</v>
      </c>
      <c r="M214">
        <f t="shared" ref="M214:M215" si="594">J214/60</f>
        <v>2.8477299999999999</v>
      </c>
      <c r="O214">
        <f t="shared" ref="O214:O215" si="595">C214/24000</f>
        <v>-4.3035750729166669</v>
      </c>
      <c r="P214">
        <f t="shared" ref="P214:P215" si="596">C214-12000*$H$3-6000*$R$3-6000*$R$11</f>
        <v>-7274.2869099999953</v>
      </c>
      <c r="Q214">
        <f t="shared" ref="Q214:Q215" si="597">P214/24000</f>
        <v>-0.30309528791666646</v>
      </c>
      <c r="R214">
        <f t="shared" ref="R214:R215" si="598">Q214/(H214*I214)</f>
        <v>-1.8687500635655653E-4</v>
      </c>
      <c r="S214">
        <f t="shared" si="589"/>
        <v>-4.4850001525573573</v>
      </c>
      <c r="T214">
        <f t="shared" si="590"/>
        <v>-2.9388699999990422</v>
      </c>
      <c r="U214">
        <f t="shared" si="591"/>
        <v>-1.8119758763188449E-3</v>
      </c>
      <c r="V214">
        <f>AVERAGE(U213:U218)</f>
        <v>-1.7048760683435525E-3</v>
      </c>
    </row>
    <row r="215" spans="1:22">
      <c r="A215">
        <v>100</v>
      </c>
      <c r="B215">
        <v>101.41876000000001</v>
      </c>
      <c r="C215">
        <v>-103284.92741</v>
      </c>
      <c r="D215">
        <v>-102970.31482</v>
      </c>
      <c r="E215">
        <v>277128.09392999997</v>
      </c>
      <c r="F215">
        <v>-8.5273199999999996</v>
      </c>
      <c r="G215">
        <v>6.0490000000000002E-2</v>
      </c>
      <c r="H215">
        <f>2*20.1368</f>
        <v>40.273600000000002</v>
      </c>
      <c r="I215">
        <f>2*20.1368</f>
        <v>40.273600000000002</v>
      </c>
      <c r="J215">
        <f>2*85.4331</f>
        <v>170.86619999999999</v>
      </c>
      <c r="K215">
        <f t="shared" si="592"/>
        <v>2.8477735662794537</v>
      </c>
      <c r="L215">
        <f t="shared" si="593"/>
        <v>2.8477735662794537</v>
      </c>
      <c r="M215">
        <f t="shared" si="594"/>
        <v>2.8477699999999997</v>
      </c>
      <c r="O215">
        <f t="shared" si="595"/>
        <v>-4.3035386420833337</v>
      </c>
      <c r="P215">
        <f t="shared" si="596"/>
        <v>-7273.4125700000004</v>
      </c>
      <c r="Q215">
        <f t="shared" si="597"/>
        <v>-0.30305885708333336</v>
      </c>
      <c r="R215">
        <f t="shared" si="598"/>
        <v>-1.8684697727995334E-4</v>
      </c>
      <c r="S215">
        <f t="shared" si="589"/>
        <v>-4.4843274547188798</v>
      </c>
      <c r="T215">
        <f t="shared" si="590"/>
        <v>-2.0645300000041971</v>
      </c>
      <c r="U215">
        <f t="shared" si="591"/>
        <v>-1.2728589875810646E-3</v>
      </c>
      <c r="V215">
        <f>STDEV(U213:U218)</f>
        <v>3.4120078307489795E-4</v>
      </c>
    </row>
    <row r="216" spans="1:22">
      <c r="A216">
        <v>100</v>
      </c>
      <c r="B216">
        <v>101.14136000000001</v>
      </c>
      <c r="C216">
        <v>-103285.81511</v>
      </c>
      <c r="D216">
        <v>-102972.06306</v>
      </c>
      <c r="E216">
        <v>277127.21762000001</v>
      </c>
      <c r="F216">
        <v>-8.3058599999999991</v>
      </c>
      <c r="G216">
        <v>6.0420000000000001E-2</v>
      </c>
      <c r="H216">
        <f>2*20.1369</f>
        <v>40.273800000000001</v>
      </c>
      <c r="I216">
        <f>2*20.1369</f>
        <v>40.273800000000001</v>
      </c>
      <c r="K216">
        <f t="shared" ref="K216:K222" si="599">H216/10/SQRT(2)</f>
        <v>2.8477877084150776</v>
      </c>
      <c r="L216">
        <f t="shared" ref="L216:L222" si="600">I216/10/SQRT(2)</f>
        <v>2.8477877084150776</v>
      </c>
      <c r="M216">
        <f t="shared" ref="M216:M222" si="601">J216/60</f>
        <v>0</v>
      </c>
      <c r="O216">
        <f t="shared" ref="O216:O218" si="602">C216/24000</f>
        <v>-4.3035756295833334</v>
      </c>
      <c r="P216">
        <f t="shared" ref="P216:P218" si="603">C216-12000*$H$3-6000*$R$3-6000*$R$11</f>
        <v>-7274.3002699999925</v>
      </c>
      <c r="Q216">
        <f t="shared" ref="Q216:Q218" si="604">P216/24000</f>
        <v>-0.303095844583333</v>
      </c>
      <c r="R216">
        <f t="shared" ref="R216:R218" si="605">Q216/(H216*I216)</f>
        <v>-1.8686792545071212E-4</v>
      </c>
      <c r="S216">
        <f t="shared" ref="S216:S218" si="606">P216/(H216*I216)</f>
        <v>-4.4848302108170905</v>
      </c>
      <c r="T216">
        <f t="shared" si="590"/>
        <v>-2.9522299999962343</v>
      </c>
      <c r="U216">
        <f t="shared" ref="U216:U218" si="607">T216/(H216*I216)</f>
        <v>-1.8201407423155032E-3</v>
      </c>
    </row>
    <row r="217" spans="1:22">
      <c r="A217">
        <v>100</v>
      </c>
      <c r="B217">
        <v>101.36919</v>
      </c>
      <c r="C217">
        <v>-103285.10057</v>
      </c>
      <c r="D217">
        <v>-102970.64176</v>
      </c>
      <c r="E217">
        <v>277127.09068999998</v>
      </c>
      <c r="F217">
        <v>-10.66705</v>
      </c>
      <c r="G217">
        <v>6.0510000000000001E-2</v>
      </c>
      <c r="H217">
        <f>2*20.137</f>
        <v>40.274000000000001</v>
      </c>
      <c r="I217">
        <f>2*20.137</f>
        <v>40.274000000000001</v>
      </c>
      <c r="K217">
        <f t="shared" si="599"/>
        <v>2.8478018505507015</v>
      </c>
      <c r="L217">
        <f t="shared" si="600"/>
        <v>2.8478018505507015</v>
      </c>
      <c r="M217">
        <f t="shared" si="601"/>
        <v>0</v>
      </c>
      <c r="O217">
        <f t="shared" si="602"/>
        <v>-4.3035458570833329</v>
      </c>
      <c r="P217">
        <f t="shared" si="603"/>
        <v>-7273.5857299999916</v>
      </c>
      <c r="Q217">
        <f t="shared" si="604"/>
        <v>-0.30306607208333297</v>
      </c>
      <c r="R217">
        <f t="shared" si="605"/>
        <v>-1.8684771400830872E-4</v>
      </c>
      <c r="S217">
        <f t="shared" si="606"/>
        <v>-4.4843451361994093</v>
      </c>
      <c r="T217">
        <f t="shared" si="590"/>
        <v>-2.2376899999953821</v>
      </c>
      <c r="U217">
        <f t="shared" si="607"/>
        <v>-1.3795911178187707E-3</v>
      </c>
    </row>
    <row r="218" spans="1:22">
      <c r="A218">
        <v>100</v>
      </c>
      <c r="B218">
        <v>101.20081</v>
      </c>
      <c r="C218">
        <v>-103285.66173000001</v>
      </c>
      <c r="D218">
        <v>-102971.72525</v>
      </c>
      <c r="E218">
        <v>277127.11739999999</v>
      </c>
      <c r="F218">
        <v>-5.7517199999999997</v>
      </c>
      <c r="G218">
        <v>6.0560000000000003E-2</v>
      </c>
      <c r="H218">
        <f>2*20.137</f>
        <v>40.274000000000001</v>
      </c>
      <c r="I218">
        <f>2*20.137</f>
        <v>40.274000000000001</v>
      </c>
      <c r="K218">
        <f t="shared" si="599"/>
        <v>2.8478018505507015</v>
      </c>
      <c r="L218">
        <f t="shared" si="600"/>
        <v>2.8478018505507015</v>
      </c>
      <c r="M218">
        <f t="shared" si="601"/>
        <v>0</v>
      </c>
      <c r="O218">
        <f t="shared" si="602"/>
        <v>-4.3035692387500006</v>
      </c>
      <c r="P218">
        <f t="shared" si="603"/>
        <v>-7274.1468900000036</v>
      </c>
      <c r="Q218">
        <f t="shared" si="604"/>
        <v>-0.30308945375000013</v>
      </c>
      <c r="R218">
        <f t="shared" si="605"/>
        <v>-1.8686212938293784E-4</v>
      </c>
      <c r="S218">
        <f t="shared" si="606"/>
        <v>-4.4846911051905085</v>
      </c>
      <c r="T218">
        <f t="shared" si="590"/>
        <v>-2.7988500000074055</v>
      </c>
      <c r="U218">
        <f t="shared" si="607"/>
        <v>-1.7255601089182376E-3</v>
      </c>
    </row>
    <row r="219" spans="1:22">
      <c r="A219">
        <v>200</v>
      </c>
      <c r="B219">
        <v>200.6523</v>
      </c>
      <c r="C219">
        <v>-102964.96279999999</v>
      </c>
      <c r="D219">
        <v>-102342.51645</v>
      </c>
      <c r="E219">
        <v>277914.8849</v>
      </c>
      <c r="F219">
        <v>27.60896</v>
      </c>
      <c r="G219">
        <v>4.9579999999999999E-2</v>
      </c>
      <c r="H219">
        <f>2*20.1569</f>
        <v>40.313800000000001</v>
      </c>
      <c r="I219">
        <f>2*20.1569</f>
        <v>40.313800000000001</v>
      </c>
      <c r="J219">
        <f>2*85.5186</f>
        <v>171.03720000000001</v>
      </c>
      <c r="K219">
        <f t="shared" si="599"/>
        <v>2.8506161355398238</v>
      </c>
      <c r="L219">
        <f t="shared" si="600"/>
        <v>2.8506161355398238</v>
      </c>
      <c r="M219">
        <f t="shared" si="601"/>
        <v>2.8506200000000002</v>
      </c>
      <c r="O219">
        <f>C219/24000</f>
        <v>-4.2902067833333328</v>
      </c>
      <c r="P219">
        <f>C219-12000*$H$4-6000*$R$4-6000*$R$12</f>
        <v>-7277.7943699999923</v>
      </c>
      <c r="Q219">
        <f>P219/24000</f>
        <v>-0.30324143208333304</v>
      </c>
      <c r="R219">
        <f t="shared" ref="R219" si="608">Q219/(H219*I219)</f>
        <v>-1.8658686385163739E-4</v>
      </c>
      <c r="S219">
        <f t="shared" si="589"/>
        <v>-4.4780847324392967</v>
      </c>
      <c r="T219">
        <f t="shared" ref="T219:T224" si="609">P219-12000*$I$12</f>
        <v>-9.6474799999850802</v>
      </c>
      <c r="U219">
        <f t="shared" si="591"/>
        <v>-5.936171138955483E-3</v>
      </c>
    </row>
    <row r="220" spans="1:22">
      <c r="A220">
        <v>200</v>
      </c>
      <c r="B220">
        <v>201.21124</v>
      </c>
      <c r="C220">
        <v>-102963.15896</v>
      </c>
      <c r="D220">
        <v>-102338.97871</v>
      </c>
      <c r="E220">
        <v>277909.15717999998</v>
      </c>
      <c r="F220">
        <v>47.677070000000001</v>
      </c>
      <c r="G220">
        <v>4.972E-2</v>
      </c>
      <c r="H220">
        <f>2*20.1568</f>
        <v>40.313600000000001</v>
      </c>
      <c r="I220">
        <f>2*20.1568</f>
        <v>40.313600000000001</v>
      </c>
      <c r="J220">
        <f>2*85.5182</f>
        <v>171.03639999999999</v>
      </c>
      <c r="K220">
        <f t="shared" si="599"/>
        <v>2.8506019934042004</v>
      </c>
      <c r="L220">
        <f t="shared" si="600"/>
        <v>2.8506019934042004</v>
      </c>
      <c r="M220">
        <f t="shared" si="601"/>
        <v>2.8506066666666663</v>
      </c>
      <c r="O220">
        <f t="shared" ref="O220:O221" si="610">C220/24000</f>
        <v>-4.2901316233333331</v>
      </c>
      <c r="P220">
        <f t="shared" ref="P220:P221" si="611">C220-12000*$H$4-6000*$R$4-6000*$R$12</f>
        <v>-7275.9905299999991</v>
      </c>
      <c r="Q220">
        <f t="shared" ref="Q220:Q221" si="612">P220/24000</f>
        <v>-0.3031662720833333</v>
      </c>
      <c r="R220">
        <f t="shared" ref="R220:R221" si="613">Q220/(H220*I220)</f>
        <v>-1.8654246820588134E-4</v>
      </c>
      <c r="S220">
        <f t="shared" si="589"/>
        <v>-4.4770192369411523</v>
      </c>
      <c r="T220">
        <f t="shared" si="609"/>
        <v>-7.8436399999918649</v>
      </c>
      <c r="U220">
        <f t="shared" si="591"/>
        <v>-4.826301934123694E-3</v>
      </c>
      <c r="V220">
        <f>AVERAGE(U219:U224)</f>
        <v>-4.4529587665306462E-3</v>
      </c>
    </row>
    <row r="221" spans="1:22">
      <c r="A221">
        <v>200</v>
      </c>
      <c r="B221">
        <v>201.99853999999999</v>
      </c>
      <c r="C221">
        <v>-102960.56806000001</v>
      </c>
      <c r="D221">
        <v>-102333.94553</v>
      </c>
      <c r="E221">
        <v>277919.33809999999</v>
      </c>
      <c r="F221">
        <v>49.122489999999999</v>
      </c>
      <c r="G221">
        <v>4.9849999999999998E-2</v>
      </c>
      <c r="H221">
        <f>2*20.1574</f>
        <v>40.314799999999998</v>
      </c>
      <c r="I221">
        <f>2*20.1574</f>
        <v>40.314799999999998</v>
      </c>
      <c r="J221">
        <f>2*85.5206</f>
        <v>171.0412</v>
      </c>
      <c r="K221">
        <f t="shared" si="599"/>
        <v>2.8506868462179424</v>
      </c>
      <c r="L221">
        <f t="shared" si="600"/>
        <v>2.8506868462179424</v>
      </c>
      <c r="M221">
        <f t="shared" si="601"/>
        <v>2.8506866666666668</v>
      </c>
      <c r="O221">
        <f t="shared" si="610"/>
        <v>-4.2900236691666667</v>
      </c>
      <c r="P221">
        <f t="shared" si="611"/>
        <v>-7273.3996300000035</v>
      </c>
      <c r="Q221">
        <f t="shared" si="612"/>
        <v>-0.30305831791666682</v>
      </c>
      <c r="R221">
        <f t="shared" si="613"/>
        <v>-1.8646494145892073E-4</v>
      </c>
      <c r="S221">
        <f t="shared" si="589"/>
        <v>-4.4751585950140971</v>
      </c>
      <c r="T221">
        <f t="shared" si="609"/>
        <v>-5.2527399999962654</v>
      </c>
      <c r="U221">
        <f t="shared" si="591"/>
        <v>-3.2318923411551394E-3</v>
      </c>
      <c r="V221">
        <f>STDEV(U219:U224)</f>
        <v>1.1464300905632708E-3</v>
      </c>
    </row>
    <row r="222" spans="1:22">
      <c r="A222">
        <v>200</v>
      </c>
      <c r="B222">
        <v>201.95679999999999</v>
      </c>
      <c r="C222">
        <v>-102960.76397</v>
      </c>
      <c r="D222">
        <v>-102334.27092</v>
      </c>
      <c r="E222">
        <v>277921.45344999997</v>
      </c>
      <c r="F222">
        <v>35.541139999999999</v>
      </c>
      <c r="G222">
        <v>4.9450000000000001E-2</v>
      </c>
      <c r="H222">
        <f>2*20.1569</f>
        <v>40.313800000000001</v>
      </c>
      <c r="I222">
        <f>2*20.1569</f>
        <v>40.313800000000001</v>
      </c>
      <c r="K222">
        <f t="shared" si="599"/>
        <v>2.8506161355398238</v>
      </c>
      <c r="L222">
        <f t="shared" si="600"/>
        <v>2.8506161355398238</v>
      </c>
      <c r="M222">
        <f t="shared" si="601"/>
        <v>0</v>
      </c>
      <c r="O222">
        <f t="shared" ref="O222:O224" si="614">C222/24000</f>
        <v>-4.2900318320833337</v>
      </c>
      <c r="P222">
        <f t="shared" ref="P222:P224" si="615">C222-12000*$H$4-6000*$R$4-6000*$R$12</f>
        <v>-7273.5955399999984</v>
      </c>
      <c r="Q222">
        <f t="shared" ref="Q222:Q224" si="616">P222/24000</f>
        <v>-0.30306648083333326</v>
      </c>
      <c r="R222">
        <f t="shared" ref="R222:R224" si="617">Q222/(H222*I222)</f>
        <v>-1.8647921495669546E-4</v>
      </c>
      <c r="S222">
        <f t="shared" ref="S222:S224" si="618">P222/(H222*I222)</f>
        <v>-4.4755011589606912</v>
      </c>
      <c r="T222">
        <f t="shared" si="609"/>
        <v>-5.4486499999911757</v>
      </c>
      <c r="U222">
        <f t="shared" ref="U222:U224" si="619">T222/(H222*I222)</f>
        <v>-3.3525976603493795E-3</v>
      </c>
    </row>
    <row r="223" spans="1:22">
      <c r="A223">
        <v>200</v>
      </c>
      <c r="B223">
        <v>201.29774</v>
      </c>
      <c r="C223">
        <v>-102962.88025</v>
      </c>
      <c r="D223">
        <v>-102338.43167000001</v>
      </c>
      <c r="E223">
        <v>277918.96337000001</v>
      </c>
      <c r="F223">
        <v>29.7941</v>
      </c>
      <c r="G223">
        <v>4.9279999999999997E-2</v>
      </c>
      <c r="H223">
        <f>2*20.1572</f>
        <v>40.314399999999999</v>
      </c>
      <c r="I223">
        <f>2*20.1572</f>
        <v>40.314399999999999</v>
      </c>
      <c r="K223">
        <f t="shared" ref="K223:K236" si="620">H223/10/SQRT(2)</f>
        <v>2.8506585619466951</v>
      </c>
      <c r="L223">
        <f t="shared" ref="L223:L236" si="621">I223/10/SQRT(2)</f>
        <v>2.8506585619466951</v>
      </c>
      <c r="M223">
        <f t="shared" ref="M223:M236" si="622">J223/60</f>
        <v>0</v>
      </c>
      <c r="O223">
        <f t="shared" si="614"/>
        <v>-4.2901200104166666</v>
      </c>
      <c r="P223">
        <f t="shared" si="615"/>
        <v>-7275.7118200000004</v>
      </c>
      <c r="Q223">
        <f t="shared" si="616"/>
        <v>-0.30315465916666667</v>
      </c>
      <c r="R223">
        <f t="shared" si="617"/>
        <v>-1.8652791946492469E-4</v>
      </c>
      <c r="S223">
        <f t="shared" si="618"/>
        <v>-4.4766700671581932</v>
      </c>
      <c r="T223">
        <f t="shared" si="609"/>
        <v>-7.5649299999931827</v>
      </c>
    </row>
    <row r="224" spans="1:22">
      <c r="A224">
        <v>200</v>
      </c>
      <c r="B224">
        <v>201.14848000000001</v>
      </c>
      <c r="C224">
        <v>-102963.30787</v>
      </c>
      <c r="D224">
        <v>-102339.32232000001</v>
      </c>
      <c r="E224">
        <v>277915.48625999998</v>
      </c>
      <c r="F224">
        <v>30.928660000000001</v>
      </c>
      <c r="G224">
        <v>4.9759999999999999E-2</v>
      </c>
      <c r="H224">
        <f>2*20.157</f>
        <v>40.314</v>
      </c>
      <c r="I224">
        <f>2*20.157</f>
        <v>40.314</v>
      </c>
      <c r="K224">
        <f t="shared" si="620"/>
        <v>2.8506302776754473</v>
      </c>
      <c r="L224">
        <f t="shared" si="621"/>
        <v>2.8506302776754473</v>
      </c>
      <c r="M224">
        <f t="shared" si="622"/>
        <v>0</v>
      </c>
      <c r="O224">
        <f t="shared" si="614"/>
        <v>-4.2901378279166664</v>
      </c>
      <c r="P224">
        <f t="shared" si="615"/>
        <v>-7276.1394400000027</v>
      </c>
      <c r="Q224">
        <f t="shared" si="616"/>
        <v>-0.3031724766666668</v>
      </c>
      <c r="R224">
        <f t="shared" si="617"/>
        <v>-1.8654258412550604E-4</v>
      </c>
      <c r="S224">
        <f t="shared" si="618"/>
        <v>-4.4770220190121446</v>
      </c>
      <c r="T224">
        <f t="shared" si="609"/>
        <v>-7.99254999999539</v>
      </c>
      <c r="U224">
        <f t="shared" si="619"/>
        <v>-4.9178307580695383E-3</v>
      </c>
    </row>
    <row r="225" spans="1:22">
      <c r="A225">
        <v>300</v>
      </c>
      <c r="B225">
        <v>302.26853</v>
      </c>
      <c r="C225">
        <v>-102631.35586</v>
      </c>
      <c r="D225">
        <v>-101693.68435</v>
      </c>
      <c r="E225">
        <v>278807.89530999999</v>
      </c>
      <c r="F225">
        <v>167.09709000000001</v>
      </c>
      <c r="G225">
        <v>4.5920000000000002E-2</v>
      </c>
      <c r="H225">
        <f>2*20.177</f>
        <v>40.353999999999999</v>
      </c>
      <c r="I225">
        <f>2*20.177</f>
        <v>40.353999999999999</v>
      </c>
      <c r="J225">
        <f>2*85.6037</f>
        <v>171.20740000000001</v>
      </c>
      <c r="K225">
        <f t="shared" si="620"/>
        <v>2.8534587048001936</v>
      </c>
      <c r="L225">
        <f t="shared" si="621"/>
        <v>2.8534587048001936</v>
      </c>
      <c r="M225">
        <f t="shared" si="622"/>
        <v>2.8534566666666668</v>
      </c>
      <c r="O225">
        <f>C225/24000</f>
        <v>-4.2763064941666666</v>
      </c>
      <c r="P225">
        <f>C225-12000*$H$5-6000*$R$5-6000*$R$13</f>
        <v>-7278.7597299999979</v>
      </c>
      <c r="Q225">
        <f>P225/24000</f>
        <v>-0.30328165541666657</v>
      </c>
      <c r="R225">
        <f t="shared" ref="R225" si="623">Q225/(H225*I225)</f>
        <v>-1.8623999985558409E-4</v>
      </c>
      <c r="S225">
        <f t="shared" si="589"/>
        <v>-4.4697599965340178</v>
      </c>
      <c r="T225">
        <f t="shared" ref="T225:T230" si="624">P225-12000*$I$13</f>
        <v>-1.5474999999996726</v>
      </c>
      <c r="U225">
        <f t="shared" si="591"/>
        <v>-9.5029288659249803E-4</v>
      </c>
    </row>
    <row r="226" spans="1:22">
      <c r="A226">
        <v>300</v>
      </c>
      <c r="B226">
        <v>301.56076999999999</v>
      </c>
      <c r="C226">
        <v>-102633.68955</v>
      </c>
      <c r="D226">
        <v>-101698.21361000001</v>
      </c>
      <c r="E226">
        <v>278806.41555999999</v>
      </c>
      <c r="F226">
        <v>149.94542999999999</v>
      </c>
      <c r="G226">
        <v>4.5589999999999999E-2</v>
      </c>
      <c r="H226">
        <f>2*20.1775</f>
        <v>40.354999999999997</v>
      </c>
      <c r="I226">
        <f>2*20.1775</f>
        <v>40.354999999999997</v>
      </c>
      <c r="J226">
        <f>2*85.6059</f>
        <v>171.21180000000001</v>
      </c>
      <c r="K226">
        <f t="shared" si="620"/>
        <v>2.8535294154783122</v>
      </c>
      <c r="L226">
        <f t="shared" si="621"/>
        <v>2.8535294154783122</v>
      </c>
      <c r="M226">
        <f t="shared" si="622"/>
        <v>2.8535300000000001</v>
      </c>
      <c r="O226">
        <f t="shared" ref="O226:O227" si="625">C226/24000</f>
        <v>-4.2764037312499994</v>
      </c>
      <c r="P226">
        <f t="shared" ref="P226:P227" si="626">C226-12000*$H$5-6000*$R$5-6000*$R$13</f>
        <v>-7281.0934199999974</v>
      </c>
      <c r="Q226">
        <f t="shared" ref="Q226:Q227" si="627">P226/24000</f>
        <v>-0.30337889249999989</v>
      </c>
      <c r="R226">
        <f t="shared" ref="R226:R227" si="628">Q226/(H226*I226)</f>
        <v>-1.8629047853257363E-4</v>
      </c>
      <c r="S226">
        <f t="shared" si="589"/>
        <v>-4.4709714847817672</v>
      </c>
      <c r="T226">
        <f t="shared" si="624"/>
        <v>-3.881189999999151</v>
      </c>
      <c r="U226">
        <f t="shared" si="591"/>
        <v>-2.3832532857429476E-3</v>
      </c>
      <c r="V226">
        <f>AVERAGE(U225:U230)</f>
        <v>-1.0212236492891586E-3</v>
      </c>
    </row>
    <row r="227" spans="1:22">
      <c r="A227">
        <v>300</v>
      </c>
      <c r="B227">
        <v>302.97534000000002</v>
      </c>
      <c r="C227">
        <v>-102629.03625999999</v>
      </c>
      <c r="D227">
        <v>-101689.17214</v>
      </c>
      <c r="E227">
        <v>278816.06063000002</v>
      </c>
      <c r="F227">
        <v>164.60971000000001</v>
      </c>
      <c r="G227">
        <v>4.5569999999999999E-2</v>
      </c>
      <c r="H227">
        <f>2*20.1786</f>
        <v>40.357199999999999</v>
      </c>
      <c r="I227">
        <f>2*20.1786</f>
        <v>40.357199999999999</v>
      </c>
      <c r="J227">
        <f>2*85.6105</f>
        <v>171.221</v>
      </c>
      <c r="K227">
        <f t="shared" si="620"/>
        <v>2.8536849789701733</v>
      </c>
      <c r="L227">
        <f t="shared" si="621"/>
        <v>2.8536849789701733</v>
      </c>
      <c r="M227">
        <f t="shared" si="622"/>
        <v>2.8536833333333336</v>
      </c>
      <c r="O227">
        <f t="shared" si="625"/>
        <v>-4.2762098441666661</v>
      </c>
      <c r="P227">
        <f t="shared" si="626"/>
        <v>-7276.4401299999954</v>
      </c>
      <c r="Q227">
        <f t="shared" si="627"/>
        <v>-0.30318500541666649</v>
      </c>
      <c r="R227">
        <f t="shared" si="628"/>
        <v>-1.8615112469553066E-4</v>
      </c>
      <c r="S227">
        <f t="shared" si="589"/>
        <v>-4.4676269926927352</v>
      </c>
      <c r="T227">
        <f t="shared" si="624"/>
        <v>0.77210000000286527</v>
      </c>
      <c r="U227">
        <f t="shared" si="591"/>
        <v>4.7405802005421905E-4</v>
      </c>
      <c r="V227">
        <f>STDEV(U225:U230)</f>
        <v>1.5295552074698628E-3</v>
      </c>
    </row>
    <row r="228" spans="1:22">
      <c r="A228">
        <v>300</v>
      </c>
      <c r="B228">
        <v>303.20173999999997</v>
      </c>
      <c r="C228">
        <v>-102628.28165</v>
      </c>
      <c r="D228">
        <v>-101687.71524</v>
      </c>
      <c r="E228">
        <v>278819.52006000001</v>
      </c>
      <c r="F228">
        <v>137.12726000000001</v>
      </c>
      <c r="G228">
        <v>4.5370000000000001E-2</v>
      </c>
      <c r="H228">
        <f>2*20.1774</f>
        <v>40.354799999999997</v>
      </c>
      <c r="I228">
        <f>2*20.1774</f>
        <v>40.354799999999997</v>
      </c>
      <c r="K228">
        <f t="shared" si="620"/>
        <v>2.8535152733426883</v>
      </c>
      <c r="L228">
        <f t="shared" si="621"/>
        <v>2.8535152733426883</v>
      </c>
      <c r="M228">
        <f t="shared" si="622"/>
        <v>0</v>
      </c>
      <c r="O228">
        <f t="shared" ref="O228:O230" si="629">C228/24000</f>
        <v>-4.2761784020833336</v>
      </c>
      <c r="P228">
        <f t="shared" ref="P228:P230" si="630">C228-12000*$H$5-6000*$R$5-6000*$R$13</f>
        <v>-7275.6855200000064</v>
      </c>
      <c r="Q228">
        <f t="shared" ref="Q228:Q230" si="631">P228/24000</f>
        <v>-0.3031535633333336</v>
      </c>
      <c r="R228">
        <f t="shared" ref="R228:R230" si="632">Q228/(H228*I228)</f>
        <v>-1.8615395981965157E-4</v>
      </c>
      <c r="S228">
        <f t="shared" ref="S228:S230" si="633">P228/(H228*I228)</f>
        <v>-4.4676950356716381</v>
      </c>
      <c r="T228">
        <f t="shared" si="624"/>
        <v>1.5267099999919083</v>
      </c>
      <c r="U228">
        <f t="shared" ref="U228:U230" si="634">T228/(H228*I228)</f>
        <v>9.3748893751995055E-4</v>
      </c>
    </row>
    <row r="229" spans="1:22">
      <c r="A229">
        <v>300</v>
      </c>
      <c r="B229">
        <v>302.13422000000003</v>
      </c>
      <c r="C229">
        <v>-102631.85747</v>
      </c>
      <c r="D229">
        <v>-101694.60262999999</v>
      </c>
      <c r="E229">
        <v>278810.32971000002</v>
      </c>
      <c r="F229">
        <v>161.65142</v>
      </c>
      <c r="G229">
        <v>4.5589999999999999E-2</v>
      </c>
      <c r="H229">
        <f>2*20.1775</f>
        <v>40.354999999999997</v>
      </c>
      <c r="I229">
        <f>2*20.1775</f>
        <v>40.354999999999997</v>
      </c>
      <c r="K229">
        <f t="shared" si="620"/>
        <v>2.8535294154783122</v>
      </c>
      <c r="L229">
        <f t="shared" si="621"/>
        <v>2.8535294154783122</v>
      </c>
      <c r="M229">
        <f t="shared" si="622"/>
        <v>0</v>
      </c>
      <c r="O229">
        <f t="shared" si="629"/>
        <v>-4.2763273945833333</v>
      </c>
      <c r="P229">
        <f t="shared" si="630"/>
        <v>-7279.2613400000046</v>
      </c>
      <c r="Q229">
        <f t="shared" si="631"/>
        <v>-0.30330255583333354</v>
      </c>
      <c r="R229">
        <f t="shared" si="632"/>
        <v>-1.8624360383392313E-4</v>
      </c>
      <c r="S229">
        <f t="shared" si="633"/>
        <v>-4.4698464920141552</v>
      </c>
      <c r="T229">
        <f t="shared" si="624"/>
        <v>-2.0491100000062943</v>
      </c>
      <c r="U229">
        <f t="shared" si="634"/>
        <v>-1.2582605181309858E-3</v>
      </c>
    </row>
    <row r="230" spans="1:22">
      <c r="A230">
        <v>300</v>
      </c>
      <c r="B230">
        <v>301.33665999999999</v>
      </c>
      <c r="C230">
        <v>-102634.60776</v>
      </c>
      <c r="D230">
        <v>-101699.82703</v>
      </c>
      <c r="E230">
        <v>278800.37628000003</v>
      </c>
      <c r="F230">
        <v>166.67255</v>
      </c>
      <c r="G230">
        <v>4.5530000000000001E-2</v>
      </c>
      <c r="H230">
        <f>2*20.1775</f>
        <v>40.354999999999997</v>
      </c>
      <c r="I230">
        <f>2*20.1775</f>
        <v>40.354999999999997</v>
      </c>
      <c r="K230">
        <f t="shared" si="620"/>
        <v>2.8535294154783122</v>
      </c>
      <c r="L230">
        <f t="shared" si="621"/>
        <v>2.8535294154783122</v>
      </c>
      <c r="M230">
        <f t="shared" si="622"/>
        <v>0</v>
      </c>
      <c r="O230">
        <f t="shared" si="629"/>
        <v>-4.2764419900000004</v>
      </c>
      <c r="P230">
        <f t="shared" si="630"/>
        <v>-7282.0116300000009</v>
      </c>
      <c r="Q230">
        <f t="shared" si="631"/>
        <v>-0.30341715125000002</v>
      </c>
      <c r="R230">
        <f t="shared" si="632"/>
        <v>-1.8631397140245277E-4</v>
      </c>
      <c r="S230">
        <f t="shared" si="633"/>
        <v>-4.4715353136588663</v>
      </c>
      <c r="T230">
        <f t="shared" si="624"/>
        <v>-4.7994000000026062</v>
      </c>
      <c r="U230">
        <f t="shared" si="634"/>
        <v>-2.9470821628426892E-3</v>
      </c>
    </row>
    <row r="231" spans="1:22">
      <c r="A231">
        <v>400</v>
      </c>
      <c r="B231">
        <v>402.36585000000002</v>
      </c>
      <c r="C231">
        <v>-102297.39251999999</v>
      </c>
      <c r="D231">
        <v>-101049.2077</v>
      </c>
      <c r="E231">
        <v>279844.04175999999</v>
      </c>
      <c r="F231">
        <v>-158.90067999999999</v>
      </c>
      <c r="G231">
        <v>4.9239999999999999E-2</v>
      </c>
      <c r="H231">
        <f>2*20.2049</f>
        <v>40.409799999999997</v>
      </c>
      <c r="I231">
        <f>2*20.2049</f>
        <v>40.409799999999997</v>
      </c>
      <c r="J231">
        <f>2*85.722</f>
        <v>171.44399999999999</v>
      </c>
      <c r="K231">
        <f t="shared" si="620"/>
        <v>2.8574043606392143</v>
      </c>
      <c r="L231">
        <f t="shared" si="621"/>
        <v>2.8574043606392143</v>
      </c>
      <c r="M231">
        <f t="shared" si="622"/>
        <v>2.8573999999999997</v>
      </c>
      <c r="O231">
        <f>C231/24000</f>
        <v>-4.2623913550000001</v>
      </c>
      <c r="P231">
        <f>C231-12000*$H$6-6000*$R$6-6000*$R$14</f>
        <v>-7318.8746699999901</v>
      </c>
      <c r="Q231">
        <f>P231/24000</f>
        <v>-0.30495311124999958</v>
      </c>
      <c r="R231">
        <f t="shared" ref="R231" si="635">Q231/(H231*I231)</f>
        <v>-1.8674959410595269E-4</v>
      </c>
      <c r="S231">
        <f t="shared" si="589"/>
        <v>-4.481990258542865</v>
      </c>
      <c r="T231">
        <f t="shared" ref="T231:T236" si="636">P231-12000*$I$14</f>
        <v>-11.73617999999442</v>
      </c>
      <c r="U231">
        <f t="shared" si="591"/>
        <v>-7.187094574538009E-3</v>
      </c>
    </row>
    <row r="232" spans="1:22">
      <c r="A232">
        <v>400</v>
      </c>
      <c r="B232">
        <v>402.92219999999998</v>
      </c>
      <c r="C232">
        <v>-102295.5086</v>
      </c>
      <c r="D232">
        <v>-101045.59792</v>
      </c>
      <c r="E232">
        <v>279849.28662000003</v>
      </c>
      <c r="F232">
        <v>-136.60549</v>
      </c>
      <c r="G232">
        <v>4.9570000000000003E-2</v>
      </c>
      <c r="H232">
        <f>2*20.2051</f>
        <v>40.410200000000003</v>
      </c>
      <c r="I232">
        <f>2*20.2051</f>
        <v>40.410200000000003</v>
      </c>
      <c r="J232">
        <f>2*85.7232</f>
        <v>171.44640000000001</v>
      </c>
      <c r="K232">
        <f t="shared" si="620"/>
        <v>2.8574326449104626</v>
      </c>
      <c r="L232">
        <f t="shared" si="621"/>
        <v>2.8574326449104626</v>
      </c>
      <c r="M232">
        <f t="shared" si="622"/>
        <v>2.85744</v>
      </c>
      <c r="O232">
        <f t="shared" ref="O232:O233" si="637">C232/24000</f>
        <v>-4.262312858333333</v>
      </c>
      <c r="P232">
        <f t="shared" ref="P232:P233" si="638">C232-12000*$H$6-6000*$R$6-6000*$R$14</f>
        <v>-7316.9907499999972</v>
      </c>
      <c r="Q232">
        <f t="shared" ref="Q232:Q233" si="639">P232/24000</f>
        <v>-0.3048746145833332</v>
      </c>
      <c r="R232">
        <f t="shared" ref="R232:R233" si="640">Q232/(H232*I232)</f>
        <v>-1.8669782758902646E-4</v>
      </c>
      <c r="S232">
        <f t="shared" si="589"/>
        <v>-4.480747862136635</v>
      </c>
      <c r="T232">
        <f t="shared" si="636"/>
        <v>-9.8522600000014791</v>
      </c>
      <c r="U232">
        <f t="shared" si="591"/>
        <v>-6.0332853273350013E-3</v>
      </c>
      <c r="V232">
        <f>AVERAGE(U231:U236)</f>
        <v>-8.7324069416087075E-3</v>
      </c>
    </row>
    <row r="233" spans="1:22">
      <c r="A233">
        <v>400</v>
      </c>
      <c r="B233">
        <v>401.94914999999997</v>
      </c>
      <c r="C233">
        <v>-102298.95862</v>
      </c>
      <c r="D233">
        <v>-101052.06645</v>
      </c>
      <c r="E233">
        <v>279829.04365000001</v>
      </c>
      <c r="F233">
        <v>-111.72479</v>
      </c>
      <c r="G233">
        <v>4.9439999999999998E-2</v>
      </c>
      <c r="H233">
        <f>2*20.2054</f>
        <v>40.410800000000002</v>
      </c>
      <c r="I233">
        <f>2*20.2054</f>
        <v>40.410800000000002</v>
      </c>
      <c r="J233">
        <f>2*85.7243</f>
        <v>171.4486</v>
      </c>
      <c r="K233">
        <f t="shared" si="620"/>
        <v>2.8574750713173334</v>
      </c>
      <c r="L233">
        <f t="shared" si="621"/>
        <v>2.8574750713173334</v>
      </c>
      <c r="M233">
        <f t="shared" si="622"/>
        <v>2.8574766666666664</v>
      </c>
      <c r="O233">
        <f t="shared" si="637"/>
        <v>-4.2624566091666667</v>
      </c>
      <c r="P233">
        <f t="shared" si="638"/>
        <v>-7320.4407700000011</v>
      </c>
      <c r="Q233">
        <f t="shared" si="639"/>
        <v>-0.30501836541666671</v>
      </c>
      <c r="R233">
        <f t="shared" si="640"/>
        <v>-1.8678031054578998E-4</v>
      </c>
      <c r="S233">
        <f t="shared" si="589"/>
        <v>-4.4827274530989598</v>
      </c>
      <c r="T233">
        <f t="shared" si="636"/>
        <v>-13.302280000005339</v>
      </c>
      <c r="U233">
        <f t="shared" si="591"/>
        <v>-8.1457520958581782E-3</v>
      </c>
      <c r="V233">
        <f>STDEV(U231:U236)</f>
        <v>1.9923212108973187E-3</v>
      </c>
    </row>
    <row r="234" spans="1:22">
      <c r="A234">
        <v>400</v>
      </c>
      <c r="B234">
        <v>401.41854999999998</v>
      </c>
      <c r="C234">
        <v>-102300.64509000001</v>
      </c>
      <c r="D234">
        <v>-101055.39891</v>
      </c>
      <c r="E234">
        <v>279831.82497999998</v>
      </c>
      <c r="F234">
        <v>-141.30811</v>
      </c>
      <c r="G234">
        <v>4.8759999999999998E-2</v>
      </c>
      <c r="H234">
        <f>2*20.2048</f>
        <v>40.409599999999998</v>
      </c>
      <c r="I234">
        <f>2*20.2048</f>
        <v>40.409599999999998</v>
      </c>
      <c r="K234">
        <f t="shared" si="620"/>
        <v>2.8573902185035909</v>
      </c>
      <c r="L234">
        <f t="shared" si="621"/>
        <v>2.8573902185035909</v>
      </c>
      <c r="M234">
        <f t="shared" si="622"/>
        <v>0</v>
      </c>
      <c r="O234">
        <f t="shared" ref="O234:O236" si="641">C234/24000</f>
        <v>-4.2625268787500001</v>
      </c>
      <c r="P234">
        <f t="shared" ref="P234:P236" si="642">C234-12000*$H$6-6000*$R$6-6000*$R$14</f>
        <v>-7322.1272400000016</v>
      </c>
      <c r="Q234">
        <f t="shared" ref="Q234:Q236" si="643">P234/24000</f>
        <v>-0.30508863500000005</v>
      </c>
      <c r="R234">
        <f t="shared" ref="R234:R236" si="644">Q234/(H234*I234)</f>
        <v>-1.868344366027561E-4</v>
      </c>
      <c r="S234">
        <f t="shared" ref="S234:S236" si="645">P234/(H234*I234)</f>
        <v>-4.4840264784661468</v>
      </c>
      <c r="T234">
        <f t="shared" si="636"/>
        <v>-14.988750000005894</v>
      </c>
      <c r="U234">
        <f t="shared" ref="U234:U236" si="646">T234/(H234*I234)</f>
        <v>-9.1790199318000192E-3</v>
      </c>
    </row>
    <row r="235" spans="1:22">
      <c r="A235">
        <v>400</v>
      </c>
      <c r="B235">
        <v>400.50488000000001</v>
      </c>
      <c r="C235">
        <v>-102303.65312</v>
      </c>
      <c r="D235">
        <v>-101061.24124</v>
      </c>
      <c r="E235">
        <v>279825.25508999999</v>
      </c>
      <c r="F235">
        <v>-173.53709000000001</v>
      </c>
      <c r="G235">
        <v>4.9160000000000002E-2</v>
      </c>
      <c r="H235">
        <f>2*20.2062</f>
        <v>40.412399999999998</v>
      </c>
      <c r="I235">
        <f>2*20.2062</f>
        <v>40.412399999999998</v>
      </c>
      <c r="K235">
        <f t="shared" si="620"/>
        <v>2.8575882084023232</v>
      </c>
      <c r="L235">
        <f t="shared" si="621"/>
        <v>2.8575882084023232</v>
      </c>
      <c r="M235">
        <f t="shared" si="622"/>
        <v>0</v>
      </c>
      <c r="O235">
        <f t="shared" si="641"/>
        <v>-4.2626522133333333</v>
      </c>
      <c r="P235">
        <f t="shared" si="642"/>
        <v>-7325.1352699999989</v>
      </c>
      <c r="Q235">
        <f t="shared" si="643"/>
        <v>-0.3052139695833333</v>
      </c>
      <c r="R235">
        <f t="shared" si="644"/>
        <v>-1.8688529110931693E-4</v>
      </c>
      <c r="S235">
        <f t="shared" si="645"/>
        <v>-4.485246986623606</v>
      </c>
      <c r="T235">
        <f t="shared" si="636"/>
        <v>-17.996780000003127</v>
      </c>
      <c r="U235">
        <f t="shared" si="646"/>
        <v>-1.1019592169789654E-2</v>
      </c>
    </row>
    <row r="236" spans="1:22">
      <c r="A236">
        <v>400</v>
      </c>
      <c r="B236">
        <v>400.61304999999999</v>
      </c>
      <c r="C236">
        <v>-102303.33844000001</v>
      </c>
      <c r="D236">
        <v>-101060.59099</v>
      </c>
      <c r="E236">
        <v>279818.45441000001</v>
      </c>
      <c r="F236">
        <v>-111.29585</v>
      </c>
      <c r="G236">
        <v>4.8919999999999998E-2</v>
      </c>
      <c r="H236">
        <f>2*20.2036</f>
        <v>40.407200000000003</v>
      </c>
      <c r="I236">
        <f>2*20.2036</f>
        <v>40.407200000000003</v>
      </c>
      <c r="K236">
        <f t="shared" si="620"/>
        <v>2.8572205128761063</v>
      </c>
      <c r="L236">
        <f t="shared" si="621"/>
        <v>2.8572205128761063</v>
      </c>
      <c r="M236">
        <f t="shared" si="622"/>
        <v>0</v>
      </c>
      <c r="O236">
        <f t="shared" si="641"/>
        <v>-4.2626391016666672</v>
      </c>
      <c r="P236">
        <f t="shared" si="642"/>
        <v>-7324.820590000003</v>
      </c>
      <c r="Q236">
        <f t="shared" si="643"/>
        <v>-0.30520085791666679</v>
      </c>
      <c r="R236">
        <f t="shared" si="644"/>
        <v>-1.8692536425751483E-4</v>
      </c>
      <c r="S236">
        <f t="shared" si="645"/>
        <v>-4.4862087421803558</v>
      </c>
      <c r="T236">
        <f t="shared" si="636"/>
        <v>-17.682100000007267</v>
      </c>
      <c r="U236">
        <f t="shared" si="646"/>
        <v>-1.0829697550331379E-2</v>
      </c>
    </row>
    <row r="237" spans="1:22">
      <c r="C237" t="s">
        <v>19</v>
      </c>
    </row>
    <row r="238" spans="1:22">
      <c r="A238">
        <v>100</v>
      </c>
      <c r="B238">
        <v>101.18152000000001</v>
      </c>
      <c r="C238">
        <v>-172137.02053000001</v>
      </c>
      <c r="D238">
        <v>-171613.88409000001</v>
      </c>
      <c r="E238">
        <v>461506.95000999997</v>
      </c>
      <c r="F238">
        <v>-5.0790499999999996</v>
      </c>
      <c r="G238">
        <v>0.15970999999999999</v>
      </c>
      <c r="H238">
        <f>2*20.1314</f>
        <v>40.262799999999999</v>
      </c>
      <c r="I238">
        <f>2*20.1314</f>
        <v>40.262799999999999</v>
      </c>
      <c r="J238">
        <f>2*142.351</f>
        <v>284.702</v>
      </c>
      <c r="K238">
        <f t="shared" ref="K238" si="647">H238/10/SQRT(2)</f>
        <v>2.8470098909557722</v>
      </c>
      <c r="L238">
        <f t="shared" ref="L238" si="648">I238/10/SQRT(2)</f>
        <v>2.8470098909557722</v>
      </c>
      <c r="M238">
        <f>J238/100</f>
        <v>2.8470200000000001</v>
      </c>
      <c r="O238">
        <f>C238/40000</f>
        <v>-4.3034255132500006</v>
      </c>
      <c r="P238">
        <f>C238-20000*$H$3-10000*$R$3-10000*$R$11</f>
        <v>-12117.829130000006</v>
      </c>
      <c r="Q238">
        <f>P238/40000</f>
        <v>-0.30294572825000016</v>
      </c>
      <c r="R238">
        <f t="shared" ref="R238" si="649">Q238/(H238*I238)</f>
        <v>-1.8687744399596085E-4</v>
      </c>
      <c r="S238">
        <f t="shared" ref="S238:S258" si="650">P238/(H238*I238)</f>
        <v>-7.4750977598384338</v>
      </c>
      <c r="T238">
        <f t="shared" ref="T238:T243" si="651">P238-20000*$I$11</f>
        <v>1.0842699999884644</v>
      </c>
      <c r="U238">
        <f t="shared" ref="U238:U258" si="652">T238/(H238*I238)</f>
        <v>6.688511746636409E-4</v>
      </c>
    </row>
    <row r="239" spans="1:22">
      <c r="A239">
        <v>100</v>
      </c>
      <c r="B239">
        <v>101.46296</v>
      </c>
      <c r="C239">
        <v>-172135.50847</v>
      </c>
      <c r="D239">
        <v>-171610.91691999999</v>
      </c>
      <c r="E239">
        <v>461508.35317999998</v>
      </c>
      <c r="F239">
        <v>-2.2946200000000001</v>
      </c>
      <c r="G239">
        <v>0.15883</v>
      </c>
      <c r="H239">
        <f>2*20.1313</f>
        <v>40.262599999999999</v>
      </c>
      <c r="I239">
        <f>2*20.1313</f>
        <v>40.262599999999999</v>
      </c>
      <c r="J239">
        <f>2*142.349</f>
        <v>284.69799999999998</v>
      </c>
      <c r="K239">
        <f t="shared" ref="K239:K258" si="653">H239/10/SQRT(2)</f>
        <v>2.8469957488201483</v>
      </c>
      <c r="L239">
        <f t="shared" ref="L239:L258" si="654">I239/10/SQRT(2)</f>
        <v>2.8469957488201483</v>
      </c>
      <c r="M239">
        <f t="shared" ref="M239:M258" si="655">J239/100</f>
        <v>2.8469799999999998</v>
      </c>
      <c r="O239">
        <f t="shared" ref="O239:O240" si="656">C239/40000</f>
        <v>-4.3033877117500001</v>
      </c>
      <c r="P239">
        <f t="shared" ref="P239:P240" si="657">C239-20000*$H$3-10000*$R$3-10000*$R$11</f>
        <v>-12116.317069999997</v>
      </c>
      <c r="Q239">
        <f t="shared" ref="Q239:Q243" si="658">P239/40000</f>
        <v>-0.30290792674999995</v>
      </c>
      <c r="R239">
        <f t="shared" ref="R239:R240" si="659">Q239/(H239*I239)</f>
        <v>-1.8685598182932743E-4</v>
      </c>
      <c r="S239">
        <f t="shared" si="650"/>
        <v>-7.4742392731730973</v>
      </c>
      <c r="T239">
        <f t="shared" si="651"/>
        <v>2.5963299999966694</v>
      </c>
      <c r="U239">
        <f>T239/(H239*I239)</f>
        <v>1.6016081074785391E-3</v>
      </c>
      <c r="V239">
        <f>AVERAGE(U238:U243)</f>
        <v>5.229306273493063E-4</v>
      </c>
    </row>
    <row r="240" spans="1:22">
      <c r="A240">
        <v>100</v>
      </c>
      <c r="B240">
        <v>100.98378</v>
      </c>
      <c r="C240">
        <v>-172138.04986</v>
      </c>
      <c r="D240">
        <v>-171615.93580000001</v>
      </c>
      <c r="E240">
        <v>461505.53272000002</v>
      </c>
      <c r="F240">
        <v>-1.9733799999999999</v>
      </c>
      <c r="G240">
        <v>0.15903</v>
      </c>
      <c r="H240">
        <f>2*20.1311</f>
        <v>40.2622</v>
      </c>
      <c r="I240">
        <f>2*20.1311</f>
        <v>40.2622</v>
      </c>
      <c r="J240">
        <f>2*142.349</f>
        <v>284.69799999999998</v>
      </c>
      <c r="K240">
        <f t="shared" si="653"/>
        <v>2.8469674645489014</v>
      </c>
      <c r="L240">
        <f t="shared" si="654"/>
        <v>2.8469674645489014</v>
      </c>
      <c r="M240">
        <f t="shared" si="655"/>
        <v>2.8469799999999998</v>
      </c>
      <c r="O240">
        <f t="shared" si="656"/>
        <v>-4.3034512464999999</v>
      </c>
      <c r="P240">
        <f t="shared" si="657"/>
        <v>-12118.858459999996</v>
      </c>
      <c r="Q240">
        <f t="shared" si="658"/>
        <v>-0.30297146149999987</v>
      </c>
      <c r="R240">
        <f t="shared" si="659"/>
        <v>-1.8689888833531745E-4</v>
      </c>
      <c r="S240">
        <f t="shared" si="650"/>
        <v>-7.4759555334126979</v>
      </c>
      <c r="T240">
        <f t="shared" si="651"/>
        <v>5.4939999998168787E-2</v>
      </c>
      <c r="U240">
        <f t="shared" si="652"/>
        <v>3.3891723246679761E-5</v>
      </c>
      <c r="V240">
        <f>STDEV(U238:U243)</f>
        <v>1.0824320785476689E-3</v>
      </c>
    </row>
    <row r="241" spans="1:22">
      <c r="A241">
        <v>100</v>
      </c>
      <c r="B241">
        <v>101.24185</v>
      </c>
      <c r="C241">
        <v>-172136.70105999999</v>
      </c>
      <c r="D241">
        <v>-171613.25268999999</v>
      </c>
      <c r="E241">
        <v>461508.09239000001</v>
      </c>
      <c r="F241">
        <v>-0.82762000000000002</v>
      </c>
      <c r="G241">
        <v>0.15909999999999999</v>
      </c>
      <c r="H241">
        <f>2*20.1309</f>
        <v>40.261800000000001</v>
      </c>
      <c r="I241">
        <f>2*20.1309</f>
        <v>40.261800000000001</v>
      </c>
      <c r="J241">
        <f>2*142.347</f>
        <v>284.69400000000002</v>
      </c>
      <c r="K241">
        <f t="shared" ref="K241:K243" si="660">H241/10/SQRT(2)</f>
        <v>2.8469391802776536</v>
      </c>
      <c r="L241">
        <f t="shared" ref="L241:L243" si="661">I241/10/SQRT(2)</f>
        <v>2.8469391802776536</v>
      </c>
      <c r="M241">
        <f t="shared" ref="M241:M243" si="662">J241/100</f>
        <v>2.84694</v>
      </c>
      <c r="O241">
        <f t="shared" ref="O241:O243" si="663">C241/40000</f>
        <v>-4.3034175264999996</v>
      </c>
      <c r="P241">
        <f t="shared" ref="P241:P243" si="664">C241-20000*$H$3-10000*$R$3-10000*$R$11</f>
        <v>-12117.509659999989</v>
      </c>
      <c r="Q241">
        <f t="shared" si="658"/>
        <v>-0.30293774149999975</v>
      </c>
      <c r="R241">
        <f t="shared" ref="R241:R243" si="665">Q241/(H241*I241)</f>
        <v>-1.8688180021237216E-4</v>
      </c>
      <c r="S241">
        <f t="shared" ref="S241:S243" si="666">P241/(H241*I241)</f>
        <v>-7.4752720084948852</v>
      </c>
      <c r="T241">
        <f t="shared" si="651"/>
        <v>1.4037400000052003</v>
      </c>
      <c r="U241">
        <f t="shared" ref="U241:U243" si="667">T241/(H241*I241)</f>
        <v>8.659649237897528E-4</v>
      </c>
    </row>
    <row r="242" spans="1:22">
      <c r="A242">
        <v>100</v>
      </c>
      <c r="B242">
        <v>101.38482</v>
      </c>
      <c r="C242">
        <v>-172135.91604000001</v>
      </c>
      <c r="D242">
        <v>-171611.7285</v>
      </c>
      <c r="E242">
        <v>461508.78075999999</v>
      </c>
      <c r="F242">
        <v>-4.9095700000000004</v>
      </c>
      <c r="G242">
        <v>0.15926999999999999</v>
      </c>
      <c r="H242">
        <f>2*20.1313</f>
        <v>40.262599999999999</v>
      </c>
      <c r="I242">
        <f>2*20.1313</f>
        <v>40.262599999999999</v>
      </c>
      <c r="K242">
        <f t="shared" si="660"/>
        <v>2.8469957488201483</v>
      </c>
      <c r="L242">
        <f t="shared" si="661"/>
        <v>2.8469957488201483</v>
      </c>
      <c r="M242">
        <f t="shared" si="662"/>
        <v>0</v>
      </c>
      <c r="O242">
        <f t="shared" si="663"/>
        <v>-4.3033979010000003</v>
      </c>
      <c r="P242">
        <f t="shared" si="664"/>
        <v>-12116.724640000008</v>
      </c>
      <c r="Q242">
        <f t="shared" si="658"/>
        <v>-0.30291811600000018</v>
      </c>
      <c r="R242">
        <f t="shared" si="665"/>
        <v>-1.8686226731129987E-4</v>
      </c>
      <c r="S242">
        <f t="shared" si="666"/>
        <v>-7.4744906924519956</v>
      </c>
      <c r="T242">
        <f t="shared" si="651"/>
        <v>2.1887599999863596</v>
      </c>
      <c r="U242">
        <f t="shared" si="667"/>
        <v>1.3501888285801025E-3</v>
      </c>
    </row>
    <row r="243" spans="1:22">
      <c r="A243">
        <v>100</v>
      </c>
      <c r="B243">
        <v>100.55139</v>
      </c>
      <c r="C243">
        <v>-172140.34651</v>
      </c>
      <c r="D243">
        <v>-171620.46802</v>
      </c>
      <c r="E243">
        <v>461498.70741999999</v>
      </c>
      <c r="F243">
        <v>-5.0125799999999998</v>
      </c>
      <c r="G243">
        <v>0.15967000000000001</v>
      </c>
      <c r="H243">
        <f>2*20.1308</f>
        <v>40.261600000000001</v>
      </c>
      <c r="I243">
        <f>2*20.1308</f>
        <v>40.261600000000001</v>
      </c>
      <c r="K243">
        <f t="shared" si="660"/>
        <v>2.8469250381420301</v>
      </c>
      <c r="L243">
        <f t="shared" si="661"/>
        <v>2.8469250381420301</v>
      </c>
      <c r="M243">
        <f t="shared" si="662"/>
        <v>0</v>
      </c>
      <c r="O243">
        <f t="shared" si="663"/>
        <v>-4.3035086627499997</v>
      </c>
      <c r="P243">
        <f t="shared" si="664"/>
        <v>-12121.15511</v>
      </c>
      <c r="Q243">
        <f t="shared" si="658"/>
        <v>-0.30302887774999998</v>
      </c>
      <c r="R243">
        <f t="shared" si="665"/>
        <v>-1.8693987925535042E-4</v>
      </c>
      <c r="S243">
        <f t="shared" si="666"/>
        <v>-7.477595170214018</v>
      </c>
      <c r="T243">
        <f t="shared" si="651"/>
        <v>-2.2417100000056962</v>
      </c>
      <c r="U243">
        <f t="shared" si="667"/>
        <v>-1.382920993662877E-3</v>
      </c>
    </row>
    <row r="244" spans="1:22">
      <c r="A244">
        <v>200</v>
      </c>
      <c r="B244">
        <v>201.38480000000001</v>
      </c>
      <c r="C244">
        <v>-171598.46517000001</v>
      </c>
      <c r="D244">
        <v>-170557.25005999999</v>
      </c>
      <c r="E244">
        <v>462821.26042000001</v>
      </c>
      <c r="F244">
        <v>7.7061099999999998</v>
      </c>
      <c r="G244">
        <v>0.11337</v>
      </c>
      <c r="H244">
        <f>2*20.1503</f>
        <v>40.300600000000003</v>
      </c>
      <c r="I244">
        <f>2*20.1503</f>
        <v>40.300600000000003</v>
      </c>
      <c r="J244">
        <f>2*142.484</f>
        <v>284.96800000000002</v>
      </c>
      <c r="K244">
        <f t="shared" si="653"/>
        <v>2.8496827545886578</v>
      </c>
      <c r="L244">
        <f t="shared" si="654"/>
        <v>2.8496827545886578</v>
      </c>
      <c r="M244">
        <f t="shared" si="655"/>
        <v>2.8496800000000002</v>
      </c>
      <c r="O244">
        <f t="shared" ref="O244:O250" si="668">C244/40000</f>
        <v>-4.2899616292500005</v>
      </c>
      <c r="P244">
        <f>C244-20000*$H$4-10000*$R$4-10000*$R$12</f>
        <v>-12119.851120000007</v>
      </c>
      <c r="Q244">
        <f t="shared" ref="Q244:Q258" si="669">P244/40000</f>
        <v>-0.30299627800000017</v>
      </c>
      <c r="R244">
        <f t="shared" ref="R244:R250" si="670">Q244/(H244*I244)</f>
        <v>-1.8655816856196858E-4</v>
      </c>
      <c r="S244">
        <f t="shared" si="650"/>
        <v>-7.4623267424787425</v>
      </c>
      <c r="T244">
        <f t="shared" ref="T244:T249" si="671">P244-20000*$I$12</f>
        <v>-6.2729699999945296</v>
      </c>
      <c r="U244">
        <f t="shared" si="652"/>
        <v>-3.8623371955847944E-3</v>
      </c>
    </row>
    <row r="245" spans="1:22">
      <c r="A245">
        <v>200</v>
      </c>
      <c r="B245">
        <v>201.93153000000001</v>
      </c>
      <c r="C245">
        <v>-171595.33356999999</v>
      </c>
      <c r="D245">
        <v>-170551.29173</v>
      </c>
      <c r="E245">
        <v>462825.73097999999</v>
      </c>
      <c r="F245">
        <v>10.65963</v>
      </c>
      <c r="G245">
        <v>0.11428000000000001</v>
      </c>
      <c r="H245">
        <f>2*20.1507</f>
        <v>40.301400000000001</v>
      </c>
      <c r="I245">
        <f>2*20.1507</f>
        <v>40.301400000000001</v>
      </c>
      <c r="J245">
        <f>2*142.487</f>
        <v>284.97399999999999</v>
      </c>
      <c r="K245">
        <f t="shared" si="653"/>
        <v>2.8497393231311525</v>
      </c>
      <c r="L245">
        <f t="shared" si="654"/>
        <v>2.8497393231311525</v>
      </c>
      <c r="M245">
        <f t="shared" si="655"/>
        <v>2.8497399999999997</v>
      </c>
      <c r="O245">
        <f t="shared" ref="O245:O246" si="672">C245/40000</f>
        <v>-4.2898833392499993</v>
      </c>
      <c r="P245">
        <f t="shared" ref="P245:P246" si="673">C245-20000*$H$4-10000*$R$4-10000*$R$12</f>
        <v>-12116.719519999984</v>
      </c>
      <c r="Q245">
        <f t="shared" si="669"/>
        <v>-0.30291798799999958</v>
      </c>
      <c r="R245">
        <f t="shared" ref="R245:R246" si="674">Q245/(H245*I245)</f>
        <v>-1.8650256000934866E-4</v>
      </c>
      <c r="S245">
        <f t="shared" si="650"/>
        <v>-7.4601024003739473</v>
      </c>
      <c r="T245">
        <f t="shared" si="671"/>
        <v>-3.1413699999720848</v>
      </c>
      <c r="U245">
        <f t="shared" si="652"/>
        <v>-1.9340995587603144E-3</v>
      </c>
      <c r="V245">
        <f>AVERAGE(U244:U249)</f>
        <v>-3.4726713105279173E-3</v>
      </c>
    </row>
    <row r="246" spans="1:22">
      <c r="A246">
        <v>200</v>
      </c>
      <c r="B246">
        <v>201.51334</v>
      </c>
      <c r="C246">
        <v>-171597.63206</v>
      </c>
      <c r="D246">
        <v>-170555.75236000001</v>
      </c>
      <c r="E246">
        <v>462819.11135999998</v>
      </c>
      <c r="F246">
        <v>15.73263</v>
      </c>
      <c r="G246">
        <v>0.11403000000000001</v>
      </c>
      <c r="H246">
        <f>2*20.1507</f>
        <v>40.301400000000001</v>
      </c>
      <c r="I246">
        <f>2*20.1507</f>
        <v>40.301400000000001</v>
      </c>
      <c r="J246">
        <f>2*142.487</f>
        <v>284.97399999999999</v>
      </c>
      <c r="K246">
        <f t="shared" si="653"/>
        <v>2.8497393231311525</v>
      </c>
      <c r="L246">
        <f t="shared" si="654"/>
        <v>2.8497393231311525</v>
      </c>
      <c r="M246">
        <f t="shared" si="655"/>
        <v>2.8497399999999997</v>
      </c>
      <c r="O246">
        <f t="shared" si="672"/>
        <v>-4.2899408015000002</v>
      </c>
      <c r="P246">
        <f t="shared" si="673"/>
        <v>-12119.01801</v>
      </c>
      <c r="Q246">
        <f t="shared" si="669"/>
        <v>-0.30297545025</v>
      </c>
      <c r="R246">
        <f t="shared" si="674"/>
        <v>-1.8653793874931631E-4</v>
      </c>
      <c r="S246">
        <f t="shared" si="650"/>
        <v>-7.4615175499726529</v>
      </c>
      <c r="T246">
        <f t="shared" si="671"/>
        <v>-5.4398599999876751</v>
      </c>
      <c r="U246">
        <f t="shared" si="652"/>
        <v>-3.3492491574655457E-3</v>
      </c>
      <c r="V246">
        <f>STDEV(U244:U249)</f>
        <v>1.1225051654214402E-3</v>
      </c>
    </row>
    <row r="247" spans="1:22">
      <c r="A247">
        <v>200</v>
      </c>
      <c r="B247">
        <v>200.94578000000001</v>
      </c>
      <c r="C247">
        <v>-171600.77862999999</v>
      </c>
      <c r="D247">
        <v>-170561.83335999999</v>
      </c>
      <c r="E247">
        <v>462805.22571000003</v>
      </c>
      <c r="F247">
        <v>19.096990000000002</v>
      </c>
      <c r="G247">
        <v>0.11462</v>
      </c>
      <c r="H247">
        <f>2*20.1508</f>
        <v>40.301600000000001</v>
      </c>
      <c r="I247">
        <f>2*20.1508</f>
        <v>40.301600000000001</v>
      </c>
      <c r="K247">
        <f t="shared" ref="K247:K249" si="675">H247/10/SQRT(2)</f>
        <v>2.8497534652667764</v>
      </c>
      <c r="L247">
        <f t="shared" ref="L247:L249" si="676">I247/10/SQRT(2)</f>
        <v>2.8497534652667764</v>
      </c>
      <c r="M247">
        <f t="shared" ref="M247:M249" si="677">J247/100</f>
        <v>0</v>
      </c>
      <c r="O247">
        <f t="shared" ref="O247:O249" si="678">C247/40000</f>
        <v>-4.2900194657499995</v>
      </c>
      <c r="P247">
        <f t="shared" ref="P247:P249" si="679">C247-20000*$H$4-10000*$R$4-10000*$R$12</f>
        <v>-12122.164579999982</v>
      </c>
      <c r="Q247">
        <f t="shared" ref="Q247:Q249" si="680">P247/40000</f>
        <v>-0.30305411449999958</v>
      </c>
      <c r="R247">
        <f t="shared" ref="R247:R249" si="681">Q247/(H247*I247)</f>
        <v>-1.8658451938176069E-4</v>
      </c>
      <c r="S247">
        <f t="shared" ref="S247:S249" si="682">P247/(H247*I247)</f>
        <v>-7.4633807752704273</v>
      </c>
      <c r="T247">
        <f t="shared" si="671"/>
        <v>-8.586429999970278</v>
      </c>
      <c r="U247">
        <f t="shared" ref="U247:U249" si="683">T247/(H247*I247)</f>
        <v>-5.2864978170411477E-3</v>
      </c>
    </row>
    <row r="248" spans="1:22">
      <c r="A248">
        <v>200</v>
      </c>
      <c r="B248">
        <v>201.68734000000001</v>
      </c>
      <c r="C248">
        <v>-171596.73378000001</v>
      </c>
      <c r="D248">
        <v>-170553.95443000001</v>
      </c>
      <c r="E248">
        <v>462824.29631000001</v>
      </c>
      <c r="F248">
        <v>17.428470000000001</v>
      </c>
      <c r="G248">
        <v>0.11455</v>
      </c>
      <c r="H248">
        <f>2*20.1507</f>
        <v>40.301400000000001</v>
      </c>
      <c r="I248">
        <f>2*20.1507</f>
        <v>40.301400000000001</v>
      </c>
      <c r="K248">
        <f t="shared" si="675"/>
        <v>2.8497393231311525</v>
      </c>
      <c r="L248">
        <f t="shared" si="676"/>
        <v>2.8497393231311525</v>
      </c>
      <c r="M248">
        <f t="shared" si="677"/>
        <v>0</v>
      </c>
      <c r="O248">
        <f t="shared" si="678"/>
        <v>-4.2899183445000002</v>
      </c>
      <c r="P248">
        <f t="shared" si="679"/>
        <v>-12118.119730000006</v>
      </c>
      <c r="Q248">
        <f t="shared" si="680"/>
        <v>-0.30295299325000014</v>
      </c>
      <c r="R248">
        <f t="shared" si="681"/>
        <v>-1.8652411227430981E-4</v>
      </c>
      <c r="S248">
        <f t="shared" si="682"/>
        <v>-7.4609644909723931</v>
      </c>
      <c r="T248">
        <f t="shared" si="671"/>
        <v>-4.5415799999937008</v>
      </c>
      <c r="U248">
        <f t="shared" si="683"/>
        <v>-2.7961901572054683E-3</v>
      </c>
    </row>
    <row r="249" spans="1:22">
      <c r="A249">
        <v>200</v>
      </c>
      <c r="B249">
        <v>201.44704999999999</v>
      </c>
      <c r="C249">
        <v>-171598.05181999999</v>
      </c>
      <c r="D249">
        <v>-170556.51488</v>
      </c>
      <c r="E249">
        <v>462818.52370000002</v>
      </c>
      <c r="F249">
        <v>11.55733</v>
      </c>
      <c r="G249">
        <v>0.11434</v>
      </c>
      <c r="H249">
        <f>2*20.1508</f>
        <v>40.301600000000001</v>
      </c>
      <c r="I249">
        <f>2*20.1508</f>
        <v>40.301600000000001</v>
      </c>
      <c r="K249">
        <f t="shared" si="675"/>
        <v>2.8497534652667764</v>
      </c>
      <c r="L249">
        <f t="shared" si="676"/>
        <v>2.8497534652667764</v>
      </c>
      <c r="M249">
        <f t="shared" si="677"/>
        <v>0</v>
      </c>
      <c r="O249">
        <f t="shared" si="678"/>
        <v>-4.2899512954999999</v>
      </c>
      <c r="P249">
        <f t="shared" si="679"/>
        <v>-12119.43776999999</v>
      </c>
      <c r="Q249">
        <f t="shared" si="680"/>
        <v>-0.30298594424999975</v>
      </c>
      <c r="R249">
        <f t="shared" si="681"/>
        <v>-1.865425482857624E-4</v>
      </c>
      <c r="S249">
        <f t="shared" si="682"/>
        <v>-7.461701931430496</v>
      </c>
      <c r="T249">
        <f t="shared" si="671"/>
        <v>-5.8596199999774399</v>
      </c>
      <c r="U249">
        <f t="shared" si="683"/>
        <v>-3.6076539771102323E-3</v>
      </c>
    </row>
    <row r="250" spans="1:22">
      <c r="A250">
        <v>300</v>
      </c>
      <c r="B250">
        <v>301.67646000000002</v>
      </c>
      <c r="C250">
        <v>-171049.41451999999</v>
      </c>
      <c r="D250">
        <v>-169489.66380000001</v>
      </c>
      <c r="E250">
        <v>464302.44965999998</v>
      </c>
      <c r="F250">
        <v>70.405990000000003</v>
      </c>
      <c r="G250">
        <v>8.8289999999999993E-2</v>
      </c>
      <c r="H250">
        <f>2*20.1719</f>
        <v>40.343800000000002</v>
      </c>
      <c r="I250">
        <f>2*20.1719</f>
        <v>40.343800000000002</v>
      </c>
      <c r="J250">
        <f>2*142.637</f>
        <v>285.274</v>
      </c>
      <c r="K250">
        <f t="shared" si="653"/>
        <v>2.8527374558833838</v>
      </c>
      <c r="L250">
        <f t="shared" si="654"/>
        <v>2.8527374558833838</v>
      </c>
      <c r="M250">
        <f t="shared" si="655"/>
        <v>2.8527399999999998</v>
      </c>
      <c r="O250">
        <f t="shared" si="668"/>
        <v>-4.2762353629999996</v>
      </c>
      <c r="P250">
        <f>C250-20000*$H$5-10000*$R$5-10000*$R$13</f>
        <v>-12128.420969999985</v>
      </c>
      <c r="Q250">
        <f t="shared" si="669"/>
        <v>-0.30321052424999961</v>
      </c>
      <c r="R250">
        <f t="shared" si="670"/>
        <v>-1.8629048223882221E-4</v>
      </c>
      <c r="S250">
        <f t="shared" si="650"/>
        <v>-7.4516192895528883</v>
      </c>
      <c r="T250">
        <f t="shared" ref="T250:T255" si="684">P250-20000*$I$13</f>
        <v>0.2660800000121526</v>
      </c>
      <c r="U250">
        <f t="shared" si="652"/>
        <v>1.6347774088309796E-4</v>
      </c>
    </row>
    <row r="251" spans="1:22">
      <c r="A251">
        <v>300</v>
      </c>
      <c r="B251">
        <v>302.24394000000001</v>
      </c>
      <c r="C251">
        <v>-171046.20686000001</v>
      </c>
      <c r="D251">
        <v>-169483.52210999999</v>
      </c>
      <c r="E251">
        <v>464304.07416000002</v>
      </c>
      <c r="F251">
        <v>84.659689999999998</v>
      </c>
      <c r="G251">
        <v>8.7929999999999994E-2</v>
      </c>
      <c r="H251">
        <f>2*20.1718</f>
        <v>40.343600000000002</v>
      </c>
      <c r="I251">
        <f>2*20.1718</f>
        <v>40.343600000000002</v>
      </c>
      <c r="J251">
        <f>2*142.636</f>
        <v>285.27199999999999</v>
      </c>
      <c r="K251">
        <f t="shared" si="653"/>
        <v>2.8527233137477599</v>
      </c>
      <c r="L251">
        <f t="shared" si="654"/>
        <v>2.8527233137477599</v>
      </c>
      <c r="M251">
        <f t="shared" si="655"/>
        <v>2.8527199999999997</v>
      </c>
      <c r="O251">
        <f t="shared" ref="O251:O252" si="685">C251/40000</f>
        <v>-4.2761551715000001</v>
      </c>
      <c r="P251">
        <f t="shared" ref="P251:P252" si="686">C251-20000*$H$5-10000*$R$5-10000*$R$13</f>
        <v>-12125.213309999999</v>
      </c>
      <c r="Q251">
        <f t="shared" si="669"/>
        <v>-0.30313033274999995</v>
      </c>
      <c r="R251">
        <f t="shared" ref="R251:R252" si="687">Q251/(H251*I251)</f>
        <v>-1.8624305968190276E-4</v>
      </c>
      <c r="S251">
        <f t="shared" si="650"/>
        <v>-7.4497223872761102</v>
      </c>
      <c r="T251">
        <f t="shared" si="684"/>
        <v>3.4737399999976333</v>
      </c>
      <c r="U251">
        <f t="shared" si="652"/>
        <v>2.1342633720279587E-3</v>
      </c>
      <c r="V251">
        <f>AVERAGE(U250:U252)</f>
        <v>1.7278971547390581E-3</v>
      </c>
    </row>
    <row r="252" spans="1:22">
      <c r="A252">
        <v>300</v>
      </c>
      <c r="B252">
        <v>302.48982999999998</v>
      </c>
      <c r="C252">
        <v>-171044.98327</v>
      </c>
      <c r="D252">
        <v>-169481.02721</v>
      </c>
      <c r="E252">
        <v>464304.15033999999</v>
      </c>
      <c r="F252">
        <v>101.90002</v>
      </c>
      <c r="G252">
        <v>8.7849999999999998E-2</v>
      </c>
      <c r="H252">
        <f>2*20.1721</f>
        <v>40.344200000000001</v>
      </c>
      <c r="I252">
        <f>2*20.1721</f>
        <v>40.344200000000001</v>
      </c>
      <c r="J252">
        <f>2*142.638</f>
        <v>285.27600000000001</v>
      </c>
      <c r="K252">
        <f t="shared" si="653"/>
        <v>2.8527657401546307</v>
      </c>
      <c r="L252">
        <f t="shared" si="654"/>
        <v>2.8527657401546307</v>
      </c>
      <c r="M252">
        <f t="shared" si="655"/>
        <v>2.85276</v>
      </c>
      <c r="O252">
        <f t="shared" si="685"/>
        <v>-4.2761245817499995</v>
      </c>
      <c r="P252">
        <f t="shared" si="686"/>
        <v>-12123.98971999999</v>
      </c>
      <c r="Q252">
        <f t="shared" si="669"/>
        <v>-0.30309974299999975</v>
      </c>
      <c r="R252">
        <f t="shared" si="687"/>
        <v>-1.862187263382526E-4</v>
      </c>
      <c r="S252">
        <f t="shared" si="650"/>
        <v>-7.4487490535301042</v>
      </c>
      <c r="T252">
        <f t="shared" si="684"/>
        <v>4.6973300000063318</v>
      </c>
      <c r="U252">
        <f t="shared" si="652"/>
        <v>2.8859503513061174E-3</v>
      </c>
      <c r="V252">
        <f>STDEV(U250:U252)</f>
        <v>1.4059923205839888E-3</v>
      </c>
    </row>
    <row r="253" spans="1:22">
      <c r="A253">
        <v>300</v>
      </c>
      <c r="B253">
        <v>302.83384000000001</v>
      </c>
      <c r="C253">
        <v>-171043.06299000001</v>
      </c>
      <c r="D253">
        <v>-169477.32831000001</v>
      </c>
      <c r="E253">
        <v>464313.38176000002</v>
      </c>
      <c r="F253">
        <v>96.245040000000003</v>
      </c>
      <c r="G253">
        <v>8.8719999999999993E-2</v>
      </c>
      <c r="H253">
        <f>2*20.172</f>
        <v>40.344000000000001</v>
      </c>
      <c r="I253">
        <f>2*20.172</f>
        <v>40.344000000000001</v>
      </c>
      <c r="K253">
        <f t="shared" ref="K253:K255" si="688">H253/10/SQRT(2)</f>
        <v>2.8527515980190068</v>
      </c>
      <c r="L253">
        <f t="shared" ref="L253:L255" si="689">I253/10/SQRT(2)</f>
        <v>2.8527515980190068</v>
      </c>
      <c r="M253">
        <f t="shared" ref="M253:M255" si="690">J253/100</f>
        <v>0</v>
      </c>
      <c r="O253">
        <f t="shared" ref="O253:O255" si="691">C253/40000</f>
        <v>-4.2760765747500002</v>
      </c>
      <c r="P253">
        <f t="shared" ref="P253:P255" si="692">C253-20000*$H$5-10000*$R$5-10000*$R$13</f>
        <v>-12122.069439999999</v>
      </c>
      <c r="Q253">
        <f t="shared" ref="Q253:Q255" si="693">P253/40000</f>
        <v>-0.30305173599999996</v>
      </c>
      <c r="R253">
        <f t="shared" ref="R253:R255" si="694">Q253/(H253*I253)</f>
        <v>-1.8619107777023995E-4</v>
      </c>
      <c r="S253">
        <f t="shared" ref="S253:S255" si="695">P253/(H253*I253)</f>
        <v>-7.4476431108095982</v>
      </c>
      <c r="T253">
        <f t="shared" si="684"/>
        <v>6.6176099999975122</v>
      </c>
      <c r="U253">
        <f t="shared" ref="U253:U255" si="696">T253/(H253*I253)</f>
        <v>4.0657742286044993E-3</v>
      </c>
    </row>
    <row r="254" spans="1:22">
      <c r="A254">
        <v>300</v>
      </c>
      <c r="B254">
        <v>302.56254999999999</v>
      </c>
      <c r="C254">
        <v>-171044.41404999999</v>
      </c>
      <c r="D254">
        <v>-169480.08201000001</v>
      </c>
      <c r="E254">
        <v>464313.25571</v>
      </c>
      <c r="F254">
        <v>76.354020000000006</v>
      </c>
      <c r="G254">
        <v>8.9039999999999994E-2</v>
      </c>
      <c r="H254">
        <f>2*20.1718</f>
        <v>40.343600000000002</v>
      </c>
      <c r="I254">
        <f>2*20.1718</f>
        <v>40.343600000000002</v>
      </c>
      <c r="K254">
        <f t="shared" si="688"/>
        <v>2.8527233137477599</v>
      </c>
      <c r="L254">
        <f t="shared" si="689"/>
        <v>2.8527233137477599</v>
      </c>
      <c r="M254">
        <f t="shared" si="690"/>
        <v>0</v>
      </c>
      <c r="O254">
        <f t="shared" si="691"/>
        <v>-4.2761103512499998</v>
      </c>
      <c r="P254">
        <f t="shared" si="692"/>
        <v>-12123.420499999986</v>
      </c>
      <c r="Q254">
        <f t="shared" si="693"/>
        <v>-0.30308551249999965</v>
      </c>
      <c r="R254">
        <f t="shared" si="694"/>
        <v>-1.8621552215235222E-4</v>
      </c>
      <c r="S254">
        <f t="shared" si="695"/>
        <v>-7.4486208860940888</v>
      </c>
      <c r="T254">
        <f t="shared" si="684"/>
        <v>5.2665500000111933</v>
      </c>
      <c r="U254">
        <f t="shared" si="696"/>
        <v>3.2357645540499269E-3</v>
      </c>
    </row>
    <row r="255" spans="1:22">
      <c r="A255">
        <v>300</v>
      </c>
      <c r="B255">
        <v>302.37547999999998</v>
      </c>
      <c r="C255">
        <v>-171045.37125</v>
      </c>
      <c r="D255">
        <v>-169482.00639</v>
      </c>
      <c r="E255">
        <v>464305.57163999998</v>
      </c>
      <c r="F255">
        <v>74.600729999999999</v>
      </c>
      <c r="G255">
        <v>8.8910000000000003E-2</v>
      </c>
      <c r="H255">
        <f>2*20.1716</f>
        <v>40.343200000000003</v>
      </c>
      <c r="I255">
        <f>2*20.1716</f>
        <v>40.343200000000003</v>
      </c>
      <c r="K255">
        <f t="shared" si="688"/>
        <v>2.8526950294765121</v>
      </c>
      <c r="L255">
        <f t="shared" si="689"/>
        <v>2.8526950294765121</v>
      </c>
      <c r="M255">
        <f t="shared" si="690"/>
        <v>0</v>
      </c>
      <c r="O255">
        <f t="shared" si="691"/>
        <v>-4.2761342812500001</v>
      </c>
      <c r="P255">
        <f t="shared" si="692"/>
        <v>-12124.37769999999</v>
      </c>
      <c r="Q255">
        <f t="shared" si="693"/>
        <v>-0.30310944249999977</v>
      </c>
      <c r="R255">
        <f t="shared" si="694"/>
        <v>-1.8623391766479556E-4</v>
      </c>
      <c r="S255">
        <f t="shared" si="695"/>
        <v>-7.4493567065918214</v>
      </c>
      <c r="T255">
        <f t="shared" si="684"/>
        <v>4.3093500000068161</v>
      </c>
      <c r="U255">
        <f t="shared" si="696"/>
        <v>2.647714061530949E-3</v>
      </c>
    </row>
    <row r="256" spans="1:22">
      <c r="A256">
        <v>400</v>
      </c>
      <c r="B256">
        <v>403.41073999999998</v>
      </c>
      <c r="C256">
        <v>-170483.89856999999</v>
      </c>
      <c r="D256">
        <v>-168398.15349</v>
      </c>
      <c r="E256">
        <v>465994.83328999998</v>
      </c>
      <c r="F256">
        <v>-112.07469</v>
      </c>
      <c r="G256">
        <v>8.1909999999999997E-2</v>
      </c>
      <c r="H256">
        <f>2*20.1978</f>
        <v>40.395600000000002</v>
      </c>
      <c r="I256">
        <f>2*20.1978</f>
        <v>40.395600000000002</v>
      </c>
      <c r="J256">
        <f>2*142.82</f>
        <v>285.64</v>
      </c>
      <c r="K256">
        <f t="shared" si="653"/>
        <v>2.8564002690099297</v>
      </c>
      <c r="L256">
        <f t="shared" si="654"/>
        <v>2.8564002690099297</v>
      </c>
      <c r="M256">
        <f t="shared" si="655"/>
        <v>2.8563999999999998</v>
      </c>
      <c r="O256">
        <f t="shared" ref="O256" si="697">C256/40000</f>
        <v>-4.26209746425</v>
      </c>
      <c r="P256">
        <f>C256-20000*$H$6-10000*$R$6-10000*$R$14</f>
        <v>-12186.368819999981</v>
      </c>
      <c r="Q256">
        <f t="shared" si="669"/>
        <v>-0.30465922049999955</v>
      </c>
      <c r="R256">
        <f t="shared" ref="R256" si="698">Q256/(H256*I256)</f>
        <v>-1.8670080920814229E-4</v>
      </c>
      <c r="S256">
        <f t="shared" si="650"/>
        <v>-7.4680323683256917</v>
      </c>
      <c r="T256">
        <f t="shared" ref="T256:T261" si="699">P256-20000*$I$14</f>
        <v>-7.8046699999886187</v>
      </c>
      <c r="U256">
        <f t="shared" si="652"/>
        <v>-4.7828462313038358E-3</v>
      </c>
    </row>
    <row r="257" spans="1:22">
      <c r="A257">
        <v>400</v>
      </c>
      <c r="B257">
        <v>402.37148999999999</v>
      </c>
      <c r="C257">
        <v>-170489.96960000001</v>
      </c>
      <c r="D257">
        <v>-168409.59774</v>
      </c>
      <c r="E257">
        <v>465978.03375</v>
      </c>
      <c r="F257">
        <v>-95.19838</v>
      </c>
      <c r="G257">
        <v>8.233E-2</v>
      </c>
      <c r="H257">
        <f>2*20.1976</f>
        <v>40.395200000000003</v>
      </c>
      <c r="I257">
        <f>2*20.1976</f>
        <v>40.395200000000003</v>
      </c>
      <c r="J257">
        <f>2*142.818</f>
        <v>285.63600000000002</v>
      </c>
      <c r="K257">
        <f t="shared" si="653"/>
        <v>2.8563719847386824</v>
      </c>
      <c r="L257">
        <f t="shared" si="654"/>
        <v>2.8563719847386824</v>
      </c>
      <c r="M257">
        <f t="shared" si="655"/>
        <v>2.8563600000000005</v>
      </c>
      <c r="O257">
        <f t="shared" ref="O257:O258" si="700">C257/40000</f>
        <v>-4.2622492400000001</v>
      </c>
      <c r="P257">
        <f t="shared" ref="P257:P258" si="701">C257-20000*$H$6-10000*$R$6-10000*$R$14</f>
        <v>-12192.439850000002</v>
      </c>
      <c r="Q257">
        <f t="shared" si="669"/>
        <v>-0.30481099625000008</v>
      </c>
      <c r="R257">
        <f t="shared" ref="R257:R258" si="702">Q257/(H257*I257)</f>
        <v>-1.8679751954230251E-4</v>
      </c>
      <c r="S257">
        <f t="shared" si="650"/>
        <v>-7.4719007816921001</v>
      </c>
      <c r="T257">
        <f t="shared" si="699"/>
        <v>-13.875700000009601</v>
      </c>
      <c r="U257">
        <f t="shared" si="652"/>
        <v>-8.5034541857179468E-3</v>
      </c>
      <c r="V257">
        <f>AVERAGE(U256:U258)</f>
        <v>-8.7052262524318236E-3</v>
      </c>
    </row>
    <row r="258" spans="1:22">
      <c r="A258">
        <v>400</v>
      </c>
      <c r="B258">
        <v>401.09845999999999</v>
      </c>
      <c r="C258">
        <v>-170497.02872999999</v>
      </c>
      <c r="D258">
        <v>-168423.23879</v>
      </c>
      <c r="E258">
        <v>465945.97207999998</v>
      </c>
      <c r="F258">
        <v>-76.287639999999996</v>
      </c>
      <c r="G258">
        <v>8.1360000000000002E-2</v>
      </c>
      <c r="H258">
        <f>2*20.1977</f>
        <v>40.395400000000002</v>
      </c>
      <c r="I258">
        <f>2*20.1977</f>
        <v>40.395400000000002</v>
      </c>
      <c r="J258">
        <f>2*142.819</f>
        <v>285.63799999999998</v>
      </c>
      <c r="K258">
        <f t="shared" si="653"/>
        <v>2.8563861268743063</v>
      </c>
      <c r="L258">
        <f t="shared" si="654"/>
        <v>2.8563861268743063</v>
      </c>
      <c r="M258">
        <f t="shared" si="655"/>
        <v>2.8563799999999997</v>
      </c>
      <c r="O258">
        <f t="shared" si="700"/>
        <v>-4.2624257182499994</v>
      </c>
      <c r="P258">
        <f t="shared" si="701"/>
        <v>-12199.498979999982</v>
      </c>
      <c r="Q258">
        <f t="shared" si="669"/>
        <v>-0.30498747449999958</v>
      </c>
      <c r="R258">
        <f t="shared" si="702"/>
        <v>-1.8690382006479538E-4</v>
      </c>
      <c r="S258">
        <f t="shared" si="650"/>
        <v>-7.4761528025918143</v>
      </c>
      <c r="T258">
        <f t="shared" si="699"/>
        <v>-20.934829999989233</v>
      </c>
      <c r="U258">
        <f t="shared" si="652"/>
        <v>-1.2829378340273687E-2</v>
      </c>
      <c r="V258">
        <f>STDEV(U256:U258)</f>
        <v>4.0270589417526776E-3</v>
      </c>
    </row>
    <row r="259" spans="1:22">
      <c r="A259">
        <v>400</v>
      </c>
      <c r="B259">
        <v>401.1748</v>
      </c>
      <c r="C259">
        <v>-170496.47075000001</v>
      </c>
      <c r="D259">
        <v>-168422.2861</v>
      </c>
      <c r="E259">
        <v>465966.55287000001</v>
      </c>
      <c r="F259">
        <v>-126.97696999999999</v>
      </c>
      <c r="G259">
        <v>8.2299999999999998E-2</v>
      </c>
      <c r="H259">
        <f>2*20.1986</f>
        <v>40.397199999999998</v>
      </c>
      <c r="I259">
        <f>2*20.1986</f>
        <v>40.397199999999998</v>
      </c>
      <c r="K259">
        <f t="shared" ref="K259:K261" si="703">H259/10/SQRT(2)</f>
        <v>2.8565134060949195</v>
      </c>
      <c r="L259">
        <f t="shared" ref="L259:L261" si="704">I259/10/SQRT(2)</f>
        <v>2.8565134060949195</v>
      </c>
      <c r="M259">
        <f t="shared" ref="M259:M261" si="705">J259/100</f>
        <v>0</v>
      </c>
      <c r="O259">
        <f t="shared" ref="O259:O261" si="706">C259/40000</f>
        <v>-4.2624117687499998</v>
      </c>
      <c r="P259">
        <f t="shared" ref="P259:P261" si="707">C259-20000*$H$6-10000*$R$6-10000*$R$14</f>
        <v>-12198.940999999999</v>
      </c>
      <c r="Q259">
        <f t="shared" ref="Q259:Q261" si="708">P259/40000</f>
        <v>-0.30497352499999997</v>
      </c>
      <c r="R259">
        <f t="shared" ref="R259:R261" si="709">Q259/(H259*I259)</f>
        <v>-1.8687861665100404E-4</v>
      </c>
      <c r="S259">
        <f t="shared" ref="S259:S261" si="710">P259/(H259*I259)</f>
        <v>-7.4751446660401628</v>
      </c>
      <c r="T259">
        <f t="shared" si="699"/>
        <v>-20.376850000006016</v>
      </c>
      <c r="U259">
        <f t="shared" ref="U259:U261" si="711">T259/(H259*I259)</f>
        <v>-1.2486321688763432E-2</v>
      </c>
    </row>
    <row r="260" spans="1:22">
      <c r="A260">
        <v>400</v>
      </c>
      <c r="B260">
        <v>401.84197</v>
      </c>
      <c r="C260">
        <v>-170493.00156</v>
      </c>
      <c r="D260">
        <v>-168415.36743000001</v>
      </c>
      <c r="E260">
        <v>465956.24137</v>
      </c>
      <c r="F260">
        <v>-73.941180000000003</v>
      </c>
      <c r="G260">
        <v>8.2290000000000002E-2</v>
      </c>
      <c r="H260">
        <f>2*20.1982</f>
        <v>40.3964</v>
      </c>
      <c r="I260">
        <f>2*20.1982</f>
        <v>40.3964</v>
      </c>
      <c r="K260">
        <f t="shared" si="703"/>
        <v>2.8564568375524249</v>
      </c>
      <c r="L260">
        <f t="shared" si="704"/>
        <v>2.8564568375524249</v>
      </c>
      <c r="M260">
        <f t="shared" si="705"/>
        <v>0</v>
      </c>
      <c r="O260">
        <f t="shared" si="706"/>
        <v>-4.2623250390000003</v>
      </c>
      <c r="P260">
        <f t="shared" si="707"/>
        <v>-12195.471809999995</v>
      </c>
      <c r="Q260">
        <f t="shared" si="708"/>
        <v>-0.3048867952499999</v>
      </c>
      <c r="R260">
        <f t="shared" si="709"/>
        <v>-1.8683287102622907E-4</v>
      </c>
      <c r="S260">
        <f t="shared" si="710"/>
        <v>-7.4733148410491621</v>
      </c>
      <c r="T260">
        <f t="shared" si="699"/>
        <v>-16.907660000002579</v>
      </c>
      <c r="U260">
        <f t="shared" si="711"/>
        <v>-1.0360916606918269E-2</v>
      </c>
    </row>
    <row r="261" spans="1:22">
      <c r="A261">
        <v>400</v>
      </c>
      <c r="B261">
        <v>401.13448</v>
      </c>
      <c r="C261">
        <v>-170496.69007000001</v>
      </c>
      <c r="D261">
        <v>-168422.71387000001</v>
      </c>
      <c r="E261">
        <v>465956.31279</v>
      </c>
      <c r="F261">
        <v>-109.43989000000001</v>
      </c>
      <c r="G261">
        <v>8.2100000000000006E-2</v>
      </c>
      <c r="H261">
        <f>2*20.1974</f>
        <v>40.394799999999996</v>
      </c>
      <c r="I261">
        <f>2*20.1974</f>
        <v>40.394799999999996</v>
      </c>
      <c r="K261">
        <f t="shared" si="703"/>
        <v>2.8563437004674341</v>
      </c>
      <c r="L261">
        <f t="shared" si="704"/>
        <v>2.8563437004674341</v>
      </c>
      <c r="M261">
        <f t="shared" si="705"/>
        <v>0</v>
      </c>
      <c r="O261">
        <f t="shared" si="706"/>
        <v>-4.2624172517500005</v>
      </c>
      <c r="P261">
        <f t="shared" si="707"/>
        <v>-12199.160320000003</v>
      </c>
      <c r="Q261">
        <f t="shared" si="708"/>
        <v>-0.30497900800000005</v>
      </c>
      <c r="R261">
        <f t="shared" si="709"/>
        <v>-1.8690418378588522E-4</v>
      </c>
      <c r="S261">
        <f t="shared" si="710"/>
        <v>-7.4761673514354099</v>
      </c>
      <c r="T261">
        <f t="shared" si="699"/>
        <v>-20.596170000009806</v>
      </c>
      <c r="U261">
        <f t="shared" si="711"/>
        <v>-1.262221412618395E-2</v>
      </c>
    </row>
    <row r="262" spans="1:22">
      <c r="A262" t="s">
        <v>6</v>
      </c>
      <c r="C262" t="s">
        <v>4</v>
      </c>
    </row>
    <row r="263" spans="1:22">
      <c r="A263">
        <v>100</v>
      </c>
      <c r="B263">
        <v>101.16603000000001</v>
      </c>
      <c r="C263">
        <v>-170870.52567999999</v>
      </c>
      <c r="D263">
        <v>-170350.32006999999</v>
      </c>
      <c r="E263">
        <v>465604.50371000002</v>
      </c>
      <c r="F263">
        <v>-15219.89568</v>
      </c>
      <c r="G263">
        <v>6.3100000000000003E-2</v>
      </c>
      <c r="H263">
        <f>2*24.7282</f>
        <v>49.456400000000002</v>
      </c>
      <c r="I263">
        <f>2*20.1905</f>
        <v>40.381</v>
      </c>
      <c r="J263">
        <f>2*116.57</f>
        <v>233.14</v>
      </c>
      <c r="K263">
        <f>H263/10/SQRT(3)</f>
        <v>2.855366585314981</v>
      </c>
      <c r="L263">
        <f>I263/10/SQRT(2)</f>
        <v>2.8553678931093973</v>
      </c>
      <c r="M263">
        <f>J263/50/SQRT(6)*1.5</f>
        <v>2.8553701931623507</v>
      </c>
      <c r="O263">
        <f>C263/39832</f>
        <v>-4.2897802189194616</v>
      </c>
      <c r="P263">
        <f>C263-19916*H3-9891*R11-9975*R3</f>
        <v>-11763.784079109981</v>
      </c>
      <c r="Q263">
        <f>P263/39832</f>
        <v>-0.2953350090156151</v>
      </c>
      <c r="R263">
        <f t="shared" si="10"/>
        <v>-1.478820156232856E-4</v>
      </c>
    </row>
    <row r="264" spans="1:22">
      <c r="A264">
        <v>200</v>
      </c>
      <c r="B264">
        <v>201.20627999999999</v>
      </c>
      <c r="C264">
        <v>-170340.57298999999</v>
      </c>
      <c r="D264">
        <v>-169305.95063000001</v>
      </c>
      <c r="E264">
        <v>465604.50371000002</v>
      </c>
      <c r="F264">
        <v>-10584.659680000001</v>
      </c>
      <c r="G264">
        <v>5.8749999999999997E-2</v>
      </c>
      <c r="H264">
        <f t="shared" ref="H264:H265" si="712">2*24.7282</f>
        <v>49.456400000000002</v>
      </c>
      <c r="I264">
        <f t="shared" ref="I264:I265" si="713">2*20.1905</f>
        <v>40.381</v>
      </c>
      <c r="J264">
        <f t="shared" ref="J264:J265" si="714">2*116.57</f>
        <v>233.14</v>
      </c>
      <c r="K264">
        <f t="shared" ref="K264:K268" si="715">H264/10/SQRT(3)</f>
        <v>2.855366585314981</v>
      </c>
      <c r="L264">
        <f t="shared" ref="L264:L268" si="716">I264/10/SQRT(2)</f>
        <v>2.8553678931093973</v>
      </c>
      <c r="M264">
        <f t="shared" ref="M264:M268" si="717">J264/50/SQRT(6)*1.5</f>
        <v>2.8553701931623507</v>
      </c>
      <c r="O264">
        <f t="shared" ref="O264:O274" si="718">C264/39832</f>
        <v>-4.2764755219421566</v>
      </c>
      <c r="P264">
        <f>C264-19916*H4-9891*R12-9975*R4</f>
        <v>-11771.475128054983</v>
      </c>
      <c r="Q264">
        <f t="shared" ref="Q264:Q279" si="719">P264/39832</f>
        <v>-0.29552809620543741</v>
      </c>
      <c r="R264">
        <f t="shared" si="10"/>
        <v>-1.4797869946350193E-4</v>
      </c>
    </row>
    <row r="265" spans="1:22">
      <c r="A265">
        <v>300</v>
      </c>
      <c r="B265">
        <v>302.61680999999999</v>
      </c>
      <c r="C265">
        <v>-169800.76467999999</v>
      </c>
      <c r="D265">
        <v>-168244.67946000001</v>
      </c>
      <c r="E265">
        <v>465604.50371000002</v>
      </c>
      <c r="F265">
        <v>-5514.3757100000003</v>
      </c>
      <c r="G265">
        <v>5.8380000000000001E-2</v>
      </c>
      <c r="H265">
        <f t="shared" si="712"/>
        <v>49.456400000000002</v>
      </c>
      <c r="I265">
        <f t="shared" si="713"/>
        <v>40.381</v>
      </c>
      <c r="J265">
        <f t="shared" si="714"/>
        <v>233.14</v>
      </c>
      <c r="K265">
        <f t="shared" si="715"/>
        <v>2.855366585314981</v>
      </c>
      <c r="L265">
        <f t="shared" si="716"/>
        <v>2.8553678931093973</v>
      </c>
      <c r="M265">
        <f t="shared" si="717"/>
        <v>2.8553701931623507</v>
      </c>
      <c r="O265">
        <f t="shared" si="718"/>
        <v>-4.262923395260092</v>
      </c>
      <c r="P265">
        <f>C265-19916*H5-9891*R13-9975*R5</f>
        <v>-11786.174839294981</v>
      </c>
      <c r="Q265">
        <f t="shared" si="719"/>
        <v>-0.29589713896603187</v>
      </c>
      <c r="R265">
        <f t="shared" si="10"/>
        <v>-1.4816348889117525E-4</v>
      </c>
    </row>
    <row r="266" spans="1:22">
      <c r="A266">
        <v>400</v>
      </c>
    </row>
    <row r="267" spans="1:22">
      <c r="A267" t="s">
        <v>6</v>
      </c>
      <c r="C267" t="s">
        <v>5</v>
      </c>
    </row>
    <row r="268" spans="1:22">
      <c r="A268">
        <v>100</v>
      </c>
      <c r="B268">
        <v>100.98083</v>
      </c>
      <c r="C268">
        <v>-170904.45978</v>
      </c>
      <c r="D268">
        <v>-170385.20647</v>
      </c>
      <c r="E268">
        <v>461144.79431999999</v>
      </c>
      <c r="F268">
        <v>-7.4394600000000004</v>
      </c>
      <c r="G268">
        <v>0.14718999999999999</v>
      </c>
      <c r="H268">
        <f>2*24.649</f>
        <v>49.298000000000002</v>
      </c>
      <c r="I268">
        <f>2*20.1259</f>
        <v>40.251800000000003</v>
      </c>
      <c r="J268">
        <f>2*116.197</f>
        <v>232.39400000000001</v>
      </c>
      <c r="K268">
        <f t="shared" si="715"/>
        <v>2.8462213570510175</v>
      </c>
      <c r="L268">
        <f t="shared" si="716"/>
        <v>2.8462320734964677</v>
      </c>
      <c r="M268">
        <f t="shared" si="717"/>
        <v>2.8462335964217695</v>
      </c>
      <c r="O268">
        <f t="shared" si="718"/>
        <v>-4.290632149528018</v>
      </c>
      <c r="P268">
        <f>C268-19916*$H$3-9891*$R$11-9975*$R$3</f>
        <v>-11797.718179109994</v>
      </c>
      <c r="Q268">
        <f t="shared" si="719"/>
        <v>-0.29618693962417136</v>
      </c>
      <c r="R268">
        <f t="shared" si="10"/>
        <v>-1.4926270154176174E-4</v>
      </c>
      <c r="S268">
        <f t="shared" ref="S268:S279" si="720">P268/(H268*I268)</f>
        <v>-5.9454319278114536</v>
      </c>
      <c r="T268">
        <f>P268-19866*$I$11</f>
        <v>239.99850110999978</v>
      </c>
      <c r="U268">
        <f t="shared" ref="U268" si="721">T268/(H268*I268)</f>
        <v>0.12094667201432747</v>
      </c>
    </row>
    <row r="269" spans="1:22">
      <c r="A269">
        <v>100</v>
      </c>
      <c r="B269">
        <v>101.04824000000001</v>
      </c>
      <c r="C269">
        <v>-170903.98316</v>
      </c>
      <c r="D269">
        <v>-170384.38320000001</v>
      </c>
      <c r="E269">
        <v>461145.22126999998</v>
      </c>
      <c r="F269">
        <v>-4.2068700000000003</v>
      </c>
      <c r="G269">
        <v>0.14682999999999999</v>
      </c>
      <c r="H269">
        <f>2*24.6492</f>
        <v>49.298400000000001</v>
      </c>
      <c r="I269">
        <f>2*20.126</f>
        <v>40.252000000000002</v>
      </c>
      <c r="J269">
        <f>2*116.198</f>
        <v>232.39599999999999</v>
      </c>
      <c r="K269">
        <f t="shared" ref="K269:K279" si="722">H269/10/SQRT(3)</f>
        <v>2.8462444510617853</v>
      </c>
      <c r="L269">
        <f t="shared" ref="L269:L279" si="723">I269/10/SQRT(2)</f>
        <v>2.8462462156320907</v>
      </c>
      <c r="M269">
        <f t="shared" ref="M269:M279" si="724">J269/50/SQRT(6)*1.5</f>
        <v>2.8462580913191977</v>
      </c>
      <c r="O269">
        <f t="shared" ref="O269:O270" si="725">C269/39832</f>
        <v>-4.2906201837718418</v>
      </c>
      <c r="P269">
        <f t="shared" ref="P269:P270" si="726">C269-19916*$H$3-9891*$R$11-9975*$R$3</f>
        <v>-11797.241559109993</v>
      </c>
      <c r="Q269">
        <f t="shared" si="719"/>
        <v>-0.29617497386799541</v>
      </c>
      <c r="R269">
        <f t="shared" ref="R269:R270" si="727">Q269/(H269*I269)</f>
        <v>-1.492547187755173E-4</v>
      </c>
      <c r="S269">
        <f t="shared" si="720"/>
        <v>-5.945113958266405</v>
      </c>
      <c r="T269">
        <f>P269-19866*$I$11</f>
        <v>240.47512111000106</v>
      </c>
      <c r="U269">
        <f>T269/(H269*I269)</f>
        <v>0.12118527809773248</v>
      </c>
      <c r="V269">
        <f>AVERAGE(U268:U270)</f>
        <v>0.12112572929065428</v>
      </c>
    </row>
    <row r="270" spans="1:22">
      <c r="A270">
        <v>100</v>
      </c>
      <c r="B270">
        <v>101.06426</v>
      </c>
      <c r="C270">
        <v>-170903.86635</v>
      </c>
      <c r="D270">
        <v>-170384.18403</v>
      </c>
      <c r="E270">
        <v>461144.58831000002</v>
      </c>
      <c r="F270">
        <v>0.70862999999999998</v>
      </c>
      <c r="G270">
        <v>0.1467</v>
      </c>
      <c r="H270">
        <f>2*24.6491</f>
        <v>49.298200000000001</v>
      </c>
      <c r="I270">
        <f>2*20.1259</f>
        <v>40.251800000000003</v>
      </c>
      <c r="J270">
        <f>2*116.197</f>
        <v>232.39400000000001</v>
      </c>
      <c r="K270">
        <f t="shared" si="722"/>
        <v>2.8462329040564014</v>
      </c>
      <c r="L270">
        <f t="shared" si="723"/>
        <v>2.8462320734964677</v>
      </c>
      <c r="M270">
        <f t="shared" si="724"/>
        <v>2.8462335964217695</v>
      </c>
      <c r="O270">
        <f t="shared" si="725"/>
        <v>-4.2906172512050613</v>
      </c>
      <c r="P270">
        <f t="shared" si="726"/>
        <v>-11797.124749109986</v>
      </c>
      <c r="Q270">
        <f t="shared" si="719"/>
        <v>-0.29617204130121477</v>
      </c>
      <c r="R270">
        <f t="shared" si="727"/>
        <v>-1.4925458804760324E-4</v>
      </c>
      <c r="S270">
        <f t="shared" si="720"/>
        <v>-5.9451087511121319</v>
      </c>
      <c r="T270">
        <f>P270-19866*$I$11</f>
        <v>240.59193111000786</v>
      </c>
      <c r="U270">
        <f t="shared" ref="U270:U279" si="728">T270/(H270*I270)</f>
        <v>0.12124523775990288</v>
      </c>
      <c r="V270">
        <f>STDEV(U268:U270)</f>
        <v>1.5793961322631346E-4</v>
      </c>
    </row>
    <row r="271" spans="1:22">
      <c r="A271">
        <v>200</v>
      </c>
      <c r="B271">
        <v>201.67821000000001</v>
      </c>
      <c r="C271">
        <v>-170367.18833999999</v>
      </c>
      <c r="D271">
        <v>-169330.13926</v>
      </c>
      <c r="E271">
        <v>462425.75094</v>
      </c>
      <c r="F271">
        <v>23.16215</v>
      </c>
      <c r="G271">
        <v>0.10578</v>
      </c>
      <c r="H271">
        <f>2*24.6726</f>
        <v>49.345199999999998</v>
      </c>
      <c r="I271">
        <f>2*20.1451</f>
        <v>40.290199999999999</v>
      </c>
      <c r="J271">
        <f>2*116.308</f>
        <v>232.61600000000001</v>
      </c>
      <c r="K271">
        <f t="shared" si="722"/>
        <v>2.8489464503215922</v>
      </c>
      <c r="L271">
        <f t="shared" si="723"/>
        <v>2.8489473635362237</v>
      </c>
      <c r="M271">
        <f t="shared" si="724"/>
        <v>2.8489525300362595</v>
      </c>
      <c r="O271">
        <f t="shared" si="718"/>
        <v>-4.2771437120907807</v>
      </c>
      <c r="P271">
        <f>C271-19916*$H$4-9891*$R$12-9975*$R$4</f>
        <v>-11798.09047805499</v>
      </c>
      <c r="Q271">
        <f t="shared" si="719"/>
        <v>-0.29619628635406181</v>
      </c>
      <c r="R271">
        <f t="shared" si="10"/>
        <v>-1.489825050372512E-4</v>
      </c>
      <c r="S271">
        <f t="shared" si="720"/>
        <v>-5.9342711406437898</v>
      </c>
      <c r="T271">
        <f>P271-19866*$I$12</f>
        <v>234.32669834002263</v>
      </c>
      <c r="U271">
        <f t="shared" si="728"/>
        <v>0.11786298520324485</v>
      </c>
    </row>
    <row r="272" spans="1:22">
      <c r="A272">
        <v>200</v>
      </c>
      <c r="B272">
        <v>202.00226000000001</v>
      </c>
      <c r="C272">
        <v>-170364.98639000001</v>
      </c>
      <c r="D272">
        <v>-169326.27098</v>
      </c>
      <c r="E272">
        <v>462422.96117000002</v>
      </c>
      <c r="F272">
        <v>19.313079999999999</v>
      </c>
      <c r="G272">
        <v>0.10541</v>
      </c>
      <c r="H272">
        <f>2*24.6721</f>
        <v>49.344200000000001</v>
      </c>
      <c r="I272">
        <f>2*20.1447</f>
        <v>40.289400000000001</v>
      </c>
      <c r="K272">
        <f t="shared" si="722"/>
        <v>2.8488887152946734</v>
      </c>
      <c r="L272">
        <f t="shared" si="723"/>
        <v>2.848890794993729</v>
      </c>
      <c r="M272">
        <f t="shared" si="724"/>
        <v>0</v>
      </c>
      <c r="O272">
        <f t="shared" ref="O272:O273" si="729">C272/39832</f>
        <v>-4.2770884311608759</v>
      </c>
      <c r="P272">
        <f t="shared" ref="P272:P273" si="730">C272-19916*$H$4-9891*$R$12-9975*$R$4</f>
        <v>-11795.888528055002</v>
      </c>
      <c r="Q272">
        <f t="shared" si="719"/>
        <v>-0.2961410054241565</v>
      </c>
      <c r="R272">
        <f t="shared" ref="R272:R273" si="731">Q272/(H272*I272)</f>
        <v>-1.4896067596051641E-4</v>
      </c>
      <c r="S272">
        <f t="shared" si="720"/>
        <v>-5.9334016448592903</v>
      </c>
      <c r="T272">
        <f>P272-19866*$I$12</f>
        <v>236.52864834001048</v>
      </c>
      <c r="U272">
        <f t="shared" si="728"/>
        <v>0.11897530803034552</v>
      </c>
      <c r="V272">
        <f>AVERAGE(U271:U273)</f>
        <v>0.11823184499275952</v>
      </c>
    </row>
    <row r="273" spans="1:22">
      <c r="A273">
        <v>200</v>
      </c>
      <c r="B273">
        <v>201.67209</v>
      </c>
      <c r="C273">
        <v>-170367.20821000001</v>
      </c>
      <c r="D273">
        <v>-169330.1906</v>
      </c>
      <c r="E273">
        <v>462417.88196999999</v>
      </c>
      <c r="F273">
        <v>21.69239</v>
      </c>
      <c r="G273">
        <v>0.10596999999999999</v>
      </c>
      <c r="H273">
        <f>2*24.6722</f>
        <v>49.3444</v>
      </c>
      <c r="I273">
        <f>2*20.1447</f>
        <v>40.289400000000001</v>
      </c>
      <c r="K273">
        <f t="shared" si="722"/>
        <v>2.8489002623000572</v>
      </c>
      <c r="L273">
        <f t="shared" si="723"/>
        <v>2.848890794993729</v>
      </c>
      <c r="M273">
        <f t="shared" si="724"/>
        <v>0</v>
      </c>
      <c r="O273">
        <f t="shared" si="729"/>
        <v>-4.2771442109359308</v>
      </c>
      <c r="P273">
        <f t="shared" si="730"/>
        <v>-11798.110348055008</v>
      </c>
      <c r="Q273">
        <f t="shared" si="719"/>
        <v>-0.29619678519921189</v>
      </c>
      <c r="R273">
        <f t="shared" si="731"/>
        <v>-1.4898812964411932E-4</v>
      </c>
      <c r="S273">
        <f t="shared" si="720"/>
        <v>-5.9344951799845607</v>
      </c>
      <c r="T273">
        <f>P273-19866*$I$12</f>
        <v>234.30682834000436</v>
      </c>
      <c r="U273">
        <f t="shared" si="728"/>
        <v>0.11785724174468815</v>
      </c>
      <c r="V273">
        <f>STDEV(U271:U273)</f>
        <v>6.4386428152329899E-4</v>
      </c>
    </row>
    <row r="274" spans="1:22">
      <c r="A274">
        <v>300</v>
      </c>
      <c r="B274">
        <v>302.50972999999999</v>
      </c>
      <c r="C274">
        <v>-169820.58876000001</v>
      </c>
      <c r="D274">
        <v>-168265.05415000001</v>
      </c>
      <c r="E274">
        <v>463881.56839999999</v>
      </c>
      <c r="F274">
        <v>69.647099999999995</v>
      </c>
      <c r="G274">
        <v>7.7509999999999996E-2</v>
      </c>
      <c r="H274">
        <f>2*24.6979</f>
        <v>49.395800000000001</v>
      </c>
      <c r="I274">
        <f>2*20.1658</f>
        <v>40.331600000000002</v>
      </c>
      <c r="J274">
        <f>2*116.427</f>
        <v>232.85400000000001</v>
      </c>
      <c r="K274">
        <f t="shared" si="722"/>
        <v>2.8518678426836921</v>
      </c>
      <c r="L274">
        <f t="shared" si="723"/>
        <v>2.8518747856103364</v>
      </c>
      <c r="M274">
        <f t="shared" si="724"/>
        <v>2.8518674228301713</v>
      </c>
      <c r="O274">
        <f t="shared" si="718"/>
        <v>-4.2634210875677852</v>
      </c>
      <c r="P274">
        <f>C274-19916*$H$5-9891*$R$13-9975*$R$5</f>
        <v>-11805.998919295002</v>
      </c>
      <c r="Q274">
        <f t="shared" si="719"/>
        <v>-0.29639483127372468</v>
      </c>
      <c r="R274">
        <f t="shared" si="10"/>
        <v>-1.487767786512028E-4</v>
      </c>
      <c r="S274">
        <f t="shared" si="720"/>
        <v>-5.9260766472347104</v>
      </c>
      <c r="T274">
        <f>P274-19866*$I$13</f>
        <v>241.42592746999617</v>
      </c>
      <c r="U274">
        <f t="shared" si="728"/>
        <v>0.12118487902609094</v>
      </c>
    </row>
    <row r="275" spans="1:22">
      <c r="A275">
        <v>300</v>
      </c>
      <c r="B275">
        <v>302.98104999999998</v>
      </c>
      <c r="C275">
        <v>-169817.33640999999</v>
      </c>
      <c r="D275">
        <v>-168259.37823999999</v>
      </c>
      <c r="E275">
        <v>463882.05351</v>
      </c>
      <c r="F275">
        <v>96.017539999999997</v>
      </c>
      <c r="G275">
        <v>7.6719999999999997E-2</v>
      </c>
      <c r="H275">
        <f>2*24.6981</f>
        <v>49.3962</v>
      </c>
      <c r="I275">
        <f>2*20.1659</f>
        <v>40.331800000000001</v>
      </c>
      <c r="K275">
        <f t="shared" si="722"/>
        <v>2.8518909366944594</v>
      </c>
      <c r="L275">
        <f t="shared" si="723"/>
        <v>2.8518889277459594</v>
      </c>
      <c r="M275">
        <f t="shared" si="724"/>
        <v>0</v>
      </c>
      <c r="O275">
        <f t="shared" ref="O275:O276" si="732">C275/39832</f>
        <v>-4.2633394358806989</v>
      </c>
      <c r="P275">
        <f t="shared" ref="P275:P276" si="733">C275-19916*$H$5-9891*$R$13-9975*$R$5</f>
        <v>-11802.746569294977</v>
      </c>
      <c r="Q275">
        <f t="shared" si="719"/>
        <v>-0.29631317958663833</v>
      </c>
      <c r="R275">
        <f t="shared" ref="R275:R276" si="734">Q275/(H275*I275)</f>
        <v>-1.4873385121711572E-4</v>
      </c>
      <c r="S275">
        <f t="shared" si="720"/>
        <v>-5.9243667616801527</v>
      </c>
      <c r="T275">
        <f>P275-19866*$I$13</f>
        <v>244.67827747002048</v>
      </c>
      <c r="U275">
        <f t="shared" si="728"/>
        <v>0.12281580781541182</v>
      </c>
      <c r="V275">
        <f>AVERAGE(U274:U276)</f>
        <v>0.12088890302981774</v>
      </c>
    </row>
    <row r="276" spans="1:22">
      <c r="A276">
        <v>300</v>
      </c>
      <c r="B276">
        <v>301.57942000000003</v>
      </c>
      <c r="C276">
        <v>-169825.59951</v>
      </c>
      <c r="D276">
        <v>-168274.84862</v>
      </c>
      <c r="E276">
        <v>463864.53266000003</v>
      </c>
      <c r="F276">
        <v>86.554400000000001</v>
      </c>
      <c r="G276">
        <v>7.7539999999999998E-2</v>
      </c>
      <c r="H276">
        <f>2*24.6983</f>
        <v>49.396599999999999</v>
      </c>
      <c r="I276">
        <f>2*20.1661</f>
        <v>40.3322</v>
      </c>
      <c r="K276">
        <f t="shared" si="722"/>
        <v>2.8519140307052271</v>
      </c>
      <c r="L276">
        <f t="shared" si="723"/>
        <v>2.8519172120172072</v>
      </c>
      <c r="M276">
        <f t="shared" si="724"/>
        <v>0</v>
      </c>
      <c r="O276">
        <f t="shared" si="732"/>
        <v>-4.2635468846655957</v>
      </c>
      <c r="P276">
        <f t="shared" si="733"/>
        <v>-11811.009669294988</v>
      </c>
      <c r="Q276">
        <f t="shared" si="719"/>
        <v>-0.29652062837153514</v>
      </c>
      <c r="R276">
        <f t="shared" si="734"/>
        <v>-1.4883529839270355E-4</v>
      </c>
      <c r="S276">
        <f t="shared" si="720"/>
        <v>-5.928407605578168</v>
      </c>
      <c r="T276">
        <f>P276-19866*$I$13</f>
        <v>236.41517747000944</v>
      </c>
      <c r="U276">
        <f t="shared" si="728"/>
        <v>0.11866602224795039</v>
      </c>
      <c r="V276">
        <f>STDEV(U274:U276)</f>
        <v>2.0906653024229485E-3</v>
      </c>
    </row>
    <row r="277" spans="1:22">
      <c r="A277">
        <v>400</v>
      </c>
      <c r="B277">
        <v>402.49412999999998</v>
      </c>
      <c r="C277">
        <v>-169271.50823000001</v>
      </c>
      <c r="D277">
        <v>-167201.84406</v>
      </c>
      <c r="E277">
        <v>465516.40094000002</v>
      </c>
      <c r="F277">
        <v>-78.541049999999998</v>
      </c>
      <c r="G277">
        <v>6.4060000000000006E-2</v>
      </c>
      <c r="H277">
        <f>2*24.728</f>
        <v>49.456000000000003</v>
      </c>
      <c r="I277">
        <f>2*20.1904</f>
        <v>40.380800000000001</v>
      </c>
      <c r="J277">
        <f>2*116.569</f>
        <v>233.13800000000001</v>
      </c>
      <c r="K277">
        <f t="shared" si="722"/>
        <v>2.8553434913042137</v>
      </c>
      <c r="L277">
        <f t="shared" si="723"/>
        <v>2.8553537509737734</v>
      </c>
      <c r="M277">
        <f t="shared" si="724"/>
        <v>2.8553456982649235</v>
      </c>
      <c r="O277">
        <f t="shared" ref="O277" si="735">C277/39832</f>
        <v>-4.249636177696325</v>
      </c>
      <c r="P277">
        <f>C277-19916*$H$6-9891*$R$14-9975*$R$6</f>
        <v>-11876.696846315004</v>
      </c>
      <c r="Q277">
        <f t="shared" si="719"/>
        <v>-0.29816973404084668</v>
      </c>
      <c r="R277">
        <f t="shared" ref="R277" si="736">Q277/(H277*I277)</f>
        <v>-1.4930338410900945E-4</v>
      </c>
      <c r="S277">
        <f t="shared" si="720"/>
        <v>-5.947052395830065</v>
      </c>
      <c r="T277">
        <f>P277-19866*$I$14</f>
        <v>220.27092387998891</v>
      </c>
      <c r="U277">
        <f t="shared" si="728"/>
        <v>0.11029688999754451</v>
      </c>
    </row>
    <row r="278" spans="1:22">
      <c r="A278">
        <v>400</v>
      </c>
      <c r="B278">
        <v>403.04791</v>
      </c>
      <c r="C278">
        <v>-169267.79902999999</v>
      </c>
      <c r="D278">
        <v>-167195.28727</v>
      </c>
      <c r="E278">
        <v>465530.51753999997</v>
      </c>
      <c r="F278">
        <v>-91.025379999999998</v>
      </c>
      <c r="G278">
        <v>6.2719999999999998E-2</v>
      </c>
      <c r="H278">
        <f>2*24.7298</f>
        <v>49.459600000000002</v>
      </c>
      <c r="I278">
        <f>2*20.1918</f>
        <v>40.383600000000001</v>
      </c>
      <c r="K278">
        <f t="shared" si="722"/>
        <v>2.8555513374011219</v>
      </c>
      <c r="L278">
        <f t="shared" si="723"/>
        <v>2.8555517408725057</v>
      </c>
      <c r="M278">
        <f t="shared" si="724"/>
        <v>0</v>
      </c>
      <c r="O278">
        <f t="shared" ref="O278:O279" si="737">C278/39832</f>
        <v>-4.249543056587668</v>
      </c>
      <c r="P278">
        <f t="shared" ref="P278:P279" si="738">C278-19916*$H$6-9891*$R$14-9975*$R$6</f>
        <v>-11872.987646314992</v>
      </c>
      <c r="Q278">
        <f t="shared" si="719"/>
        <v>-0.29807661293219001</v>
      </c>
      <c r="R278">
        <f t="shared" ref="R278:R279" si="739">Q278/(H278*I278)</f>
        <v>-1.4923554343104916E-4</v>
      </c>
      <c r="S278">
        <f t="shared" si="720"/>
        <v>-5.9443501659455498</v>
      </c>
      <c r="T278">
        <f>P278-19866*$I$14</f>
        <v>223.98012388000097</v>
      </c>
      <c r="U278">
        <f t="shared" si="728"/>
        <v>0.11213826934013689</v>
      </c>
      <c r="V278">
        <f>AVERAGE(U277:U279)</f>
        <v>0.11073603605909095</v>
      </c>
    </row>
    <row r="279" spans="1:22">
      <c r="A279">
        <v>400</v>
      </c>
      <c r="B279">
        <v>402.12799999999999</v>
      </c>
      <c r="C279">
        <v>-169272.53614000001</v>
      </c>
      <c r="D279">
        <v>-167204.75463000001</v>
      </c>
      <c r="E279">
        <v>465515.65233000001</v>
      </c>
      <c r="F279">
        <v>-105.17529999999999</v>
      </c>
      <c r="G279">
        <v>6.2859999999999999E-2</v>
      </c>
      <c r="H279">
        <f>2*24.7291</f>
        <v>49.458199999999998</v>
      </c>
      <c r="I279">
        <f>2*20.1912</f>
        <v>40.382399999999997</v>
      </c>
      <c r="K279">
        <f t="shared" si="722"/>
        <v>2.8554705083634349</v>
      </c>
      <c r="L279">
        <f t="shared" si="723"/>
        <v>2.8554668880587637</v>
      </c>
      <c r="M279">
        <f t="shared" si="724"/>
        <v>0</v>
      </c>
      <c r="O279">
        <f t="shared" si="737"/>
        <v>-4.2496619838320955</v>
      </c>
      <c r="P279">
        <f t="shared" si="738"/>
        <v>-11877.724756315009</v>
      </c>
      <c r="Q279">
        <f t="shared" si="719"/>
        <v>-0.29819554017661698</v>
      </c>
      <c r="R279">
        <f t="shared" si="739"/>
        <v>-1.4930374836901703E-4</v>
      </c>
      <c r="S279">
        <f t="shared" si="720"/>
        <v>-5.9470669050346867</v>
      </c>
      <c r="T279">
        <f>P279-19866*$I$14</f>
        <v>219.24301387998457</v>
      </c>
      <c r="U279">
        <f t="shared" si="728"/>
        <v>0.10977294883959149</v>
      </c>
      <c r="V279">
        <f>STDEV(U277:U279)</f>
        <v>1.2423052020755227E-3</v>
      </c>
    </row>
    <row r="280" spans="1:22">
      <c r="C280" t="s">
        <v>17</v>
      </c>
    </row>
    <row r="281" spans="1:22">
      <c r="A281">
        <v>100</v>
      </c>
      <c r="B281">
        <v>101.53243999999999</v>
      </c>
      <c r="C281">
        <v>-204836.03026999999</v>
      </c>
      <c r="D281">
        <v>-204210.02394000001</v>
      </c>
      <c r="E281">
        <v>553171.41720999999</v>
      </c>
      <c r="F281">
        <v>-1.8551500000000001</v>
      </c>
      <c r="G281">
        <v>0.23679</v>
      </c>
      <c r="H281">
        <f>2*24.6462</f>
        <v>49.292400000000001</v>
      </c>
      <c r="I281">
        <f>2*20.1236</f>
        <v>40.247199999999999</v>
      </c>
      <c r="J281">
        <f>2*139.42</f>
        <v>278.83999999999997</v>
      </c>
      <c r="K281">
        <f t="shared" ref="K281" si="740">H281/10/SQRT(3)</f>
        <v>2.8458980409002712</v>
      </c>
      <c r="L281">
        <f t="shared" ref="L281" si="741">I281/10/SQRT(2)</f>
        <v>2.8459068043771216</v>
      </c>
      <c r="M281">
        <f>J281/60/SQRT(6)*1.5</f>
        <v>2.8458988328235892</v>
      </c>
      <c r="O281">
        <f>C281/47700</f>
        <v>-4.2942563997903562</v>
      </c>
      <c r="P281">
        <f>C281-23867*$H$3-11858*$R$11-11975*$R$3</f>
        <v>-14073.206214099977</v>
      </c>
      <c r="Q281">
        <f>P281/47700</f>
        <v>-0.29503576968763057</v>
      </c>
      <c r="R281">
        <f t="shared" ref="R281" si="742">Q281/(H281*I281)</f>
        <v>-1.4871645910211187E-4</v>
      </c>
      <c r="S281">
        <f t="shared" ref="S281:S292" si="743">P281/(H281*I281)</f>
        <v>-7.0937750991707347</v>
      </c>
      <c r="T281">
        <f>P281-23833*$I$11</f>
        <v>368.29693901001519</v>
      </c>
      <c r="U281">
        <f t="shared" ref="U281" si="744">T281/(H281*I281)</f>
        <v>0.18564466513909697</v>
      </c>
    </row>
    <row r="282" spans="1:22">
      <c r="A282">
        <v>100</v>
      </c>
      <c r="B282">
        <v>101.56614</v>
      </c>
      <c r="C282">
        <v>-204835.98342</v>
      </c>
      <c r="D282">
        <v>-204209.76930000001</v>
      </c>
      <c r="E282">
        <v>553171.35768999998</v>
      </c>
      <c r="F282">
        <v>-2.4757699999999998</v>
      </c>
      <c r="G282">
        <v>0.23604</v>
      </c>
      <c r="H282">
        <f>2*24.6465</f>
        <v>49.292999999999999</v>
      </c>
      <c r="I282">
        <f>2*20.1237</f>
        <v>40.247399999999999</v>
      </c>
      <c r="K282">
        <f t="shared" ref="K282:K292" si="745">H282/10/SQRT(3)</f>
        <v>2.8459326819164223</v>
      </c>
      <c r="L282">
        <f t="shared" ref="L282:L292" si="746">I282/10/SQRT(2)</f>
        <v>2.8459209465127446</v>
      </c>
      <c r="M282">
        <f t="shared" ref="M282:M292" si="747">J282/60/SQRT(6)*1.5</f>
        <v>0</v>
      </c>
      <c r="O282">
        <f t="shared" ref="O282:O283" si="748">C282/47700</f>
        <v>-4.2942554176100627</v>
      </c>
      <c r="P282">
        <f t="shared" ref="P282:P283" si="749">C282-23867*$H$3-11858*$R$11-11975*$R$3</f>
        <v>-14073.159364099993</v>
      </c>
      <c r="Q282">
        <f t="shared" ref="Q282:Q283" si="750">P282/47700</f>
        <v>-0.29503478750733736</v>
      </c>
      <c r="R282">
        <f t="shared" ref="R282:R283" si="751">Q282/(H282*I282)</f>
        <v>-1.4871341483421125E-4</v>
      </c>
      <c r="S282">
        <f t="shared" si="743"/>
        <v>-7.0936298875918764</v>
      </c>
      <c r="T282">
        <f>P282-23833*$I$11</f>
        <v>368.34378900999945</v>
      </c>
      <c r="U282">
        <f>T282/(H282*I282)</f>
        <v>0.18566509786676236</v>
      </c>
      <c r="V282">
        <f>AVERAGE(U281:U283)</f>
        <v>0.1852610861548791</v>
      </c>
    </row>
    <row r="283" spans="1:22">
      <c r="A283">
        <v>100</v>
      </c>
      <c r="B283">
        <v>101.16432</v>
      </c>
      <c r="C283">
        <v>-204838.35555000001</v>
      </c>
      <c r="D283">
        <v>-204214.61885999999</v>
      </c>
      <c r="E283">
        <v>553163.91795000003</v>
      </c>
      <c r="F283">
        <v>-3.5749599999999999</v>
      </c>
      <c r="G283">
        <v>0.23655000000000001</v>
      </c>
      <c r="H283">
        <f>2*24.6462</f>
        <v>49.292400000000001</v>
      </c>
      <c r="I283">
        <f>2*20.1235</f>
        <v>40.247</v>
      </c>
      <c r="K283">
        <f t="shared" si="745"/>
        <v>2.8458980409002712</v>
      </c>
      <c r="L283">
        <f t="shared" si="746"/>
        <v>2.8458926622414977</v>
      </c>
      <c r="M283">
        <f t="shared" si="747"/>
        <v>0</v>
      </c>
      <c r="O283">
        <f t="shared" si="748"/>
        <v>-4.2943051477987426</v>
      </c>
      <c r="P283">
        <f t="shared" si="749"/>
        <v>-14075.531494099996</v>
      </c>
      <c r="Q283">
        <f t="shared" si="750"/>
        <v>-0.29508451769601668</v>
      </c>
      <c r="R283">
        <f t="shared" si="751"/>
        <v>-1.4874177028463559E-4</v>
      </c>
      <c r="S283">
        <f t="shared" si="743"/>
        <v>-7.0949824425771171</v>
      </c>
      <c r="T283">
        <f>P283-23833*$I$11</f>
        <v>365.97165900999607</v>
      </c>
      <c r="U283">
        <f t="shared" ref="U283:U292" si="752">T283/(H283*I283)</f>
        <v>0.18447349545877798</v>
      </c>
      <c r="V283">
        <f>STDEV(U281:U283)</f>
        <v>6.8215005865920289E-4</v>
      </c>
    </row>
    <row r="284" spans="1:22">
      <c r="A284">
        <v>200</v>
      </c>
      <c r="B284">
        <v>201.58208999999999</v>
      </c>
      <c r="C284">
        <v>-204196.03964999999</v>
      </c>
      <c r="D284">
        <v>-202953.16925000001</v>
      </c>
      <c r="E284">
        <v>554691.70619000006</v>
      </c>
      <c r="F284">
        <v>12.588559999999999</v>
      </c>
      <c r="G284">
        <v>0.17104</v>
      </c>
      <c r="H284">
        <f>2*24.6692</f>
        <v>49.3384</v>
      </c>
      <c r="I284">
        <f>2*20.1423</f>
        <v>40.284599999999998</v>
      </c>
      <c r="J284">
        <f>2*139.55</f>
        <v>279.10000000000002</v>
      </c>
      <c r="K284">
        <f t="shared" si="745"/>
        <v>2.8485538521385432</v>
      </c>
      <c r="L284">
        <f t="shared" si="746"/>
        <v>2.848551383738759</v>
      </c>
      <c r="M284">
        <f t="shared" si="747"/>
        <v>2.8485524467116048</v>
      </c>
      <c r="O284">
        <f t="shared" ref="O284:O287" si="753">C284/47700</f>
        <v>-4.2808394056603776</v>
      </c>
      <c r="P284">
        <f>C284-23867*$H$4-11858*$R$12-11975*$R$4</f>
        <v>-14077.848927632484</v>
      </c>
      <c r="Q284">
        <f t="shared" ref="Q284:Q290" si="754">P284/47700</f>
        <v>-0.29513310120822817</v>
      </c>
      <c r="R284">
        <f t="shared" ref="R284:R287" si="755">Q284/(H284*I284)</f>
        <v>-1.4848883639884098E-4</v>
      </c>
      <c r="S284">
        <f t="shared" si="743"/>
        <v>-7.0829174962247148</v>
      </c>
      <c r="T284">
        <f>P284-23833*$I$12</f>
        <v>357.29647481503162</v>
      </c>
      <c r="U284">
        <f t="shared" si="752"/>
        <v>0.17976478266075532</v>
      </c>
    </row>
    <row r="285" spans="1:22">
      <c r="A285">
        <v>200</v>
      </c>
      <c r="B285">
        <v>201.59549999999999</v>
      </c>
      <c r="C285">
        <v>-204195.52007999999</v>
      </c>
      <c r="D285">
        <v>-202952.56696</v>
      </c>
      <c r="E285">
        <v>554697.02017000003</v>
      </c>
      <c r="F285">
        <v>7.2534099999999997</v>
      </c>
      <c r="G285">
        <v>0.16921</v>
      </c>
      <c r="H285">
        <f>2*24.6695</f>
        <v>49.338999999999999</v>
      </c>
      <c r="I285">
        <f>2*20.1426</f>
        <v>40.285200000000003</v>
      </c>
      <c r="K285">
        <f t="shared" si="745"/>
        <v>2.8485884931546943</v>
      </c>
      <c r="L285">
        <f t="shared" si="746"/>
        <v>2.8485938101456303</v>
      </c>
      <c r="M285">
        <f t="shared" si="747"/>
        <v>0</v>
      </c>
      <c r="O285">
        <f t="shared" ref="O285:O286" si="756">C285/47700</f>
        <v>-4.2808285132075472</v>
      </c>
      <c r="P285">
        <f t="shared" ref="P285:P286" si="757">C285-23867*$H$4-11858*$R$12-11975*$R$4</f>
        <v>-14077.32935763248</v>
      </c>
      <c r="Q285">
        <f t="shared" ref="Q285:Q286" si="758">P285/47700</f>
        <v>-0.29512220875539791</v>
      </c>
      <c r="R285">
        <f t="shared" ref="R285:R286" si="759">Q285/(H285*I285)</f>
        <v>-1.4847933900687452E-4</v>
      </c>
      <c r="S285">
        <f t="shared" si="743"/>
        <v>-7.0824644706279143</v>
      </c>
      <c r="T285">
        <f>P285-23833*$I$12</f>
        <v>357.81604481503564</v>
      </c>
      <c r="U285">
        <f t="shared" si="752"/>
        <v>0.1800213208089137</v>
      </c>
      <c r="V285">
        <f>AVERAGE(U284:U286)</f>
        <v>0.17960317175892357</v>
      </c>
    </row>
    <row r="286" spans="1:22">
      <c r="A286">
        <v>200</v>
      </c>
      <c r="B286">
        <v>201.30253999999999</v>
      </c>
      <c r="C286">
        <v>-204197.5196</v>
      </c>
      <c r="D286">
        <v>-202956.37276</v>
      </c>
      <c r="E286">
        <v>554688.83614000003</v>
      </c>
      <c r="F286">
        <v>12.58128</v>
      </c>
      <c r="G286">
        <v>0.16889000000000001</v>
      </c>
      <c r="H286">
        <f>2*24.669</f>
        <v>49.338000000000001</v>
      </c>
      <c r="I286">
        <f>2*20.1421</f>
        <v>40.284199999999998</v>
      </c>
      <c r="K286">
        <f t="shared" si="745"/>
        <v>2.8485307581277755</v>
      </c>
      <c r="L286">
        <f t="shared" si="746"/>
        <v>2.8485230994675113</v>
      </c>
      <c r="M286">
        <f t="shared" si="747"/>
        <v>0</v>
      </c>
      <c r="O286">
        <f t="shared" si="756"/>
        <v>-4.2808704318658277</v>
      </c>
      <c r="P286">
        <f t="shared" si="757"/>
        <v>-14079.328877632492</v>
      </c>
      <c r="Q286">
        <f t="shared" si="758"/>
        <v>-0.29516412741367909</v>
      </c>
      <c r="R286">
        <f t="shared" si="759"/>
        <v>-1.4850712501375036E-4</v>
      </c>
      <c r="S286">
        <f t="shared" si="743"/>
        <v>-7.0837898631558929</v>
      </c>
      <c r="T286">
        <f>P286-23833*$I$12</f>
        <v>355.81652481502351</v>
      </c>
      <c r="U286">
        <f t="shared" si="752"/>
        <v>0.17902341180710171</v>
      </c>
      <c r="V286">
        <f>STDEV(U284:U286)</f>
        <v>5.182124628639312E-4</v>
      </c>
    </row>
    <row r="287" spans="1:22">
      <c r="A287">
        <v>300</v>
      </c>
      <c r="B287">
        <v>302.48660000000001</v>
      </c>
      <c r="C287">
        <v>-203539.00933999999</v>
      </c>
      <c r="D287">
        <v>-201674.00411000001</v>
      </c>
      <c r="E287">
        <v>556428.84430999996</v>
      </c>
      <c r="F287">
        <v>58.119779999999999</v>
      </c>
      <c r="G287">
        <v>0.11924999999999999</v>
      </c>
      <c r="H287">
        <f>2*24.6944</f>
        <v>49.388800000000003</v>
      </c>
      <c r="I287">
        <f>2*20.1629</f>
        <v>40.325800000000001</v>
      </c>
      <c r="J287">
        <f>2*139.693</f>
        <v>279.38600000000002</v>
      </c>
      <c r="K287">
        <f t="shared" si="745"/>
        <v>2.8514636974952592</v>
      </c>
      <c r="L287">
        <f t="shared" si="746"/>
        <v>2.8514646636772478</v>
      </c>
      <c r="M287">
        <f t="shared" si="747"/>
        <v>2.8514714219884216</v>
      </c>
      <c r="O287">
        <f t="shared" si="753"/>
        <v>-4.2670651853249471</v>
      </c>
      <c r="P287">
        <f>C287-23867*$H$5-11858*$R$13-11975*$R$5</f>
        <v>-14085.679885672471</v>
      </c>
      <c r="Q287">
        <f t="shared" si="754"/>
        <v>-0.29529727223632013</v>
      </c>
      <c r="R287">
        <f t="shared" si="755"/>
        <v>-1.4826818428653385E-4</v>
      </c>
      <c r="S287">
        <f t="shared" si="743"/>
        <v>-7.0723923904676651</v>
      </c>
      <c r="T287">
        <f>P287-23833*$I$13</f>
        <v>367.47003746002702</v>
      </c>
      <c r="U287">
        <f t="shared" si="752"/>
        <v>0.18450598890158493</v>
      </c>
    </row>
    <row r="288" spans="1:22">
      <c r="A288">
        <v>300</v>
      </c>
      <c r="B288">
        <v>302.13170000000002</v>
      </c>
      <c r="C288">
        <v>-203541.31023</v>
      </c>
      <c r="D288">
        <v>-201678.49317999999</v>
      </c>
      <c r="E288">
        <v>556420.19440000004</v>
      </c>
      <c r="F288">
        <v>62.18591</v>
      </c>
      <c r="G288">
        <v>0.11869</v>
      </c>
      <c r="H288">
        <f>2*24.6938</f>
        <v>49.387599999999999</v>
      </c>
      <c r="I288">
        <f>2*20.1624</f>
        <v>40.324800000000003</v>
      </c>
      <c r="K288">
        <f t="shared" si="745"/>
        <v>2.8513944154629565</v>
      </c>
      <c r="L288">
        <f t="shared" si="746"/>
        <v>2.8513939529991292</v>
      </c>
      <c r="M288">
        <f t="shared" si="747"/>
        <v>0</v>
      </c>
      <c r="O288">
        <f t="shared" ref="O288:O289" si="760">C288/47700</f>
        <v>-4.2671134220125788</v>
      </c>
      <c r="P288">
        <f t="shared" ref="P288:P289" si="761">C288-23867*$H$5-11858*$R$13-11975*$R$5</f>
        <v>-14087.980775672484</v>
      </c>
      <c r="Q288">
        <f t="shared" ref="Q288:Q289" si="762">P288/47700</f>
        <v>-0.29534550892395145</v>
      </c>
      <c r="R288">
        <f t="shared" ref="R288:R289" si="763">Q288/(H288*I288)</f>
        <v>-1.4829968452091045E-4</v>
      </c>
      <c r="S288">
        <f t="shared" si="743"/>
        <v>-7.0738949516474285</v>
      </c>
      <c r="T288">
        <f>P288-23833*$I$13</f>
        <v>365.16914746001385</v>
      </c>
      <c r="U288">
        <f t="shared" si="752"/>
        <v>0.18335971846124846</v>
      </c>
      <c r="V288">
        <f>AVERAGE(U287:U289)</f>
        <v>0.18346586497618791</v>
      </c>
    </row>
    <row r="289" spans="1:22">
      <c r="A289">
        <v>300</v>
      </c>
      <c r="B289">
        <v>301.82951000000003</v>
      </c>
      <c r="C289">
        <v>-203542.94432000001</v>
      </c>
      <c r="D289">
        <v>-201681.99041999999</v>
      </c>
      <c r="E289">
        <v>556424.66555999999</v>
      </c>
      <c r="F289">
        <v>23.209990000000001</v>
      </c>
      <c r="G289">
        <v>0.1158</v>
      </c>
      <c r="H289">
        <f>2*24.6943</f>
        <v>49.388599999999997</v>
      </c>
      <c r="I289">
        <f>2*20.1628</f>
        <v>40.325600000000001</v>
      </c>
      <c r="K289">
        <f t="shared" si="745"/>
        <v>2.8514521504898753</v>
      </c>
      <c r="L289">
        <f t="shared" si="746"/>
        <v>2.8514505215416239</v>
      </c>
      <c r="M289">
        <f t="shared" si="747"/>
        <v>0</v>
      </c>
      <c r="O289">
        <f t="shared" si="760"/>
        <v>-4.2671476796645704</v>
      </c>
      <c r="P289">
        <f t="shared" si="761"/>
        <v>-14089.614865672491</v>
      </c>
      <c r="Q289">
        <f t="shared" si="762"/>
        <v>-0.29537976657594323</v>
      </c>
      <c r="R289">
        <f t="shared" si="763"/>
        <v>-1.4831094067939559E-4</v>
      </c>
      <c r="S289">
        <f t="shared" si="743"/>
        <v>-7.0744318704071691</v>
      </c>
      <c r="T289">
        <f>P289-23833*$I$13</f>
        <v>363.53505746000701</v>
      </c>
      <c r="U289">
        <f t="shared" si="752"/>
        <v>0.18253188756573041</v>
      </c>
      <c r="V289">
        <f>STDEV(U287:U289)</f>
        <v>9.9132201278443995E-4</v>
      </c>
    </row>
    <row r="290" spans="1:22">
      <c r="A290">
        <v>400</v>
      </c>
      <c r="B290">
        <v>401.47651000000002</v>
      </c>
      <c r="C290">
        <v>-202885.38032</v>
      </c>
      <c r="D290">
        <v>-200410.04493999999</v>
      </c>
      <c r="E290">
        <v>558317.11172000004</v>
      </c>
      <c r="F290">
        <v>-30.875830000000001</v>
      </c>
      <c r="G290">
        <v>7.8289999999999998E-2</v>
      </c>
      <c r="H290">
        <f>2*24.7228</f>
        <v>49.445599999999999</v>
      </c>
      <c r="I290">
        <f>2*20.1861</f>
        <v>40.372199999999999</v>
      </c>
      <c r="J290">
        <f>2*139.853</f>
        <v>279.70600000000002</v>
      </c>
      <c r="K290">
        <f t="shared" si="745"/>
        <v>2.8547430470242561</v>
      </c>
      <c r="L290">
        <f t="shared" si="746"/>
        <v>2.854745639141953</v>
      </c>
      <c r="M290">
        <f t="shared" si="747"/>
        <v>2.8547374083121317</v>
      </c>
      <c r="O290">
        <f t="shared" ref="O290" si="764">C290/47700</f>
        <v>-4.2533622708595384</v>
      </c>
      <c r="P290">
        <f>C290-23867*$H$6-11858*$R$14-11975*$R$6</f>
        <v>-14175.167043769994</v>
      </c>
      <c r="Q290">
        <f t="shared" si="754"/>
        <v>-0.2971733132865827</v>
      </c>
      <c r="R290">
        <f t="shared" ref="R290" si="765">Q290/(H290*I290)</f>
        <v>-1.4886744652655736E-4</v>
      </c>
      <c r="S290">
        <f t="shared" si="743"/>
        <v>-7.1009771993167856</v>
      </c>
      <c r="T290">
        <f>P290-23833*$I$14</f>
        <v>337.41892557749816</v>
      </c>
      <c r="U290">
        <f t="shared" si="752"/>
        <v>0.16902827950777688</v>
      </c>
    </row>
    <row r="291" spans="1:22">
      <c r="A291">
        <v>400</v>
      </c>
      <c r="B291">
        <v>401.49277999999998</v>
      </c>
      <c r="C291">
        <v>-202887.72581</v>
      </c>
      <c r="D291">
        <v>-200412.29006999999</v>
      </c>
      <c r="E291">
        <v>558321.15272999997</v>
      </c>
      <c r="F291">
        <v>-65.650199999999998</v>
      </c>
      <c r="G291">
        <v>8.3540000000000003E-2</v>
      </c>
      <c r="H291">
        <f>2*24.7236</f>
        <v>49.447200000000002</v>
      </c>
      <c r="I291">
        <f>2*20.1867</f>
        <v>40.373399999999997</v>
      </c>
      <c r="K291">
        <f t="shared" si="745"/>
        <v>2.8548354230673265</v>
      </c>
      <c r="L291">
        <f t="shared" si="746"/>
        <v>2.854830491955695</v>
      </c>
      <c r="M291">
        <f t="shared" si="747"/>
        <v>0</v>
      </c>
      <c r="O291">
        <f t="shared" ref="O291:O292" si="766">C291/47700</f>
        <v>-4.2534114425576517</v>
      </c>
      <c r="P291">
        <f t="shared" ref="P291:P292" si="767">C291-23867*$H$6-11858*$R$14-11975*$R$6</f>
        <v>-14177.512533770001</v>
      </c>
      <c r="Q291">
        <f t="shared" ref="Q291:Q292" si="768">P291/47700</f>
        <v>-0.29722248498469606</v>
      </c>
      <c r="R291">
        <f t="shared" ref="R291:R292" si="769">Q291/(H291*I291)</f>
        <v>-1.4888283571659304E-4</v>
      </c>
      <c r="S291">
        <f t="shared" si="743"/>
        <v>-7.1017112636814881</v>
      </c>
      <c r="T291">
        <f>P291-23833*$I$14</f>
        <v>335.07343557749118</v>
      </c>
      <c r="U291">
        <f t="shared" si="752"/>
        <v>0.16784289810593134</v>
      </c>
      <c r="V291">
        <f>AVERAGE(U290:U292)</f>
        <v>0.16830780206997778</v>
      </c>
    </row>
    <row r="292" spans="1:22">
      <c r="A292">
        <v>400</v>
      </c>
      <c r="B292">
        <v>401.59958</v>
      </c>
      <c r="C292">
        <v>-202887.29448000001</v>
      </c>
      <c r="D292">
        <v>-200411.20030999999</v>
      </c>
      <c r="E292">
        <v>558315.43247999996</v>
      </c>
      <c r="F292">
        <v>-47.540210000000002</v>
      </c>
      <c r="G292">
        <v>8.2000000000000003E-2</v>
      </c>
      <c r="H292">
        <f>2*24.7241</f>
        <v>49.4482</v>
      </c>
      <c r="I292">
        <f>2*20.1871</f>
        <v>40.374200000000002</v>
      </c>
      <c r="K292">
        <f t="shared" si="745"/>
        <v>2.8548931580942454</v>
      </c>
      <c r="L292">
        <f t="shared" si="746"/>
        <v>2.8548870604981906</v>
      </c>
      <c r="M292">
        <f t="shared" si="747"/>
        <v>0</v>
      </c>
      <c r="O292">
        <f t="shared" si="766"/>
        <v>-4.2534024000000006</v>
      </c>
      <c r="P292">
        <f t="shared" si="767"/>
        <v>-14177.081203770009</v>
      </c>
      <c r="Q292">
        <f t="shared" si="768"/>
        <v>-0.29721344242704423</v>
      </c>
      <c r="R292">
        <f t="shared" si="769"/>
        <v>-1.488723454722002E-4</v>
      </c>
      <c r="S292">
        <f t="shared" si="743"/>
        <v>-7.1012108790239497</v>
      </c>
      <c r="T292">
        <f>P292-23833*$I$14</f>
        <v>335.50476557748334</v>
      </c>
      <c r="U292">
        <f t="shared" si="752"/>
        <v>0.16805222859622518</v>
      </c>
      <c r="V292">
        <f>STDEV(U290:U292)</f>
        <v>6.3266943764086754E-4</v>
      </c>
    </row>
    <row r="293" spans="1:22">
      <c r="C293" t="s">
        <v>19</v>
      </c>
    </row>
    <row r="294" spans="1:22">
      <c r="A294">
        <v>100</v>
      </c>
      <c r="B294">
        <v>101.26345999999999</v>
      </c>
      <c r="C294">
        <v>-340422.97058999998</v>
      </c>
      <c r="D294">
        <v>-339384.46318999998</v>
      </c>
      <c r="E294">
        <v>921009.07770000002</v>
      </c>
      <c r="F294">
        <v>-1.5545</v>
      </c>
      <c r="G294">
        <v>0.66088000000000002</v>
      </c>
      <c r="H294">
        <f>2*24.6376</f>
        <v>49.275199999999998</v>
      </c>
      <c r="I294">
        <f>2*20.1165</f>
        <v>40.232999999999997</v>
      </c>
      <c r="J294">
        <f>2*232.286</f>
        <v>464.572</v>
      </c>
      <c r="K294">
        <f t="shared" ref="K294" si="770">H294/10/SQRT(3)</f>
        <v>2.8449049984372645</v>
      </c>
      <c r="L294">
        <f t="shared" ref="L294" si="771">I294/10/SQRT(2)</f>
        <v>2.8449027127478366</v>
      </c>
      <c r="M294">
        <f>J294/100/SQRT(6)*1.5</f>
        <v>2.8449108719606668</v>
      </c>
      <c r="O294">
        <f>C294/79341</f>
        <v>-4.2906312069421864</v>
      </c>
      <c r="P294">
        <f>C294-39695*$H$3-19708*$R$11-19938*$R$3</f>
        <v>-23140.908999624982</v>
      </c>
      <c r="Q294">
        <f>P294/79341</f>
        <v>-0.29166394423595599</v>
      </c>
      <c r="R294">
        <f t="shared" ref="R294" si="772">Q294/(H294*I294)</f>
        <v>-1.4712007297198378E-4</v>
      </c>
      <c r="S294">
        <f t="shared" ref="S294:S305" si="773">P294/(H294*I294)</f>
        <v>-11.672653709670163</v>
      </c>
      <c r="T294">
        <f>P294-39646*$I$11</f>
        <v>882.41303319500366</v>
      </c>
      <c r="U294">
        <f t="shared" ref="U294" si="774">T294/(H294*I294)</f>
        <v>0.44510359405293382</v>
      </c>
    </row>
    <row r="295" spans="1:22">
      <c r="A295">
        <v>100</v>
      </c>
      <c r="B295">
        <v>101.40523</v>
      </c>
      <c r="C295">
        <v>-340421.63925000001</v>
      </c>
      <c r="D295">
        <v>-339381.67797000002</v>
      </c>
      <c r="E295">
        <v>921016.86733000004</v>
      </c>
      <c r="F295">
        <v>1.2573099999999999</v>
      </c>
      <c r="G295">
        <v>0.66681999999999997</v>
      </c>
      <c r="H295">
        <f>2*24.6378</f>
        <v>49.275599999999997</v>
      </c>
      <c r="I295">
        <f>2*20.1167</f>
        <v>40.233400000000003</v>
      </c>
      <c r="K295">
        <f t="shared" ref="K295:K305" si="775">H295/10/SQRT(3)</f>
        <v>2.8449280924480322</v>
      </c>
      <c r="L295">
        <f t="shared" ref="L295:L305" si="776">I295/10/SQRT(2)</f>
        <v>2.8449309970190839</v>
      </c>
      <c r="M295">
        <f t="shared" ref="M295:M305" si="777">J295/100/SQRT(6)*1.5</f>
        <v>0</v>
      </c>
      <c r="O295">
        <f t="shared" ref="O295:O296" si="778">C295/79341</f>
        <v>-4.2906144269671422</v>
      </c>
      <c r="P295">
        <f t="shared" ref="P295:P296" si="779">C295-39695*$H$3-19708*$R$11-19938*$R$3</f>
        <v>-23139.577659625007</v>
      </c>
      <c r="Q295">
        <f t="shared" ref="Q295:Q296" si="780">P295/79341</f>
        <v>-0.29164716426091186</v>
      </c>
      <c r="R295">
        <f t="shared" ref="R295:R296" si="781">Q295/(H295*I295)</f>
        <v>-1.4710895211318844E-4</v>
      </c>
      <c r="S295">
        <f t="shared" si="773"/>
        <v>-11.671771369612484</v>
      </c>
      <c r="T295">
        <f>P295-39646*$I$11</f>
        <v>883.74437319497883</v>
      </c>
      <c r="U295">
        <f>T295/(H295*I295)</f>
        <v>0.445767093282395</v>
      </c>
      <c r="V295">
        <f>AVERAGE(U294:U296)</f>
        <v>0.44543606024211219</v>
      </c>
    </row>
    <row r="296" spans="1:22">
      <c r="A296">
        <v>100</v>
      </c>
      <c r="B296">
        <v>101.3374</v>
      </c>
      <c r="C296">
        <v>-340422.29268999997</v>
      </c>
      <c r="D296">
        <v>-339383.02697000001</v>
      </c>
      <c r="E296">
        <v>921014.24023999996</v>
      </c>
      <c r="F296">
        <v>-2.4658899999999999</v>
      </c>
      <c r="G296">
        <v>0.66620000000000001</v>
      </c>
      <c r="H296">
        <f>2*24.6378</f>
        <v>49.275599999999997</v>
      </c>
      <c r="I296">
        <f>2*20.1167</f>
        <v>40.233400000000003</v>
      </c>
      <c r="K296">
        <f t="shared" si="775"/>
        <v>2.8449280924480322</v>
      </c>
      <c r="L296">
        <f t="shared" si="776"/>
        <v>2.8449309970190839</v>
      </c>
      <c r="M296">
        <f t="shared" si="777"/>
        <v>0</v>
      </c>
      <c r="O296">
        <f t="shared" si="778"/>
        <v>-4.2906226628098958</v>
      </c>
      <c r="P296">
        <f t="shared" si="779"/>
        <v>-23140.231099624973</v>
      </c>
      <c r="Q296">
        <f t="shared" si="780"/>
        <v>-0.29165540010366608</v>
      </c>
      <c r="R296">
        <f t="shared" si="781"/>
        <v>-1.4711310633220995E-4</v>
      </c>
      <c r="S296">
        <f t="shared" si="773"/>
        <v>-11.672100969503871</v>
      </c>
      <c r="T296">
        <f>P296-39646*$I$11</f>
        <v>883.09093319501335</v>
      </c>
      <c r="U296">
        <f t="shared" ref="U296:U305" si="782">T296/(H296*I296)</f>
        <v>0.44543749339100785</v>
      </c>
      <c r="V296">
        <f>STDEV(U294:U296)</f>
        <v>3.3175193640838641E-4</v>
      </c>
    </row>
    <row r="297" spans="1:22">
      <c r="A297">
        <v>200</v>
      </c>
      <c r="B297">
        <v>201.46550999999999</v>
      </c>
      <c r="C297">
        <v>-339356.80625000002</v>
      </c>
      <c r="D297">
        <v>-337290.67670000001</v>
      </c>
      <c r="E297">
        <v>923545.54706999997</v>
      </c>
      <c r="F297">
        <v>5.9546999999999999</v>
      </c>
      <c r="G297">
        <v>0.47570000000000001</v>
      </c>
      <c r="H297">
        <f>2*24.6608</f>
        <v>49.321599999999997</v>
      </c>
      <c r="I297">
        <f>2*20.1354</f>
        <v>40.270800000000001</v>
      </c>
      <c r="J297">
        <f>2*232.504</f>
        <v>465.00799999999998</v>
      </c>
      <c r="K297">
        <f t="shared" si="775"/>
        <v>2.8475839036863047</v>
      </c>
      <c r="L297">
        <f t="shared" si="776"/>
        <v>2.8475755763807213</v>
      </c>
      <c r="M297">
        <f t="shared" si="777"/>
        <v>2.8475808157803004</v>
      </c>
      <c r="O297">
        <f t="shared" ref="O297:O300" si="783">C297/79341</f>
        <v>-4.2771934592455354</v>
      </c>
      <c r="P297">
        <f>C297-39695*$H$4-19708*$R$12-19938*$R$4</f>
        <v>-23146.971892865025</v>
      </c>
      <c r="Q297">
        <f t="shared" ref="Q297:Q303" si="784">P297/79341</f>
        <v>-0.29174035987528546</v>
      </c>
      <c r="R297">
        <f t="shared" ref="R297:R300" si="785">Q297/(H297*I297)</f>
        <v>-1.4688217689138634E-4</v>
      </c>
      <c r="S297">
        <f t="shared" si="773"/>
        <v>-11.653778796739484</v>
      </c>
      <c r="T297">
        <f>P297-39646*$I$12</f>
        <v>865.77407387999847</v>
      </c>
      <c r="U297">
        <f t="shared" si="782"/>
        <v>0.43589025776885981</v>
      </c>
    </row>
    <row r="298" spans="1:22">
      <c r="A298">
        <v>200</v>
      </c>
      <c r="B298">
        <v>201.86827</v>
      </c>
      <c r="C298">
        <v>-339352.82231999998</v>
      </c>
      <c r="D298">
        <v>-337282.56229999999</v>
      </c>
      <c r="E298">
        <v>923550.02899000002</v>
      </c>
      <c r="F298">
        <v>8.3980300000000003</v>
      </c>
      <c r="G298">
        <v>0.48331000000000002</v>
      </c>
      <c r="H298">
        <f>2*24.6605</f>
        <v>49.320999999999998</v>
      </c>
      <c r="I298">
        <f>2*20.1352</f>
        <v>40.270400000000002</v>
      </c>
      <c r="K298">
        <f t="shared" si="775"/>
        <v>2.8475492626701535</v>
      </c>
      <c r="L298">
        <f t="shared" si="776"/>
        <v>2.8475472921094744</v>
      </c>
      <c r="M298">
        <f t="shared" si="777"/>
        <v>0</v>
      </c>
      <c r="O298">
        <f t="shared" ref="O298:O299" si="786">C298/79341</f>
        <v>-4.2771432464929857</v>
      </c>
      <c r="P298">
        <f t="shared" ref="P298:P299" si="787">C298-39695*$H$4-19708*$R$12-19938*$R$4</f>
        <v>-23142.98796286498</v>
      </c>
      <c r="Q298">
        <f t="shared" ref="Q298:Q299" si="788">P298/79341</f>
        <v>-0.29169014712273578</v>
      </c>
      <c r="R298">
        <f t="shared" ref="R298:R299" si="789">Q298/(H298*I298)</f>
        <v>-1.4686014160560562E-4</v>
      </c>
      <c r="S298">
        <f t="shared" si="773"/>
        <v>-11.652030495130356</v>
      </c>
      <c r="T298">
        <f>P298-39646*$I$12</f>
        <v>869.75800388004427</v>
      </c>
      <c r="U298">
        <f t="shared" si="782"/>
        <v>0.43790571903920189</v>
      </c>
      <c r="V298">
        <f>AVERAGE(U297:U299)</f>
        <v>0.43764619520418407</v>
      </c>
    </row>
    <row r="299" spans="1:22">
      <c r="A299">
        <v>200</v>
      </c>
      <c r="B299">
        <v>202.31419</v>
      </c>
      <c r="C299">
        <v>-339350.40065000003</v>
      </c>
      <c r="D299">
        <v>-337275.56744999997</v>
      </c>
      <c r="E299">
        <v>923532.11794000003</v>
      </c>
      <c r="F299">
        <v>8.9990000000000006</v>
      </c>
      <c r="G299">
        <v>0.48427999999999999</v>
      </c>
      <c r="H299">
        <f>2*24.66</f>
        <v>49.32</v>
      </c>
      <c r="I299">
        <f>2*20.1348</f>
        <v>40.269599999999997</v>
      </c>
      <c r="K299">
        <f t="shared" si="775"/>
        <v>2.8474915276432347</v>
      </c>
      <c r="L299">
        <f t="shared" si="776"/>
        <v>2.8474907235669793</v>
      </c>
      <c r="M299">
        <f t="shared" si="777"/>
        <v>0</v>
      </c>
      <c r="O299">
        <f t="shared" si="786"/>
        <v>-4.2771127241905198</v>
      </c>
      <c r="P299">
        <f t="shared" si="787"/>
        <v>-23140.566292865027</v>
      </c>
      <c r="Q299">
        <f t="shared" si="788"/>
        <v>-0.2916596248202698</v>
      </c>
      <c r="R299">
        <f t="shared" si="789"/>
        <v>-1.4685066891863247E-4</v>
      </c>
      <c r="S299">
        <f t="shared" si="773"/>
        <v>-11.651278922673221</v>
      </c>
      <c r="T299">
        <f>P299-39646*$I$12</f>
        <v>872.1796738799967</v>
      </c>
      <c r="U299">
        <f t="shared" si="782"/>
        <v>0.43914260880449063</v>
      </c>
      <c r="V299">
        <f>STDEV(U297:U299)</f>
        <v>1.641633722987246E-3</v>
      </c>
    </row>
    <row r="300" spans="1:22">
      <c r="A300">
        <v>300</v>
      </c>
      <c r="B300">
        <v>302.03244999999998</v>
      </c>
      <c r="C300">
        <v>-338269.54259999999</v>
      </c>
      <c r="D300">
        <v>-335172.04885000002</v>
      </c>
      <c r="E300">
        <v>926425.55373000004</v>
      </c>
      <c r="F300">
        <v>33.731760000000001</v>
      </c>
      <c r="G300">
        <v>0.33778000000000002</v>
      </c>
      <c r="H300">
        <f>2*24.6858</f>
        <v>49.371600000000001</v>
      </c>
      <c r="I300">
        <f>2*20.1559</f>
        <v>40.311799999999998</v>
      </c>
      <c r="J300">
        <f>2*232.74</f>
        <v>465.48</v>
      </c>
      <c r="K300">
        <f t="shared" si="775"/>
        <v>2.8504706550322529</v>
      </c>
      <c r="L300">
        <f t="shared" si="776"/>
        <v>2.8504747141835862</v>
      </c>
      <c r="M300">
        <f t="shared" si="777"/>
        <v>2.8504712136767845</v>
      </c>
      <c r="O300">
        <f t="shared" si="783"/>
        <v>-4.2634897795591185</v>
      </c>
      <c r="P300">
        <f>C300-39695*$H$5-19708*$R$13-19938*$R$5</f>
        <v>-23165.564109809973</v>
      </c>
      <c r="Q300">
        <f t="shared" si="784"/>
        <v>-0.29197469290543315</v>
      </c>
      <c r="R300">
        <f t="shared" si="785"/>
        <v>-1.4670192677904682E-4</v>
      </c>
      <c r="S300">
        <f t="shared" si="773"/>
        <v>-11.639477572576354</v>
      </c>
      <c r="T300">
        <f>P300-39646*$I$13</f>
        <v>877.13222940502237</v>
      </c>
      <c r="U300">
        <f t="shared" si="782"/>
        <v>0.44071281251555083</v>
      </c>
    </row>
    <row r="301" spans="1:22">
      <c r="A301">
        <v>300</v>
      </c>
      <c r="B301">
        <v>301.54226</v>
      </c>
      <c r="C301">
        <v>-338273.59979000001</v>
      </c>
      <c r="D301">
        <v>-335181.13319000002</v>
      </c>
      <c r="E301">
        <v>926432.60034999996</v>
      </c>
      <c r="F301">
        <v>37.52205</v>
      </c>
      <c r="G301">
        <v>0.35954999999999998</v>
      </c>
      <c r="H301">
        <f>2*24.6862</f>
        <v>49.372399999999999</v>
      </c>
      <c r="I301">
        <f>2*20.1562</f>
        <v>40.312399999999997</v>
      </c>
      <c r="K301">
        <f t="shared" si="775"/>
        <v>2.8505168430537879</v>
      </c>
      <c r="L301">
        <f t="shared" si="776"/>
        <v>2.8505171405904575</v>
      </c>
      <c r="M301">
        <f t="shared" si="777"/>
        <v>0</v>
      </c>
      <c r="O301">
        <f t="shared" ref="O301:O302" si="790">C301/79341</f>
        <v>-4.2635409156678135</v>
      </c>
      <c r="P301">
        <f t="shared" ref="P301:P302" si="791">C301-39695*$H$5-19708*$R$13-19938*$R$5</f>
        <v>-23169.621299809995</v>
      </c>
      <c r="Q301">
        <f t="shared" ref="Q301:Q302" si="792">P301/79341</f>
        <v>-0.29202582901412882</v>
      </c>
      <c r="R301">
        <f t="shared" ref="R301:R302" si="793">Q301/(H301*I301)</f>
        <v>-1.4672305867708307E-4</v>
      </c>
      <c r="S301">
        <f t="shared" si="773"/>
        <v>-11.641154198498448</v>
      </c>
      <c r="T301">
        <f>P301-39646*$I$13</f>
        <v>873.07503940500101</v>
      </c>
      <c r="U301">
        <f t="shared" si="782"/>
        <v>0.43866065090399531</v>
      </c>
      <c r="V301">
        <f>AVERAGE(U300:U302)</f>
        <v>0.43982246582536905</v>
      </c>
    </row>
    <row r="302" spans="1:22">
      <c r="A302">
        <v>300</v>
      </c>
      <c r="B302">
        <v>301.75923</v>
      </c>
      <c r="C302">
        <v>-338270.73131</v>
      </c>
      <c r="D302">
        <v>-335176.03951999999</v>
      </c>
      <c r="E302">
        <v>926441.94955999998</v>
      </c>
      <c r="F302">
        <v>41.674750000000003</v>
      </c>
      <c r="G302">
        <v>0.35298000000000002</v>
      </c>
      <c r="H302">
        <f>2*24.6864</f>
        <v>49.372799999999998</v>
      </c>
      <c r="I302">
        <f>2*20.1564</f>
        <v>40.312800000000003</v>
      </c>
      <c r="K302">
        <f t="shared" si="775"/>
        <v>2.8505399370645552</v>
      </c>
      <c r="L302">
        <f t="shared" si="776"/>
        <v>2.8505454248617057</v>
      </c>
      <c r="M302">
        <f t="shared" si="777"/>
        <v>0</v>
      </c>
      <c r="O302">
        <f t="shared" si="790"/>
        <v>-4.2635047618507453</v>
      </c>
      <c r="P302">
        <f t="shared" si="791"/>
        <v>-23166.75281980999</v>
      </c>
      <c r="Q302">
        <f t="shared" si="792"/>
        <v>-0.29198967519706065</v>
      </c>
      <c r="R302">
        <f t="shared" si="793"/>
        <v>-1.4670224964808101E-4</v>
      </c>
      <c r="S302">
        <f t="shared" si="773"/>
        <v>-11.639503189328396</v>
      </c>
      <c r="T302">
        <f>P302-39646*$I$13</f>
        <v>875.94351940500565</v>
      </c>
      <c r="U302">
        <f t="shared" si="782"/>
        <v>0.44009393405656083</v>
      </c>
      <c r="V302">
        <f>STDEV(U300:U302)</f>
        <v>1.0526694972285283E-3</v>
      </c>
    </row>
    <row r="303" spans="1:22">
      <c r="A303">
        <v>400</v>
      </c>
      <c r="B303">
        <v>402.98381000000001</v>
      </c>
      <c r="C303">
        <v>-337163.89162000001</v>
      </c>
      <c r="D303">
        <v>-333031.09116000001</v>
      </c>
      <c r="E303">
        <v>929638.69854000001</v>
      </c>
      <c r="F303">
        <v>-35.633969999999998</v>
      </c>
      <c r="G303">
        <v>0.26084000000000002</v>
      </c>
      <c r="H303">
        <f>2*24.7142</f>
        <v>49.428400000000003</v>
      </c>
      <c r="I303">
        <f>2*20.1791</f>
        <v>40.358199999999997</v>
      </c>
      <c r="J303">
        <f>2*233.008</f>
        <v>466.01600000000002</v>
      </c>
      <c r="K303">
        <f t="shared" si="775"/>
        <v>2.8537500045612503</v>
      </c>
      <c r="L303">
        <f t="shared" si="776"/>
        <v>2.8537556896482914</v>
      </c>
      <c r="M303">
        <f t="shared" si="777"/>
        <v>2.8537535299321144</v>
      </c>
      <c r="O303">
        <f t="shared" ref="O303" si="794">C303/79341</f>
        <v>-4.2495543492015475</v>
      </c>
      <c r="P303">
        <f>C303-39695*$H$6-19708*$R$14-19938*$R$6</f>
        <v>-23295.870828800005</v>
      </c>
      <c r="Q303">
        <f t="shared" si="784"/>
        <v>-0.29361705585762726</v>
      </c>
      <c r="R303">
        <f t="shared" ref="R303" si="795">Q303/(H303*I303)</f>
        <v>-1.4718818123182751E-4</v>
      </c>
      <c r="S303">
        <f t="shared" si="773"/>
        <v>-11.678057487114426</v>
      </c>
      <c r="T303">
        <f>P303-39646*$I$14</f>
        <v>845.69688574497923</v>
      </c>
      <c r="U303">
        <f t="shared" si="782"/>
        <v>0.42394194752290509</v>
      </c>
    </row>
    <row r="304" spans="1:22">
      <c r="A304">
        <v>400</v>
      </c>
      <c r="B304">
        <v>402.58908000000002</v>
      </c>
      <c r="C304">
        <v>-337166.78350999998</v>
      </c>
      <c r="D304">
        <v>-333038.03126999998</v>
      </c>
      <c r="E304">
        <v>929610.77602999995</v>
      </c>
      <c r="F304">
        <v>-23.48348</v>
      </c>
      <c r="G304">
        <v>0.26327</v>
      </c>
      <c r="H304">
        <f>2*24.7145</f>
        <v>49.429000000000002</v>
      </c>
      <c r="I304">
        <f>2*20.1793</f>
        <v>40.358600000000003</v>
      </c>
      <c r="K304">
        <f t="shared" si="775"/>
        <v>2.8537846455774014</v>
      </c>
      <c r="L304">
        <f t="shared" si="776"/>
        <v>2.8537839739195396</v>
      </c>
      <c r="M304">
        <f t="shared" si="777"/>
        <v>0</v>
      </c>
      <c r="O304">
        <f t="shared" ref="O304:O305" si="796">C304/79341</f>
        <v>-4.2495907980741352</v>
      </c>
      <c r="P304">
        <f t="shared" ref="P304:P305" si="797">C304-39695*$H$6-19708*$R$14-19938*$R$6</f>
        <v>-23298.762718799975</v>
      </c>
      <c r="Q304">
        <f t="shared" ref="Q304:Q305" si="798">P304/79341</f>
        <v>-0.29365350473021484</v>
      </c>
      <c r="R304">
        <f t="shared" ref="R304:R305" si="799">Q304/(H304*I304)</f>
        <v>-1.4720320694664959E-4</v>
      </c>
      <c r="S304">
        <f t="shared" si="773"/>
        <v>-11.679249642354124</v>
      </c>
      <c r="T304">
        <f>P304-39646*$I$14</f>
        <v>842.80499574500936</v>
      </c>
      <c r="U304">
        <f t="shared" si="782"/>
        <v>0.42248294743937204</v>
      </c>
      <c r="V304">
        <f>AVERAGE(U303:U305)</f>
        <v>0.42134582863412717</v>
      </c>
    </row>
    <row r="305" spans="1:22">
      <c r="A305">
        <v>400</v>
      </c>
      <c r="B305">
        <v>401.85194000000001</v>
      </c>
      <c r="C305">
        <v>-337176.52181000001</v>
      </c>
      <c r="D305">
        <v>-333055.32932999998</v>
      </c>
      <c r="E305">
        <v>929592.7879</v>
      </c>
      <c r="F305">
        <v>-34.633659999999999</v>
      </c>
      <c r="G305">
        <v>0.26124999999999998</v>
      </c>
      <c r="H305">
        <f>2*24.7142</f>
        <v>49.428400000000003</v>
      </c>
      <c r="I305">
        <f>2*20.179</f>
        <v>40.357999999999997</v>
      </c>
      <c r="K305">
        <f t="shared" si="775"/>
        <v>2.8537500045612503</v>
      </c>
      <c r="L305">
        <f t="shared" si="776"/>
        <v>2.8537415475126684</v>
      </c>
      <c r="M305">
        <f t="shared" si="777"/>
        <v>0</v>
      </c>
      <c r="O305">
        <f t="shared" si="796"/>
        <v>-4.2497135378933972</v>
      </c>
      <c r="P305">
        <f t="shared" si="797"/>
        <v>-23308.501018800001</v>
      </c>
      <c r="Q305">
        <f t="shared" si="798"/>
        <v>-0.29377624454947632</v>
      </c>
      <c r="R305">
        <f t="shared" si="799"/>
        <v>-1.4726871122035178E-4</v>
      </c>
      <c r="S305">
        <f t="shared" si="773"/>
        <v>-11.684446816933932</v>
      </c>
      <c r="T305">
        <f>P305-39646*$I$14</f>
        <v>833.06669574498301</v>
      </c>
      <c r="U305">
        <f t="shared" si="782"/>
        <v>0.4176125909401045</v>
      </c>
      <c r="V305">
        <f>STDEV(U303:U305)</f>
        <v>3.3143578670673701E-3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2014-07-30T20:33:28Z</dcterms:created>
  <dcterms:modified xsi:type="dcterms:W3CDTF">2015-01-22T18:27:06Z</dcterms:modified>
</cp:coreProperties>
</file>