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" yWindow="0" windowWidth="30120" windowHeight="21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1" i="1" l="1"/>
  <c r="AK21" i="1"/>
  <c r="AI20" i="1"/>
  <c r="AK20" i="1"/>
  <c r="AI19" i="1"/>
  <c r="AK19" i="1"/>
  <c r="AI18" i="1"/>
  <c r="AK18" i="1"/>
  <c r="AI17" i="1"/>
  <c r="AK17" i="1"/>
  <c r="AI16" i="1"/>
  <c r="AK16" i="1"/>
  <c r="AI15" i="1"/>
  <c r="AK15" i="1"/>
  <c r="AI14" i="1"/>
  <c r="AK14" i="1"/>
  <c r="AI13" i="1"/>
  <c r="AK13" i="1"/>
  <c r="AI12" i="1"/>
  <c r="AK12" i="1"/>
  <c r="AE21" i="1"/>
  <c r="AG21" i="1"/>
  <c r="AE20" i="1"/>
  <c r="AG20" i="1"/>
  <c r="AE19" i="1"/>
  <c r="AG19" i="1"/>
  <c r="AE18" i="1"/>
  <c r="AG18" i="1"/>
  <c r="AE17" i="1"/>
  <c r="AG17" i="1"/>
  <c r="AE16" i="1"/>
  <c r="AG16" i="1"/>
  <c r="AE15" i="1"/>
  <c r="AG15" i="1"/>
  <c r="AE14" i="1"/>
  <c r="AG14" i="1"/>
  <c r="AE13" i="1"/>
  <c r="AG13" i="1"/>
  <c r="AE12" i="1"/>
  <c r="AG12" i="1"/>
  <c r="AJ12" i="1"/>
  <c r="AJ13" i="1"/>
  <c r="AJ14" i="1"/>
  <c r="AJ15" i="1"/>
  <c r="AJ16" i="1"/>
  <c r="AJ17" i="1"/>
  <c r="AJ18" i="1"/>
  <c r="AJ19" i="1"/>
  <c r="AJ20" i="1"/>
  <c r="AJ21" i="1"/>
  <c r="AJ22" i="1"/>
  <c r="AJ25" i="1"/>
  <c r="AJ23" i="1"/>
  <c r="AF12" i="1"/>
  <c r="AF13" i="1"/>
  <c r="AF14" i="1"/>
  <c r="AF15" i="1"/>
  <c r="AF16" i="1"/>
  <c r="AF17" i="1"/>
  <c r="AF18" i="1"/>
  <c r="AF19" i="1"/>
  <c r="AF20" i="1"/>
  <c r="AF21" i="1"/>
  <c r="AF22" i="1"/>
  <c r="AF25" i="1"/>
  <c r="AF23" i="1"/>
  <c r="AB25" i="1"/>
  <c r="AA21" i="1"/>
  <c r="AC21" i="1"/>
  <c r="AA20" i="1"/>
  <c r="AC20" i="1"/>
  <c r="AA19" i="1"/>
  <c r="AC19" i="1"/>
  <c r="AA18" i="1"/>
  <c r="AC18" i="1"/>
  <c r="AA17" i="1"/>
  <c r="AC17" i="1"/>
  <c r="AA16" i="1"/>
  <c r="AC16" i="1"/>
  <c r="AA15" i="1"/>
  <c r="AC15" i="1"/>
  <c r="AA14" i="1"/>
  <c r="AC14" i="1"/>
  <c r="AA13" i="1"/>
  <c r="AC13" i="1"/>
  <c r="AA12" i="1"/>
  <c r="AC12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W21" i="1"/>
  <c r="Y21" i="1"/>
  <c r="W20" i="1"/>
  <c r="Y20" i="1"/>
  <c r="W19" i="1"/>
  <c r="Y19" i="1"/>
  <c r="W18" i="1"/>
  <c r="Y18" i="1"/>
  <c r="W16" i="1"/>
  <c r="W17" i="1"/>
  <c r="Y17" i="1"/>
  <c r="Y16" i="1"/>
  <c r="W15" i="1"/>
  <c r="Y15" i="1"/>
  <c r="W14" i="1"/>
  <c r="Y14" i="1"/>
  <c r="W13" i="1"/>
  <c r="Y13" i="1"/>
  <c r="W12" i="1"/>
  <c r="Y12" i="1"/>
  <c r="X12" i="1"/>
  <c r="X13" i="1"/>
  <c r="X14" i="1"/>
  <c r="X15" i="1"/>
  <c r="X16" i="1"/>
  <c r="X17" i="1"/>
  <c r="X18" i="1"/>
  <c r="X19" i="1"/>
  <c r="X20" i="1"/>
  <c r="X21" i="1"/>
  <c r="X22" i="1"/>
  <c r="X25" i="1"/>
  <c r="X23" i="1"/>
  <c r="T25" i="1"/>
  <c r="P25" i="1"/>
  <c r="L25" i="1"/>
  <c r="H25" i="1"/>
  <c r="D25" i="1"/>
  <c r="S21" i="1"/>
  <c r="U21" i="1"/>
  <c r="S20" i="1"/>
  <c r="U20" i="1"/>
  <c r="S19" i="1"/>
  <c r="U19" i="1"/>
  <c r="S18" i="1"/>
  <c r="U18" i="1"/>
  <c r="S17" i="1"/>
  <c r="U17" i="1"/>
  <c r="S16" i="1"/>
  <c r="U16" i="1"/>
  <c r="U15" i="1"/>
  <c r="S15" i="1"/>
  <c r="S14" i="1"/>
  <c r="U14" i="1"/>
  <c r="S13" i="1"/>
  <c r="U13" i="1"/>
  <c r="S12" i="1"/>
  <c r="U12" i="1"/>
  <c r="T12" i="1"/>
  <c r="T13" i="1"/>
  <c r="T14" i="1"/>
  <c r="T15" i="1"/>
  <c r="T16" i="1"/>
  <c r="T17" i="1"/>
  <c r="T18" i="1"/>
  <c r="T19" i="1"/>
  <c r="T20" i="1"/>
  <c r="T21" i="1"/>
  <c r="T23" i="1"/>
  <c r="T22" i="1"/>
  <c r="L28" i="1"/>
  <c r="H34" i="1"/>
  <c r="H32" i="1"/>
  <c r="O21" i="1"/>
  <c r="Q21" i="1"/>
  <c r="O20" i="1"/>
  <c r="Q20" i="1"/>
  <c r="O19" i="1"/>
  <c r="Q19" i="1"/>
  <c r="O18" i="1"/>
  <c r="Q18" i="1"/>
  <c r="O17" i="1"/>
  <c r="Q17" i="1"/>
  <c r="Q15" i="1"/>
  <c r="Q16" i="1"/>
  <c r="O16" i="1"/>
  <c r="O15" i="1"/>
  <c r="O14" i="1"/>
  <c r="Q14" i="1"/>
  <c r="O13" i="1"/>
  <c r="Q13" i="1"/>
  <c r="P21" i="1"/>
  <c r="P20" i="1"/>
  <c r="P35" i="1"/>
  <c r="P19" i="1"/>
  <c r="P34" i="1"/>
  <c r="P18" i="1"/>
  <c r="P33" i="1"/>
  <c r="P17" i="1"/>
  <c r="P16" i="1"/>
  <c r="P15" i="1"/>
  <c r="P14" i="1"/>
  <c r="P13" i="1"/>
  <c r="D28" i="1"/>
  <c r="D29" i="1"/>
  <c r="D35" i="1"/>
  <c r="D27" i="1"/>
  <c r="L36" i="1"/>
  <c r="H35" i="1"/>
  <c r="O12" i="1"/>
  <c r="Q12" i="1"/>
  <c r="D6" i="1"/>
  <c r="D8" i="1"/>
  <c r="K8" i="1"/>
  <c r="P12" i="1"/>
  <c r="P23" i="1"/>
  <c r="P22" i="1"/>
  <c r="K21" i="1"/>
  <c r="M21" i="1"/>
  <c r="K20" i="1"/>
  <c r="M20" i="1"/>
  <c r="K19" i="1"/>
  <c r="M19" i="1"/>
  <c r="K18" i="1"/>
  <c r="M18" i="1"/>
  <c r="K17" i="1"/>
  <c r="M17" i="1"/>
  <c r="K16" i="1"/>
  <c r="M16" i="1"/>
  <c r="K15" i="1"/>
  <c r="M15" i="1"/>
  <c r="K14" i="1"/>
  <c r="M14" i="1"/>
  <c r="K13" i="1"/>
  <c r="M13" i="1"/>
  <c r="K12" i="1"/>
  <c r="M12" i="1"/>
  <c r="I21" i="1"/>
  <c r="I20" i="1"/>
  <c r="I19" i="1"/>
  <c r="I18" i="1"/>
  <c r="I17" i="1"/>
  <c r="I16" i="1"/>
  <c r="I15" i="1"/>
  <c r="I14" i="1"/>
  <c r="I13" i="1"/>
  <c r="I12" i="1"/>
  <c r="L12" i="1"/>
  <c r="L13" i="1"/>
  <c r="L14" i="1"/>
  <c r="L15" i="1"/>
  <c r="L16" i="1"/>
  <c r="L17" i="1"/>
  <c r="L18" i="1"/>
  <c r="L19" i="1"/>
  <c r="L20" i="1"/>
  <c r="L21" i="1"/>
  <c r="L23" i="1"/>
  <c r="L22" i="1"/>
  <c r="G21" i="1"/>
  <c r="G20" i="1"/>
  <c r="E21" i="1"/>
  <c r="E20" i="1"/>
  <c r="E19" i="1"/>
  <c r="E18" i="1"/>
  <c r="E17" i="1"/>
  <c r="E16" i="1"/>
  <c r="E15" i="1"/>
  <c r="E14" i="1"/>
  <c r="E13" i="1"/>
  <c r="E12" i="1"/>
  <c r="G19" i="1"/>
  <c r="G18" i="1"/>
  <c r="G17" i="1"/>
  <c r="G16" i="1"/>
  <c r="G15" i="1"/>
  <c r="G14" i="1"/>
  <c r="G13" i="1"/>
  <c r="G12" i="1"/>
  <c r="H12" i="1"/>
  <c r="H13" i="1"/>
  <c r="H14" i="1"/>
  <c r="H15" i="1"/>
  <c r="H16" i="1"/>
  <c r="H17" i="1"/>
  <c r="H18" i="1"/>
  <c r="H19" i="1"/>
  <c r="H20" i="1"/>
  <c r="H21" i="1"/>
  <c r="H23" i="1"/>
  <c r="H22" i="1"/>
  <c r="C21" i="1"/>
  <c r="C20" i="1"/>
  <c r="C19" i="1"/>
  <c r="C18" i="1"/>
  <c r="C17" i="1"/>
  <c r="D17" i="1"/>
  <c r="D18" i="1"/>
  <c r="D19" i="1"/>
  <c r="D20" i="1"/>
  <c r="D21" i="1"/>
  <c r="C12" i="1"/>
  <c r="D12" i="1"/>
  <c r="C13" i="1"/>
  <c r="D13" i="1"/>
  <c r="C14" i="1"/>
  <c r="D14" i="1"/>
  <c r="C15" i="1"/>
  <c r="D15" i="1"/>
  <c r="C16" i="1"/>
  <c r="D16" i="1"/>
  <c r="D23" i="1"/>
  <c r="D22" i="1"/>
  <c r="M8" i="1"/>
  <c r="F8" i="1"/>
  <c r="N6" i="1"/>
  <c r="M6" i="1"/>
  <c r="K6" i="1"/>
  <c r="F6" i="1"/>
</calcChain>
</file>

<file path=xl/sharedStrings.xml><?xml version="1.0" encoding="utf-8"?>
<sst xmlns="http://schemas.openxmlformats.org/spreadsheetml/2006/main" count="44" uniqueCount="14">
  <si>
    <t xml:space="preserve">random NiAl in bcc Fe </t>
  </si>
  <si>
    <t>calculating mixing energy</t>
  </si>
  <si>
    <t>using 10 different configurations for each concentrations</t>
  </si>
  <si>
    <t>E</t>
  </si>
  <si>
    <t>Ef</t>
  </si>
  <si>
    <t>bcc fe</t>
  </si>
  <si>
    <t>E/at</t>
  </si>
  <si>
    <t>V</t>
  </si>
  <si>
    <t>a0</t>
  </si>
  <si>
    <t>nial</t>
  </si>
  <si>
    <t>T</t>
  </si>
  <si>
    <t>Ef/at</t>
  </si>
  <si>
    <t>fcc ni</t>
  </si>
  <si>
    <t>fcc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</si>
</sst>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Sheet1!$E$12:$E$21</c:f>
              <c:numCache>
                <c:formatCode>General</c:formatCode>
                <c:ptCount val="10"/>
                <c:pt idx="0">
                  <c:v>0.103</c:v>
                </c:pt>
                <c:pt idx="1">
                  <c:v>0.092</c:v>
                </c:pt>
                <c:pt idx="2">
                  <c:v>0.099</c:v>
                </c:pt>
                <c:pt idx="3">
                  <c:v>0.097</c:v>
                </c:pt>
                <c:pt idx="4">
                  <c:v>0.101</c:v>
                </c:pt>
                <c:pt idx="5">
                  <c:v>0.1025</c:v>
                </c:pt>
                <c:pt idx="6">
                  <c:v>0.1015</c:v>
                </c:pt>
                <c:pt idx="7">
                  <c:v>0.1035</c:v>
                </c:pt>
                <c:pt idx="8">
                  <c:v>0.1025</c:v>
                </c:pt>
                <c:pt idx="9">
                  <c:v>0.0965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-0.0511201997801529</c:v>
                </c:pt>
                <c:pt idx="1">
                  <c:v>-0.0458813030760098</c:v>
                </c:pt>
                <c:pt idx="2">
                  <c:v>-0.0508096445243946</c:v>
                </c:pt>
                <c:pt idx="3">
                  <c:v>-0.0449110082441225</c:v>
                </c:pt>
                <c:pt idx="4">
                  <c:v>-0.0474995236829547</c:v>
                </c:pt>
                <c:pt idx="5">
                  <c:v>-0.0534419303030123</c:v>
                </c:pt>
                <c:pt idx="6">
                  <c:v>-0.0508164565275819</c:v>
                </c:pt>
                <c:pt idx="7">
                  <c:v>-0.05027792187018</c:v>
                </c:pt>
                <c:pt idx="8">
                  <c:v>-0.0516854105139745</c:v>
                </c:pt>
                <c:pt idx="9">
                  <c:v>-0.0449806359419821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Sheet1!$I$12:$I$21</c:f>
              <c:numCache>
                <c:formatCode>General</c:formatCode>
                <c:ptCount val="10"/>
                <c:pt idx="0">
                  <c:v>0.202</c:v>
                </c:pt>
                <c:pt idx="1">
                  <c:v>0.1965</c:v>
                </c:pt>
                <c:pt idx="2">
                  <c:v>0.207</c:v>
                </c:pt>
                <c:pt idx="3">
                  <c:v>0.1935</c:v>
                </c:pt>
                <c:pt idx="4">
                  <c:v>0.1985</c:v>
                </c:pt>
                <c:pt idx="5">
                  <c:v>0.2035</c:v>
                </c:pt>
                <c:pt idx="6">
                  <c:v>0.2065</c:v>
                </c:pt>
                <c:pt idx="7">
                  <c:v>0.1915</c:v>
                </c:pt>
                <c:pt idx="8">
                  <c:v>0.2</c:v>
                </c:pt>
                <c:pt idx="9">
                  <c:v>0.1895</c:v>
                </c:pt>
              </c:numCache>
            </c:numRef>
          </c:xVal>
          <c:yVal>
            <c:numRef>
              <c:f>Sheet1!$H$12:$H$21</c:f>
              <c:numCache>
                <c:formatCode>General</c:formatCode>
                <c:ptCount val="10"/>
                <c:pt idx="0">
                  <c:v>-0.115489580913585</c:v>
                </c:pt>
                <c:pt idx="1">
                  <c:v>-0.112097589241995</c:v>
                </c:pt>
                <c:pt idx="2">
                  <c:v>-0.119100454607072</c:v>
                </c:pt>
                <c:pt idx="3">
                  <c:v>-0.105912301563217</c:v>
                </c:pt>
                <c:pt idx="4">
                  <c:v>-0.117481136897268</c:v>
                </c:pt>
                <c:pt idx="5">
                  <c:v>-0.115214998416155</c:v>
                </c:pt>
                <c:pt idx="6">
                  <c:v>-0.121705838873007</c:v>
                </c:pt>
                <c:pt idx="7">
                  <c:v>-0.108064043846582</c:v>
                </c:pt>
                <c:pt idx="8">
                  <c:v>-0.112464694995613</c:v>
                </c:pt>
                <c:pt idx="9">
                  <c:v>-0.0975531353224599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Sheet1!$M$12:$M$21</c:f>
              <c:numCache>
                <c:formatCode>General</c:formatCode>
                <c:ptCount val="10"/>
                <c:pt idx="0">
                  <c:v>0.499</c:v>
                </c:pt>
                <c:pt idx="1">
                  <c:v>0.48</c:v>
                </c:pt>
                <c:pt idx="2">
                  <c:v>0.5185</c:v>
                </c:pt>
                <c:pt idx="3">
                  <c:v>0.505</c:v>
                </c:pt>
                <c:pt idx="4">
                  <c:v>0.4985</c:v>
                </c:pt>
                <c:pt idx="5">
                  <c:v>0.5015</c:v>
                </c:pt>
                <c:pt idx="6">
                  <c:v>0.51</c:v>
                </c:pt>
                <c:pt idx="7">
                  <c:v>0.495</c:v>
                </c:pt>
                <c:pt idx="8">
                  <c:v>0.5045</c:v>
                </c:pt>
                <c:pt idx="9">
                  <c:v>0.4955</c:v>
                </c:pt>
              </c:numCache>
            </c:numRef>
          </c:xVal>
          <c:yVal>
            <c:numRef>
              <c:f>Sheet1!$L$12:$L$21</c:f>
              <c:numCache>
                <c:formatCode>General</c:formatCode>
                <c:ptCount val="10"/>
                <c:pt idx="0">
                  <c:v>-0.320297395840433</c:v>
                </c:pt>
                <c:pt idx="1">
                  <c:v>-0.301692175115362</c:v>
                </c:pt>
                <c:pt idx="2">
                  <c:v>-0.335818741745717</c:v>
                </c:pt>
                <c:pt idx="3">
                  <c:v>-0.31915319554435</c:v>
                </c:pt>
                <c:pt idx="4">
                  <c:v>-0.312576855979655</c:v>
                </c:pt>
                <c:pt idx="5">
                  <c:v>-0.317441952614208</c:v>
                </c:pt>
                <c:pt idx="6">
                  <c:v>-0.323853708851125</c:v>
                </c:pt>
                <c:pt idx="7">
                  <c:v>-0.3178945431916</c:v>
                </c:pt>
                <c:pt idx="8">
                  <c:v>-0.323734150770097</c:v>
                </c:pt>
                <c:pt idx="9">
                  <c:v>-0.315279395646627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Sheet1!$Q$12:$Q$21</c:f>
              <c:numCache>
                <c:formatCode>General</c:formatCode>
                <c:ptCount val="10"/>
                <c:pt idx="0">
                  <c:v>0.8025</c:v>
                </c:pt>
                <c:pt idx="1">
                  <c:v>0.8005</c:v>
                </c:pt>
                <c:pt idx="2">
                  <c:v>0.8155</c:v>
                </c:pt>
                <c:pt idx="3">
                  <c:v>0.8005</c:v>
                </c:pt>
                <c:pt idx="4">
                  <c:v>0.7805</c:v>
                </c:pt>
                <c:pt idx="5">
                  <c:v>0.799</c:v>
                </c:pt>
                <c:pt idx="6">
                  <c:v>0.804</c:v>
                </c:pt>
                <c:pt idx="7">
                  <c:v>0.804</c:v>
                </c:pt>
                <c:pt idx="8">
                  <c:v>0.8065</c:v>
                </c:pt>
                <c:pt idx="9">
                  <c:v>0.785</c:v>
                </c:pt>
              </c:numCache>
            </c:numRef>
          </c:xVal>
          <c:yVal>
            <c:numRef>
              <c:f>Sheet1!$P$12:$P$21</c:f>
              <c:numCache>
                <c:formatCode>General</c:formatCode>
                <c:ptCount val="10"/>
                <c:pt idx="0">
                  <c:v>-0.499275106418712</c:v>
                </c:pt>
                <c:pt idx="1">
                  <c:v>-0.463989418195365</c:v>
                </c:pt>
                <c:pt idx="2">
                  <c:v>-0.500039672868528</c:v>
                </c:pt>
                <c:pt idx="3">
                  <c:v>-0.482139164140953</c:v>
                </c:pt>
                <c:pt idx="4">
                  <c:v>-0.47753457299449</c:v>
                </c:pt>
                <c:pt idx="5">
                  <c:v>-0.489114012673383</c:v>
                </c:pt>
                <c:pt idx="6">
                  <c:v>-0.48861998305072</c:v>
                </c:pt>
                <c:pt idx="7">
                  <c:v>-0.490048783034757</c:v>
                </c:pt>
                <c:pt idx="8">
                  <c:v>-0.49531347206717</c:v>
                </c:pt>
                <c:pt idx="9">
                  <c:v>-0.4842982537241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Sheet1!$U$12:$U$21</c:f>
              <c:numCache>
                <c:formatCode>General</c:formatCode>
                <c:ptCount val="10"/>
                <c:pt idx="0">
                  <c:v>0.416</c:v>
                </c:pt>
                <c:pt idx="1">
                  <c:v>0.3995</c:v>
                </c:pt>
                <c:pt idx="2">
                  <c:v>0.383</c:v>
                </c:pt>
                <c:pt idx="3">
                  <c:v>0.3835</c:v>
                </c:pt>
                <c:pt idx="4">
                  <c:v>0.392</c:v>
                </c:pt>
                <c:pt idx="5">
                  <c:v>0.4005</c:v>
                </c:pt>
                <c:pt idx="6">
                  <c:v>0.403</c:v>
                </c:pt>
                <c:pt idx="7">
                  <c:v>0.3865</c:v>
                </c:pt>
                <c:pt idx="8">
                  <c:v>0.395</c:v>
                </c:pt>
                <c:pt idx="9">
                  <c:v>0.414</c:v>
                </c:pt>
              </c:numCache>
            </c:numRef>
          </c:xVal>
          <c:yVal>
            <c:numRef>
              <c:f>Sheet1!$T$12:$T$21</c:f>
              <c:numCache>
                <c:formatCode>General</c:formatCode>
                <c:ptCount val="10"/>
                <c:pt idx="0">
                  <c:v>-0.26371688280848</c:v>
                </c:pt>
                <c:pt idx="1">
                  <c:v>-0.246504865254485</c:v>
                </c:pt>
                <c:pt idx="2">
                  <c:v>-0.241847932313353</c:v>
                </c:pt>
                <c:pt idx="3">
                  <c:v>-0.236137815650893</c:v>
                </c:pt>
                <c:pt idx="4">
                  <c:v>-0.249259353139523</c:v>
                </c:pt>
                <c:pt idx="5">
                  <c:v>-0.26160917615989</c:v>
                </c:pt>
                <c:pt idx="6">
                  <c:v>-0.253856021411552</c:v>
                </c:pt>
                <c:pt idx="7">
                  <c:v>-0.242425373271008</c:v>
                </c:pt>
                <c:pt idx="8">
                  <c:v>-0.251741762673888</c:v>
                </c:pt>
                <c:pt idx="9">
                  <c:v>-0.266230129927995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75720"/>
        <c:axId val="-2111978888"/>
      </c:scatterChart>
      <c:valAx>
        <c:axId val="-211197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78888"/>
        <c:crosses val="autoZero"/>
        <c:crossBetween val="midCat"/>
      </c:valAx>
      <c:valAx>
        <c:axId val="-2111978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97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Sheet1!$E$12:$E$21</c:f>
              <c:numCache>
                <c:formatCode>General</c:formatCode>
                <c:ptCount val="10"/>
                <c:pt idx="0">
                  <c:v>0.103</c:v>
                </c:pt>
                <c:pt idx="1">
                  <c:v>0.092</c:v>
                </c:pt>
                <c:pt idx="2">
                  <c:v>0.099</c:v>
                </c:pt>
                <c:pt idx="3">
                  <c:v>0.097</c:v>
                </c:pt>
                <c:pt idx="4">
                  <c:v>0.101</c:v>
                </c:pt>
                <c:pt idx="5">
                  <c:v>0.1025</c:v>
                </c:pt>
                <c:pt idx="6">
                  <c:v>0.1015</c:v>
                </c:pt>
                <c:pt idx="7">
                  <c:v>0.1035</c:v>
                </c:pt>
                <c:pt idx="8">
                  <c:v>0.1025</c:v>
                </c:pt>
                <c:pt idx="9">
                  <c:v>0.0965</c:v>
                </c:pt>
              </c:numCache>
            </c:numRef>
          </c:xVal>
          <c:yVal>
            <c:numRef>
              <c:f>Sheet1!$D$27:$D$36</c:f>
              <c:numCache>
                <c:formatCode>General</c:formatCode>
                <c:ptCount val="10"/>
                <c:pt idx="0">
                  <c:v>0.0112845177730909</c:v>
                </c:pt>
                <c:pt idx="1">
                  <c:v>0.00985883299096521</c:v>
                </c:pt>
                <c:pt idx="2">
                  <c:v>0.00917158885202417</c:v>
                </c:pt>
                <c:pt idx="8">
                  <c:v>0.0104163715171662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Sheet1!$I$12:$I$21</c:f>
              <c:numCache>
                <c:formatCode>General</c:formatCode>
                <c:ptCount val="10"/>
                <c:pt idx="0">
                  <c:v>0.202</c:v>
                </c:pt>
                <c:pt idx="1">
                  <c:v>0.1965</c:v>
                </c:pt>
                <c:pt idx="2">
                  <c:v>0.207</c:v>
                </c:pt>
                <c:pt idx="3">
                  <c:v>0.1935</c:v>
                </c:pt>
                <c:pt idx="4">
                  <c:v>0.1985</c:v>
                </c:pt>
                <c:pt idx="5">
                  <c:v>0.2035</c:v>
                </c:pt>
                <c:pt idx="6">
                  <c:v>0.2065</c:v>
                </c:pt>
                <c:pt idx="7">
                  <c:v>0.1915</c:v>
                </c:pt>
                <c:pt idx="8">
                  <c:v>0.2</c:v>
                </c:pt>
                <c:pt idx="9">
                  <c:v>0.1895</c:v>
                </c:pt>
              </c:numCache>
            </c:numRef>
          </c:xVal>
          <c:yVal>
            <c:numRef>
              <c:f>Sheet1!$H$27:$H$36</c:f>
              <c:numCache>
                <c:formatCode>General</c:formatCode>
                <c:ptCount val="10"/>
                <c:pt idx="5">
                  <c:v>0.00807975907981688</c:v>
                </c:pt>
                <c:pt idx="7">
                  <c:v>0.00796026111891489</c:v>
                </c:pt>
                <c:pt idx="8">
                  <c:v>0.00870951384563749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Sheet1!$M$12:$M$21</c:f>
              <c:numCache>
                <c:formatCode>General</c:formatCode>
                <c:ptCount val="10"/>
                <c:pt idx="0">
                  <c:v>0.499</c:v>
                </c:pt>
                <c:pt idx="1">
                  <c:v>0.48</c:v>
                </c:pt>
                <c:pt idx="2">
                  <c:v>0.5185</c:v>
                </c:pt>
                <c:pt idx="3">
                  <c:v>0.505</c:v>
                </c:pt>
                <c:pt idx="4">
                  <c:v>0.4985</c:v>
                </c:pt>
                <c:pt idx="5">
                  <c:v>0.5015</c:v>
                </c:pt>
                <c:pt idx="6">
                  <c:v>0.51</c:v>
                </c:pt>
                <c:pt idx="7">
                  <c:v>0.495</c:v>
                </c:pt>
                <c:pt idx="8">
                  <c:v>0.5045</c:v>
                </c:pt>
                <c:pt idx="9">
                  <c:v>0.4955</c:v>
                </c:pt>
              </c:numCache>
            </c:numRef>
          </c:xVal>
          <c:yVal>
            <c:numRef>
              <c:f>Sheet1!$L$27:$L$36</c:f>
              <c:numCache>
                <c:formatCode>General</c:formatCode>
                <c:ptCount val="10"/>
                <c:pt idx="1">
                  <c:v>-0.0108740738963621</c:v>
                </c:pt>
                <c:pt idx="9">
                  <c:v>-0.0150702932424299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Sheet1!$Q$12:$Q$21</c:f>
              <c:numCache>
                <c:formatCode>General</c:formatCode>
                <c:ptCount val="10"/>
                <c:pt idx="0">
                  <c:v>0.8025</c:v>
                </c:pt>
                <c:pt idx="1">
                  <c:v>0.8005</c:v>
                </c:pt>
                <c:pt idx="2">
                  <c:v>0.8155</c:v>
                </c:pt>
                <c:pt idx="3">
                  <c:v>0.8005</c:v>
                </c:pt>
                <c:pt idx="4">
                  <c:v>0.7805</c:v>
                </c:pt>
                <c:pt idx="5">
                  <c:v>0.799</c:v>
                </c:pt>
                <c:pt idx="6">
                  <c:v>0.804</c:v>
                </c:pt>
                <c:pt idx="7">
                  <c:v>0.804</c:v>
                </c:pt>
                <c:pt idx="8">
                  <c:v>0.8065</c:v>
                </c:pt>
                <c:pt idx="9">
                  <c:v>0.785</c:v>
                </c:pt>
              </c:numCache>
            </c:numRef>
          </c:xVal>
          <c:yVal>
            <c:numRef>
              <c:f>Sheet1!$P$27:$P$36</c:f>
              <c:numCache>
                <c:formatCode>General</c:formatCode>
                <c:ptCount val="10"/>
                <c:pt idx="6">
                  <c:v>-0.00149966350889485</c:v>
                </c:pt>
                <c:pt idx="7">
                  <c:v>-0.00292846349293196</c:v>
                </c:pt>
                <c:pt idx="8">
                  <c:v>-0.00667847491482931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61384"/>
        <c:axId val="-2111416744"/>
      </c:scatterChart>
      <c:valAx>
        <c:axId val="-211256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416744"/>
        <c:crosses val="autoZero"/>
        <c:crossBetween val="midCat"/>
      </c:valAx>
      <c:valAx>
        <c:axId val="-2111416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256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(Sheet1!$E$12:$E$21,Sheet1!$I$12:$I$21,Sheet1!$M$12:$M$21,Sheet1!$Q$12:$Q$21,Sheet1!$U$12:$U$21)</c:f>
              <c:numCache>
                <c:formatCode>General</c:formatCode>
                <c:ptCount val="50"/>
                <c:pt idx="0">
                  <c:v>0.103</c:v>
                </c:pt>
                <c:pt idx="1">
                  <c:v>0.092</c:v>
                </c:pt>
                <c:pt idx="2">
                  <c:v>0.099</c:v>
                </c:pt>
                <c:pt idx="3">
                  <c:v>0.097</c:v>
                </c:pt>
                <c:pt idx="4">
                  <c:v>0.101</c:v>
                </c:pt>
                <c:pt idx="5">
                  <c:v>0.1025</c:v>
                </c:pt>
                <c:pt idx="6">
                  <c:v>0.1015</c:v>
                </c:pt>
                <c:pt idx="7">
                  <c:v>0.1035</c:v>
                </c:pt>
                <c:pt idx="8">
                  <c:v>0.1025</c:v>
                </c:pt>
                <c:pt idx="9">
                  <c:v>0.0965</c:v>
                </c:pt>
                <c:pt idx="10">
                  <c:v>0.202</c:v>
                </c:pt>
                <c:pt idx="11">
                  <c:v>0.1965</c:v>
                </c:pt>
                <c:pt idx="12">
                  <c:v>0.207</c:v>
                </c:pt>
                <c:pt idx="13">
                  <c:v>0.1935</c:v>
                </c:pt>
                <c:pt idx="14">
                  <c:v>0.1985</c:v>
                </c:pt>
                <c:pt idx="15">
                  <c:v>0.2035</c:v>
                </c:pt>
                <c:pt idx="16">
                  <c:v>0.2065</c:v>
                </c:pt>
                <c:pt idx="17">
                  <c:v>0.1915</c:v>
                </c:pt>
                <c:pt idx="18">
                  <c:v>0.2</c:v>
                </c:pt>
                <c:pt idx="19">
                  <c:v>0.1895</c:v>
                </c:pt>
                <c:pt idx="20">
                  <c:v>0.499</c:v>
                </c:pt>
                <c:pt idx="21">
                  <c:v>0.48</c:v>
                </c:pt>
                <c:pt idx="22">
                  <c:v>0.5185</c:v>
                </c:pt>
                <c:pt idx="23">
                  <c:v>0.505</c:v>
                </c:pt>
                <c:pt idx="24">
                  <c:v>0.4985</c:v>
                </c:pt>
                <c:pt idx="25">
                  <c:v>0.5015</c:v>
                </c:pt>
                <c:pt idx="26">
                  <c:v>0.51</c:v>
                </c:pt>
                <c:pt idx="27">
                  <c:v>0.495</c:v>
                </c:pt>
                <c:pt idx="28">
                  <c:v>0.5045</c:v>
                </c:pt>
                <c:pt idx="29">
                  <c:v>0.4955</c:v>
                </c:pt>
                <c:pt idx="30">
                  <c:v>0.8025</c:v>
                </c:pt>
                <c:pt idx="31">
                  <c:v>0.8005</c:v>
                </c:pt>
                <c:pt idx="32">
                  <c:v>0.8155</c:v>
                </c:pt>
                <c:pt idx="33">
                  <c:v>0.8005</c:v>
                </c:pt>
                <c:pt idx="34">
                  <c:v>0.7805</c:v>
                </c:pt>
                <c:pt idx="35">
                  <c:v>0.799</c:v>
                </c:pt>
                <c:pt idx="36">
                  <c:v>0.804</c:v>
                </c:pt>
                <c:pt idx="37">
                  <c:v>0.804</c:v>
                </c:pt>
                <c:pt idx="38">
                  <c:v>0.8065</c:v>
                </c:pt>
                <c:pt idx="39">
                  <c:v>0.785</c:v>
                </c:pt>
                <c:pt idx="40">
                  <c:v>0.416</c:v>
                </c:pt>
                <c:pt idx="41">
                  <c:v>0.3995</c:v>
                </c:pt>
                <c:pt idx="42">
                  <c:v>0.383</c:v>
                </c:pt>
                <c:pt idx="43">
                  <c:v>0.3835</c:v>
                </c:pt>
                <c:pt idx="44">
                  <c:v>0.392</c:v>
                </c:pt>
                <c:pt idx="45">
                  <c:v>0.4005</c:v>
                </c:pt>
                <c:pt idx="46">
                  <c:v>0.403</c:v>
                </c:pt>
                <c:pt idx="47">
                  <c:v>0.3865</c:v>
                </c:pt>
                <c:pt idx="48">
                  <c:v>0.395</c:v>
                </c:pt>
                <c:pt idx="49">
                  <c:v>0.414</c:v>
                </c:pt>
              </c:numCache>
            </c:numRef>
          </c:xVal>
          <c:yVal>
            <c:numRef>
              <c:f>(Sheet1!$D$12:$D$21,Sheet1!$H$12:$H$21,Sheet1!$L$12:$L$21,Sheet1!$P$12:$P$21,Sheet1!$T$12:$T$21)</c:f>
              <c:numCache>
                <c:formatCode>General</c:formatCode>
                <c:ptCount val="50"/>
                <c:pt idx="0">
                  <c:v>-0.0511201997801529</c:v>
                </c:pt>
                <c:pt idx="1">
                  <c:v>-0.0458813030760098</c:v>
                </c:pt>
                <c:pt idx="2">
                  <c:v>-0.0508096445243946</c:v>
                </c:pt>
                <c:pt idx="3">
                  <c:v>-0.0449110082441225</c:v>
                </c:pt>
                <c:pt idx="4">
                  <c:v>-0.0474995236829547</c:v>
                </c:pt>
                <c:pt idx="5">
                  <c:v>-0.0534419303030123</c:v>
                </c:pt>
                <c:pt idx="6">
                  <c:v>-0.0508164565275819</c:v>
                </c:pt>
                <c:pt idx="7">
                  <c:v>-0.05027792187018</c:v>
                </c:pt>
                <c:pt idx="8">
                  <c:v>-0.0516854105139745</c:v>
                </c:pt>
                <c:pt idx="9">
                  <c:v>-0.0449806359419821</c:v>
                </c:pt>
                <c:pt idx="10">
                  <c:v>-0.115489580913585</c:v>
                </c:pt>
                <c:pt idx="11">
                  <c:v>-0.112097589241995</c:v>
                </c:pt>
                <c:pt idx="12">
                  <c:v>-0.119100454607072</c:v>
                </c:pt>
                <c:pt idx="13">
                  <c:v>-0.105912301563217</c:v>
                </c:pt>
                <c:pt idx="14">
                  <c:v>-0.117481136897268</c:v>
                </c:pt>
                <c:pt idx="15">
                  <c:v>-0.115214998416155</c:v>
                </c:pt>
                <c:pt idx="16">
                  <c:v>-0.121705838873007</c:v>
                </c:pt>
                <c:pt idx="17">
                  <c:v>-0.108064043846582</c:v>
                </c:pt>
                <c:pt idx="18">
                  <c:v>-0.112464694995613</c:v>
                </c:pt>
                <c:pt idx="19">
                  <c:v>-0.0975531353224599</c:v>
                </c:pt>
                <c:pt idx="20">
                  <c:v>-0.320297395840433</c:v>
                </c:pt>
                <c:pt idx="21">
                  <c:v>-0.301692175115362</c:v>
                </c:pt>
                <c:pt idx="22">
                  <c:v>-0.335818741745717</c:v>
                </c:pt>
                <c:pt idx="23">
                  <c:v>-0.31915319554435</c:v>
                </c:pt>
                <c:pt idx="24">
                  <c:v>-0.312576855979655</c:v>
                </c:pt>
                <c:pt idx="25">
                  <c:v>-0.317441952614208</c:v>
                </c:pt>
                <c:pt idx="26">
                  <c:v>-0.323853708851125</c:v>
                </c:pt>
                <c:pt idx="27">
                  <c:v>-0.3178945431916</c:v>
                </c:pt>
                <c:pt idx="28">
                  <c:v>-0.323734150770097</c:v>
                </c:pt>
                <c:pt idx="29">
                  <c:v>-0.315279395646627</c:v>
                </c:pt>
                <c:pt idx="30">
                  <c:v>-0.499275106418712</c:v>
                </c:pt>
                <c:pt idx="31">
                  <c:v>-0.463989418195365</c:v>
                </c:pt>
                <c:pt idx="32">
                  <c:v>-0.500039672868528</c:v>
                </c:pt>
                <c:pt idx="33">
                  <c:v>-0.482139164140953</c:v>
                </c:pt>
                <c:pt idx="34">
                  <c:v>-0.47753457299449</c:v>
                </c:pt>
                <c:pt idx="35">
                  <c:v>-0.489114012673383</c:v>
                </c:pt>
                <c:pt idx="36">
                  <c:v>-0.48861998305072</c:v>
                </c:pt>
                <c:pt idx="37">
                  <c:v>-0.490048783034757</c:v>
                </c:pt>
                <c:pt idx="38">
                  <c:v>-0.49531347206717</c:v>
                </c:pt>
                <c:pt idx="39">
                  <c:v>-0.4842982537241</c:v>
                </c:pt>
                <c:pt idx="40">
                  <c:v>-0.26371688280848</c:v>
                </c:pt>
                <c:pt idx="41">
                  <c:v>-0.246504865254485</c:v>
                </c:pt>
                <c:pt idx="42">
                  <c:v>-0.241847932313353</c:v>
                </c:pt>
                <c:pt idx="43">
                  <c:v>-0.236137815650893</c:v>
                </c:pt>
                <c:pt idx="44">
                  <c:v>-0.249259353139523</c:v>
                </c:pt>
                <c:pt idx="45">
                  <c:v>-0.26160917615989</c:v>
                </c:pt>
                <c:pt idx="46">
                  <c:v>-0.253856021411552</c:v>
                </c:pt>
                <c:pt idx="47">
                  <c:v>-0.242425373271008</c:v>
                </c:pt>
                <c:pt idx="48">
                  <c:v>-0.251741762673888</c:v>
                </c:pt>
                <c:pt idx="49">
                  <c:v>-0.266230129927995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39608"/>
        <c:axId val="-2111369992"/>
      </c:scatterChart>
      <c:valAx>
        <c:axId val="-21113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369992"/>
        <c:crosses val="autoZero"/>
        <c:crossBetween val="midCat"/>
      </c:valAx>
      <c:valAx>
        <c:axId val="-211136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3396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37120297462817"/>
          <c:y val="0.402393919510061"/>
          <c:w val="0.134141951006124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7661854768154"/>
          <c:y val="0.0601851851851852"/>
          <c:w val="0.712758530183727"/>
          <c:h val="0.879629629629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(Sheet1!$D$11,Sheet1!$H$11,Sheet1!$L$11,Sheet1!$P$11,Sheet1!$T$11,Sheet1!$X$11,Sheet1!$AB$11,Sheet1!$AF$11,Sheet1!$AJ$11,Sheet1!$AB$32,Sheet1!$AC$32)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0.4</c:v>
                </c:pt>
                <c:pt idx="5">
                  <c:v>0.6</c:v>
                </c:pt>
                <c:pt idx="6">
                  <c:v>0.3</c:v>
                </c:pt>
                <c:pt idx="7">
                  <c:v>0.7</c:v>
                </c:pt>
                <c:pt idx="8">
                  <c:v>0.9</c:v>
                </c:pt>
                <c:pt idx="9">
                  <c:v>0.0</c:v>
                </c:pt>
                <c:pt idx="10">
                  <c:v>1.0</c:v>
                </c:pt>
              </c:numCache>
            </c:numRef>
          </c:xVal>
          <c:yVal>
            <c:numRef>
              <c:f>(Sheet1!$D$22,Sheet1!$H$22,Sheet1!$L$22,Sheet1!$P$22,Sheet1!$T$22,Sheet1!$X$22,Sheet1!$AB$22,Sheet1!$AF$22,Sheet1!$AJ$22,Sheet1!$AB$33,Sheet1!$AC$33)</c:f>
              <c:numCache>
                <c:formatCode>General</c:formatCode>
                <c:ptCount val="11"/>
                <c:pt idx="0">
                  <c:v>-0.0491424034464365</c:v>
                </c:pt>
                <c:pt idx="1">
                  <c:v>-0.112508377467695</c:v>
                </c:pt>
                <c:pt idx="2">
                  <c:v>-0.318774211529917</c:v>
                </c:pt>
                <c:pt idx="3">
                  <c:v>-0.487037243916818</c:v>
                </c:pt>
                <c:pt idx="4">
                  <c:v>-0.251332931261107</c:v>
                </c:pt>
                <c:pt idx="5">
                  <c:v>-0.384023758954271</c:v>
                </c:pt>
                <c:pt idx="6">
                  <c:v>-0.180209198046314</c:v>
                </c:pt>
                <c:pt idx="7">
                  <c:v>-0.442474002544476</c:v>
                </c:pt>
                <c:pt idx="8">
                  <c:v>-0.543637250459881</c:v>
                </c:pt>
                <c:pt idx="9">
                  <c:v>0.0</c:v>
                </c:pt>
                <c:pt idx="10">
                  <c:v>-0.60587104420625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641816"/>
        <c:axId val="-2093638744"/>
      </c:scatterChart>
      <c:valAx>
        <c:axId val="-209364181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638744"/>
        <c:crosses val="autoZero"/>
        <c:crossBetween val="midCat"/>
      </c:valAx>
      <c:valAx>
        <c:axId val="-2093638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364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(Sheet1!$D$11,Sheet1!$H$11,Sheet1!$L$11,Sheet1!$P$11,Sheet1!$T$11,Sheet1!$X$11,Sheet1!$AB$11,Sheet1!$AF$11,Sheet1!$AJ$11,Sheet1!$AB$29,Sheet1!$AC$29)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0.4</c:v>
                </c:pt>
                <c:pt idx="5">
                  <c:v>0.6</c:v>
                </c:pt>
                <c:pt idx="6">
                  <c:v>0.3</c:v>
                </c:pt>
                <c:pt idx="7">
                  <c:v>0.7</c:v>
                </c:pt>
                <c:pt idx="8">
                  <c:v>0.9</c:v>
                </c:pt>
                <c:pt idx="9">
                  <c:v>0.0</c:v>
                </c:pt>
                <c:pt idx="10">
                  <c:v>1.0</c:v>
                </c:pt>
              </c:numCache>
            </c:numRef>
          </c:xVal>
          <c:yVal>
            <c:numRef>
              <c:f>(Sheet1!$D$25,Sheet1!$H$25,Sheet1!$L$25,Sheet1!$P$25,Sheet1!$T$25,Sheet1!$X$25,Sheet1!$AB$25,Sheet1!$AF$25,Sheet1!$AJ$25,Sheet1!$AB$30,Sheet1!$AC$30)</c:f>
              <c:numCache>
                <c:formatCode>General</c:formatCode>
                <c:ptCount val="11"/>
                <c:pt idx="0">
                  <c:v>0.0114447009741885</c:v>
                </c:pt>
                <c:pt idx="1">
                  <c:v>0.00866583137355477</c:v>
                </c:pt>
                <c:pt idx="2">
                  <c:v>-0.0158386894267923</c:v>
                </c:pt>
                <c:pt idx="3">
                  <c:v>-0.00234040855181755</c:v>
                </c:pt>
                <c:pt idx="4">
                  <c:v>-0.00898451357860647</c:v>
                </c:pt>
                <c:pt idx="5">
                  <c:v>-0.020501132430521</c:v>
                </c:pt>
                <c:pt idx="6">
                  <c:v>0.00155211521556131</c:v>
                </c:pt>
                <c:pt idx="7">
                  <c:v>-0.0183642716001008</c:v>
                </c:pt>
                <c:pt idx="8">
                  <c:v>0.00164668932574419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30984"/>
        <c:axId val="-2054033128"/>
      </c:scatterChart>
      <c:valAx>
        <c:axId val="-205313098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4033128"/>
        <c:crosses val="autoZero"/>
        <c:crossBetween val="midCat"/>
      </c:valAx>
      <c:valAx>
        <c:axId val="-2054033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3130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35</xdr:row>
      <xdr:rowOff>177800</xdr:rowOff>
    </xdr:from>
    <xdr:to>
      <xdr:col>6</xdr:col>
      <xdr:colOff>304800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38</xdr:row>
      <xdr:rowOff>177800</xdr:rowOff>
    </xdr:from>
    <xdr:to>
      <xdr:col>13</xdr:col>
      <xdr:colOff>647700</xdr:colOff>
      <xdr:row>53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8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482600</xdr:colOff>
      <xdr:row>38</xdr:row>
      <xdr:rowOff>88900</xdr:rowOff>
    </xdr:from>
    <xdr:to>
      <xdr:col>20</xdr:col>
      <xdr:colOff>101600</xdr:colOff>
      <xdr:row>52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304800</xdr:colOff>
      <xdr:row>38</xdr:row>
      <xdr:rowOff>88900</xdr:rowOff>
    </xdr:from>
    <xdr:to>
      <xdr:col>25</xdr:col>
      <xdr:colOff>749300</xdr:colOff>
      <xdr:row>52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6"/>
  <sheetViews>
    <sheetView tabSelected="1" topLeftCell="I1" workbookViewId="0">
      <selection activeCell="R33" sqref="R33"/>
    </sheetView>
  </sheetViews>
  <sheetFormatPr baseColWidth="10" defaultRowHeight="15" x14ac:dyDescent="0"/>
  <sheetData>
    <row r="2" spans="1:37">
      <c r="A2" t="s">
        <v>0</v>
      </c>
    </row>
    <row r="3" spans="1:37">
      <c r="A3" t="s">
        <v>1</v>
      </c>
    </row>
    <row r="4" spans="1:37">
      <c r="A4" t="s">
        <v>2</v>
      </c>
    </row>
    <row r="5" spans="1:37">
      <c r="A5" t="s">
        <v>5</v>
      </c>
      <c r="C5" t="s">
        <v>3</v>
      </c>
      <c r="D5" t="s">
        <v>6</v>
      </c>
      <c r="E5" t="s">
        <v>7</v>
      </c>
      <c r="F5" t="s">
        <v>8</v>
      </c>
      <c r="H5" t="s">
        <v>9</v>
      </c>
      <c r="I5" t="s">
        <v>10</v>
      </c>
      <c r="J5" t="s">
        <v>3</v>
      </c>
      <c r="K5" t="s">
        <v>6</v>
      </c>
      <c r="L5" t="s">
        <v>7</v>
      </c>
      <c r="M5" t="s">
        <v>8</v>
      </c>
      <c r="N5" t="s">
        <v>11</v>
      </c>
    </row>
    <row r="6" spans="1:37">
      <c r="A6">
        <v>0</v>
      </c>
      <c r="B6">
        <v>0</v>
      </c>
      <c r="C6">
        <v>-8244.8712527099997</v>
      </c>
      <c r="D6">
        <f>C6/2000</f>
        <v>-4.1224356263550002</v>
      </c>
      <c r="E6">
        <v>23269.753000000001</v>
      </c>
      <c r="F6">
        <f>(E6^(1/3))/10</f>
        <v>2.8549417903874623</v>
      </c>
      <c r="H6">
        <v>0</v>
      </c>
      <c r="I6">
        <v>0</v>
      </c>
      <c r="J6">
        <v>-4619.1319000000003</v>
      </c>
      <c r="K6">
        <f>J6/1024</f>
        <v>-4.5108709960937503</v>
      </c>
      <c r="L6">
        <v>11629.038</v>
      </c>
      <c r="M6">
        <f>(L6^(1/3))/8</f>
        <v>2.83198713561882</v>
      </c>
      <c r="N6">
        <f>(J6-512*D8-512*K8)/1024</f>
        <v>-0.60587104420625049</v>
      </c>
    </row>
    <row r="7" spans="1:37">
      <c r="A7" t="s">
        <v>12</v>
      </c>
      <c r="H7" t="s">
        <v>13</v>
      </c>
    </row>
    <row r="8" spans="1:37">
      <c r="A8">
        <v>0</v>
      </c>
      <c r="B8">
        <v>0</v>
      </c>
      <c r="C8">
        <v>-17799.9996637</v>
      </c>
      <c r="D8">
        <f>C8/4000</f>
        <v>-4.4499999159249999</v>
      </c>
      <c r="E8">
        <v>43618.855000000003</v>
      </c>
      <c r="F8">
        <f>(E8^(1/3))/10</f>
        <v>3.5201250117017246</v>
      </c>
      <c r="H8">
        <v>0</v>
      </c>
      <c r="I8">
        <v>0</v>
      </c>
      <c r="J8">
        <v>-13439.999951399999</v>
      </c>
      <c r="K8">
        <f>J8/4000</f>
        <v>-3.3599999878499998</v>
      </c>
      <c r="L8">
        <v>66430.125</v>
      </c>
      <c r="M8">
        <f>(L8^(1/3))/10</f>
        <v>4.0499999999999989</v>
      </c>
    </row>
    <row r="10" spans="1:37">
      <c r="B10" t="s">
        <v>3</v>
      </c>
      <c r="C10" t="s">
        <v>4</v>
      </c>
      <c r="D10" t="s">
        <v>11</v>
      </c>
      <c r="F10" s="1" t="s">
        <v>3</v>
      </c>
      <c r="G10" t="s">
        <v>4</v>
      </c>
      <c r="H10" t="s">
        <v>11</v>
      </c>
      <c r="J10" s="1" t="s">
        <v>3</v>
      </c>
      <c r="K10" t="s">
        <v>4</v>
      </c>
      <c r="L10" t="s">
        <v>11</v>
      </c>
      <c r="N10" s="1" t="s">
        <v>3</v>
      </c>
      <c r="O10" t="s">
        <v>4</v>
      </c>
      <c r="P10" t="s">
        <v>11</v>
      </c>
      <c r="R10" s="1" t="s">
        <v>3</v>
      </c>
      <c r="S10" t="s">
        <v>4</v>
      </c>
      <c r="T10" t="s">
        <v>11</v>
      </c>
      <c r="V10" s="1" t="s">
        <v>3</v>
      </c>
      <c r="W10" t="s">
        <v>4</v>
      </c>
      <c r="X10" t="s">
        <v>11</v>
      </c>
      <c r="Z10" s="1" t="s">
        <v>3</v>
      </c>
      <c r="AA10" t="s">
        <v>4</v>
      </c>
      <c r="AB10" t="s">
        <v>11</v>
      </c>
      <c r="AD10" s="1" t="s">
        <v>3</v>
      </c>
      <c r="AE10" t="s">
        <v>4</v>
      </c>
      <c r="AF10" t="s">
        <v>11</v>
      </c>
      <c r="AH10" s="1" t="s">
        <v>3</v>
      </c>
      <c r="AI10" t="s">
        <v>4</v>
      </c>
      <c r="AJ10" t="s">
        <v>11</v>
      </c>
    </row>
    <row r="11" spans="1:37">
      <c r="B11">
        <v>0</v>
      </c>
      <c r="D11">
        <v>0.1</v>
      </c>
      <c r="F11" s="1">
        <v>0</v>
      </c>
      <c r="H11">
        <v>0.2</v>
      </c>
      <c r="J11" s="1">
        <v>0</v>
      </c>
      <c r="L11">
        <v>0.5</v>
      </c>
      <c r="N11" s="1">
        <v>0</v>
      </c>
      <c r="P11">
        <v>0.8</v>
      </c>
      <c r="R11" s="1">
        <v>0</v>
      </c>
      <c r="T11">
        <v>0.4</v>
      </c>
      <c r="V11" s="1">
        <v>0</v>
      </c>
      <c r="X11">
        <v>0.6</v>
      </c>
      <c r="Z11" s="1">
        <v>0</v>
      </c>
      <c r="AB11">
        <v>0.3</v>
      </c>
      <c r="AD11" s="1">
        <v>0</v>
      </c>
      <c r="AF11">
        <v>0.7</v>
      </c>
      <c r="AH11" s="1">
        <v>0</v>
      </c>
      <c r="AJ11">
        <v>0.9</v>
      </c>
    </row>
    <row r="12" spans="1:37">
      <c r="A12">
        <v>1</v>
      </c>
      <c r="B12">
        <v>-8302.3199033300007</v>
      </c>
      <c r="C12">
        <f>B12-1794*$D$6-103*$D$8-103*$K$8</f>
        <v>-102.24039956030583</v>
      </c>
      <c r="D12">
        <f>C12/2000</f>
        <v>-5.1120199780152913E-2</v>
      </c>
      <c r="E12">
        <f>(2000-1794)/2000</f>
        <v>0.10299999999999999</v>
      </c>
      <c r="F12" s="1">
        <v>-8383.6464023400003</v>
      </c>
      <c r="G12">
        <f>F12-1596*$D$6-198*$D$8-206*$K$8</f>
        <v>-230.97916182717029</v>
      </c>
      <c r="H12">
        <f>G12/2000</f>
        <v>-0.11548958091358515</v>
      </c>
      <c r="I12">
        <f>(2000-1596)/2000</f>
        <v>0.20200000000000001</v>
      </c>
      <c r="J12" s="1">
        <v>-8664.1052415600006</v>
      </c>
      <c r="K12">
        <f>J12-1002*$D$6-495*$D$8-503*$K$8</f>
        <v>-640.59479168086591</v>
      </c>
      <c r="L12">
        <f>K12/2000</f>
        <v>-0.32029739584043293</v>
      </c>
      <c r="M12">
        <f>(2000-1002)/2000</f>
        <v>0.499</v>
      </c>
      <c r="N12" s="1">
        <v>-8878.6322090699996</v>
      </c>
      <c r="O12">
        <f>N12-395*$D$6-788*$D$8-817*$K$8</f>
        <v>-998.55021283742508</v>
      </c>
      <c r="P12">
        <f>O12/2000</f>
        <v>-0.49927510641871253</v>
      </c>
      <c r="Q12">
        <f>(2000-395)/2000</f>
        <v>0.80249999999999999</v>
      </c>
      <c r="R12" s="1">
        <v>-8591.3985371700001</v>
      </c>
      <c r="S12">
        <f>R12-1168*$D$6-416*$D$8-416*$K$8</f>
        <v>-527.43376561696005</v>
      </c>
      <c r="T12">
        <f>S12/2000</f>
        <v>-0.26371688280848005</v>
      </c>
      <c r="U12">
        <f>(2000-1168)/2000</f>
        <v>0.41599999999999998</v>
      </c>
      <c r="V12" s="1">
        <v>-8773.0140910699993</v>
      </c>
      <c r="W12">
        <f>V12-745*$D$6-620*$D$8-635*$K$8</f>
        <v>-809.19960927727379</v>
      </c>
      <c r="X12">
        <f>W12/2000</f>
        <v>-0.40459980463863687</v>
      </c>
      <c r="Y12">
        <f>(2000-745)/2000</f>
        <v>0.62749999999999995</v>
      </c>
      <c r="Z12" s="1">
        <v>-8493.2908205299991</v>
      </c>
      <c r="AA12">
        <f>Z12-1373*$D$6-322*$D$8-305*$K$8</f>
        <v>-375.48673632248369</v>
      </c>
      <c r="AB12">
        <f>AA12/2000</f>
        <v>-0.18774336816124185</v>
      </c>
      <c r="AC12">
        <f>(2000-1373)/2000</f>
        <v>0.3135</v>
      </c>
      <c r="AD12" s="1">
        <v>-8831.7929597399998</v>
      </c>
      <c r="AE12">
        <f>AD12-565*$D$6-708*$D$8-727*$K$8</f>
        <v>-909.29689920757528</v>
      </c>
      <c r="AF12">
        <f>AE12/2000</f>
        <v>-0.45464844960378764</v>
      </c>
      <c r="AG12">
        <f>(2000-565)/2000</f>
        <v>0.71750000000000003</v>
      </c>
      <c r="AH12" s="1">
        <v>-8953.3141224999999</v>
      </c>
      <c r="AI12">
        <f>AH12-181*$D$6-899*$D$8-920*$K$8</f>
        <v>-1115.4033608911705</v>
      </c>
      <c r="AJ12">
        <f>AI12/2000</f>
        <v>-0.55770168044558521</v>
      </c>
      <c r="AK12">
        <f>(2000-181)/2000</f>
        <v>0.90949999999999998</v>
      </c>
    </row>
    <row r="13" spans="1:37">
      <c r="A13">
        <v>2</v>
      </c>
      <c r="B13">
        <v>-8296.6256947599995</v>
      </c>
      <c r="C13">
        <f>B13-1816*$D$6-92*$D$8-92*$K$8</f>
        <v>-91.762606152019657</v>
      </c>
      <c r="D13">
        <f>C13/2000</f>
        <v>-4.5881303076009829E-2</v>
      </c>
      <c r="E13">
        <f>(2000-1816)/2000</f>
        <v>9.1999999999999998E-2</v>
      </c>
      <c r="F13" s="1">
        <v>-8379.7992113799992</v>
      </c>
      <c r="G13">
        <f>F13-1607*$D$6-193*$D$8-200*$K$8</f>
        <v>-224.19517848398903</v>
      </c>
      <c r="H13">
        <f>G13/2000</f>
        <v>-0.11209758924199452</v>
      </c>
      <c r="I13">
        <f>(2000-1607)/2000</f>
        <v>0.19650000000000001</v>
      </c>
      <c r="J13" s="1">
        <v>-8640.6073553799997</v>
      </c>
      <c r="K13">
        <f>J13-1040*$D$6-481*$D$8-479*$K$8</f>
        <v>-603.38435023072452</v>
      </c>
      <c r="L13">
        <f>K13/2000</f>
        <v>-0.30169217511536228</v>
      </c>
      <c r="M13">
        <f>(2000-1040)/2000</f>
        <v>0.48</v>
      </c>
      <c r="N13" s="1">
        <v>-8876.3205729700003</v>
      </c>
      <c r="O13">
        <f>N13-399*$D$6-817*$D$8-794*$K$8</f>
        <v>-927.97883639073052</v>
      </c>
      <c r="P13">
        <f>O13/2000</f>
        <v>-0.46398941819536527</v>
      </c>
      <c r="Q13">
        <f>(2000-399)/2000</f>
        <v>0.80049999999999999</v>
      </c>
      <c r="R13" s="1">
        <v>-8572.3248787800003</v>
      </c>
      <c r="S13">
        <f>R13-1201*$D$6-407*$D$8-392*$K$8</f>
        <v>-493.00973050897005</v>
      </c>
      <c r="T13">
        <f>S13/2000</f>
        <v>-0.24650486525448503</v>
      </c>
      <c r="U13">
        <f>(2000-1201)/2000</f>
        <v>0.39950000000000002</v>
      </c>
      <c r="V13" s="1">
        <v>-8746.2359068099995</v>
      </c>
      <c r="W13">
        <f>V13-767*$D$6-616*$D$8-617*$K$8</f>
        <v>-770.00784068246412</v>
      </c>
      <c r="X13">
        <f>W13/2000</f>
        <v>-0.38500392034123204</v>
      </c>
      <c r="Y13">
        <f>(2000-767)/2000</f>
        <v>0.61650000000000005</v>
      </c>
      <c r="Z13" s="1">
        <v>-8470.9963042799991</v>
      </c>
      <c r="AA13">
        <f>Z13-1404*$D$6-297*$D$8-299*$K$8</f>
        <v>-356.80671348070382</v>
      </c>
      <c r="AB13">
        <f>AA13/2000</f>
        <v>-0.1784033567403519</v>
      </c>
      <c r="AC13">
        <f>(2000-1404)/2000</f>
        <v>0.29799999999999999</v>
      </c>
      <c r="AD13" s="1">
        <v>-8807.8276839900009</v>
      </c>
      <c r="AE13">
        <f>AD13-577*$D$6-714*$D$8-709*$K$8</f>
        <v>-869.642396227066</v>
      </c>
      <c r="AF13">
        <f>AE13/2000</f>
        <v>-0.43482119811353298</v>
      </c>
      <c r="AG13">
        <f>(2000-577)/2000</f>
        <v>0.71150000000000002</v>
      </c>
      <c r="AH13" s="1">
        <v>-8939.9988050299999</v>
      </c>
      <c r="AI13">
        <f>AH13-197*$D$6-902*$D$8-901*$K$8</f>
        <v>-1086.6190734208644</v>
      </c>
      <c r="AJ13">
        <f>AI13/2000</f>
        <v>-0.54330953671043225</v>
      </c>
      <c r="AK13">
        <f>(2000-197)/2000</f>
        <v>0.90149999999999997</v>
      </c>
    </row>
    <row r="14" spans="1:37">
      <c r="A14">
        <v>3</v>
      </c>
      <c r="B14">
        <v>-8300.1682784299992</v>
      </c>
      <c r="C14">
        <f>B14-1802*$D$6-96*$D$8-102*$K$8</f>
        <v>-101.61928904878926</v>
      </c>
      <c r="D14">
        <f t="shared" ref="D14:D21" si="0">C14/2000</f>
        <v>-5.0809644524394626E-2</v>
      </c>
      <c r="E14">
        <f>(2000-1802)/2000</f>
        <v>9.9000000000000005E-2</v>
      </c>
      <c r="F14" s="1">
        <v>-8384.3337932699997</v>
      </c>
      <c r="G14">
        <f>F14-1586*$D$6-199*$D$8-215*$K$8</f>
        <v>-238.20090921414396</v>
      </c>
      <c r="H14">
        <f t="shared" ref="H14:H21" si="1">G14/2000</f>
        <v>-0.11910045460707198</v>
      </c>
      <c r="I14">
        <f>(2000-1586)/2000</f>
        <v>0.20699999999999999</v>
      </c>
      <c r="J14" s="1">
        <v>-8681.7629423899998</v>
      </c>
      <c r="K14">
        <f>J14-963*$D$6-510*$D$8-527*$K$8</f>
        <v>-671.63748349143475</v>
      </c>
      <c r="L14">
        <f t="shared" ref="L14:L21" si="2">K14/2000</f>
        <v>-0.33581874174571735</v>
      </c>
      <c r="M14">
        <f>(2000-963)/2000</f>
        <v>0.51849999999999996</v>
      </c>
      <c r="N14" s="1">
        <v>-8882.1380139299999</v>
      </c>
      <c r="O14">
        <f>N14-369*$D$6-808*$D$8-823*$K$8</f>
        <v>-1000.0793457370551</v>
      </c>
      <c r="P14">
        <f t="shared" ref="P14:P21" si="3">O14/2000</f>
        <v>-0.50003967286852757</v>
      </c>
      <c r="Q14">
        <f>(2000-369)/2000</f>
        <v>0.8155</v>
      </c>
      <c r="R14" s="1">
        <v>-8553.2913912700005</v>
      </c>
      <c r="S14">
        <f>R14-1234*$D$6-375*$D$8-391*$K$8</f>
        <v>-483.69586462670509</v>
      </c>
      <c r="T14">
        <f t="shared" ref="T14:T21" si="4">S14/2000</f>
        <v>-0.24184793231335255</v>
      </c>
      <c r="U14">
        <f>(2000-1234)/2000</f>
        <v>0.38300000000000001</v>
      </c>
      <c r="V14" s="1">
        <v>-8732.9963281399996</v>
      </c>
      <c r="W14">
        <f>V14-815*$D$6-577*$D$8-608*$K$8</f>
        <v>-762.68134855915014</v>
      </c>
      <c r="X14">
        <f t="shared" ref="X14:X21" si="5">W14/2000</f>
        <v>-0.38134067427957508</v>
      </c>
      <c r="Y14">
        <f>(2000-815)/2000</f>
        <v>0.59250000000000003</v>
      </c>
      <c r="Z14" s="1">
        <v>-8460.1359611999997</v>
      </c>
      <c r="AA14">
        <f>Z14-1431*$D$6-275*$D$8-294*$K$8</f>
        <v>-349.34060657871919</v>
      </c>
      <c r="AB14">
        <f t="shared" ref="AB14:AB21" si="6">AA14/2000</f>
        <v>-0.17467030328935959</v>
      </c>
      <c r="AC14">
        <f>(2000-1431)/2000</f>
        <v>0.28449999999999998</v>
      </c>
      <c r="AD14" s="1">
        <v>-8817.8658261700002</v>
      </c>
      <c r="AE14">
        <f>AD14-588*$D$6-697*$D$8-715*$K$8</f>
        <v>-889.82374516078517</v>
      </c>
      <c r="AF14">
        <f t="shared" ref="AF14:AF21" si="7">AE14/2000</f>
        <v>-0.44491187258039261</v>
      </c>
      <c r="AG14">
        <f>(2000-588)/2000</f>
        <v>0.70599999999999996</v>
      </c>
      <c r="AH14" s="1">
        <v>-8931.9500187600006</v>
      </c>
      <c r="AI14">
        <f>AH14-222*$D$6-895*$D$8-883*$K$8</f>
        <v>-1067.139395684766</v>
      </c>
      <c r="AJ14">
        <f t="shared" ref="AJ14:AJ21" si="8">AI14/2000</f>
        <v>-0.53356969784238295</v>
      </c>
      <c r="AK14">
        <f>(2000-222)/2000</f>
        <v>0.88900000000000001</v>
      </c>
    </row>
    <row r="15" spans="1:37">
      <c r="A15">
        <v>4</v>
      </c>
      <c r="B15">
        <v>-8299.0507479200005</v>
      </c>
      <c r="C15">
        <f>B15-1806*$D$6-103*$D$8-91*$K$8</f>
        <v>-89.822016488245083</v>
      </c>
      <c r="D15">
        <f t="shared" si="0"/>
        <v>-4.4911008244122544E-2</v>
      </c>
      <c r="E15">
        <f>(2000-1806)/2000</f>
        <v>9.7000000000000003E-2</v>
      </c>
      <c r="F15" s="1">
        <v>-8379.6332493499995</v>
      </c>
      <c r="G15">
        <f>F15-1613*$D$6-200*$D$8-187*$K$8</f>
        <v>-211.82460312643445</v>
      </c>
      <c r="H15">
        <f t="shared" si="1"/>
        <v>-0.10591230156321722</v>
      </c>
      <c r="I15">
        <f>(2000-1613)/2000</f>
        <v>0.19350000000000001</v>
      </c>
      <c r="J15" s="1">
        <v>-8655.93761309</v>
      </c>
      <c r="K15">
        <f>J15-990*$D$6-498*$D$8-512*$K$8</f>
        <v>-638.30639108870059</v>
      </c>
      <c r="L15">
        <f t="shared" si="2"/>
        <v>-0.31915319554435029</v>
      </c>
      <c r="M15">
        <f>(2000-990)/2000</f>
        <v>0.505</v>
      </c>
      <c r="N15" s="1">
        <v>-8869.2100656300008</v>
      </c>
      <c r="O15">
        <f>N15-399*$D$6-808*$D$8-793*$K$8</f>
        <v>-964.27832828190594</v>
      </c>
      <c r="P15">
        <f t="shared" si="3"/>
        <v>-0.48213916414095298</v>
      </c>
      <c r="Q15">
        <f>(2000-399)/2000</f>
        <v>0.80049999999999999</v>
      </c>
      <c r="R15" s="1">
        <v>-8561.8187209400003</v>
      </c>
      <c r="S15">
        <f>R15-1233*$D$6-394*$D$8-373*$K$8</f>
        <v>-472.27563130178555</v>
      </c>
      <c r="T15">
        <f t="shared" si="4"/>
        <v>-0.23613781565089279</v>
      </c>
      <c r="U15">
        <f>(2000-1233)/2000</f>
        <v>0.38350000000000001</v>
      </c>
      <c r="V15" s="1">
        <v>-8743.5944981499997</v>
      </c>
      <c r="W15">
        <f>V15-799*$D$6-600*$D$8-601*$K$8</f>
        <v>-760.4084904395047</v>
      </c>
      <c r="X15">
        <f t="shared" si="5"/>
        <v>-0.38020424521975238</v>
      </c>
      <c r="Y15">
        <f>(2000-799)/2000</f>
        <v>0.60050000000000003</v>
      </c>
      <c r="Z15" s="1">
        <v>-8467.5352998100007</v>
      </c>
      <c r="AA15">
        <f>Z15-1417*$D$6-288*$D$8-295*$K$8</f>
        <v>-353.24404506281519</v>
      </c>
      <c r="AB15">
        <f t="shared" si="6"/>
        <v>-0.1766220225314076</v>
      </c>
      <c r="AC15">
        <f>(2000-1417)/2000</f>
        <v>0.29149999999999998</v>
      </c>
      <c r="AD15" s="1">
        <v>-8818.9511371000008</v>
      </c>
      <c r="AE15">
        <f>AD15-575*$D$6-705*$D$8-720*$K$8</f>
        <v>-892.10071996675106</v>
      </c>
      <c r="AF15">
        <f t="shared" si="7"/>
        <v>-0.44605035998337556</v>
      </c>
      <c r="AG15">
        <f>(2000-575)/2000</f>
        <v>0.71250000000000002</v>
      </c>
      <c r="AH15" s="1">
        <v>-8937.4725891399994</v>
      </c>
      <c r="AI15">
        <f>AH15-198*$D$6-905*$D$8-897*$K$8</f>
        <v>-1080.0604221081353</v>
      </c>
      <c r="AJ15">
        <f t="shared" si="8"/>
        <v>-0.54003021105406768</v>
      </c>
      <c r="AK15">
        <f>(2000-198)/2000</f>
        <v>0.90100000000000002</v>
      </c>
    </row>
    <row r="16" spans="1:37">
      <c r="A16">
        <v>5</v>
      </c>
      <c r="B16">
        <v>-8303.5782933299997</v>
      </c>
      <c r="C16">
        <f>B16-1798*$D$6-108*$D$8-94*$K$8</f>
        <v>-94.999047365909405</v>
      </c>
      <c r="D16">
        <f t="shared" si="0"/>
        <v>-4.7499523682954702E-2</v>
      </c>
      <c r="E16">
        <f>(2000-1798)/2000</f>
        <v>0.10100000000000001</v>
      </c>
      <c r="F16" s="1">
        <v>-8379.8865646400009</v>
      </c>
      <c r="G16">
        <f>F16-1603*$D$6-186*$D$8-211*$K$8</f>
        <v>-234.96227379453535</v>
      </c>
      <c r="H16">
        <f t="shared" si="1"/>
        <v>-0.11748113689726768</v>
      </c>
      <c r="I16">
        <f>(2000-1603)/2000</f>
        <v>0.19850000000000001</v>
      </c>
      <c r="J16" s="1">
        <v>-8664.6865964699991</v>
      </c>
      <c r="K16">
        <f>J16-1003*$D$6-509*$D$8-488*$K$8</f>
        <v>-625.1537119593097</v>
      </c>
      <c r="L16">
        <f t="shared" si="2"/>
        <v>-0.31257685597965484</v>
      </c>
      <c r="M16">
        <f>(2000-1003)/2000</f>
        <v>0.4985</v>
      </c>
      <c r="N16" s="1">
        <v>-8871.9683100999991</v>
      </c>
      <c r="O16">
        <f>N16-439*$D$6-791*$D$8-770*$K$8</f>
        <v>-955.06914598897947</v>
      </c>
      <c r="P16">
        <f t="shared" si="3"/>
        <v>-0.47753457299448976</v>
      </c>
      <c r="Q16">
        <f>(2000-439)/2000</f>
        <v>0.78049999999999997</v>
      </c>
      <c r="R16" s="1">
        <v>-8565.2903907100008</v>
      </c>
      <c r="S16">
        <f>R16-1216*$D$6-385*$D$8-399*$K$8</f>
        <v>-498.518706279046</v>
      </c>
      <c r="T16">
        <f t="shared" si="4"/>
        <v>-0.24925935313952299</v>
      </c>
      <c r="U16">
        <f>(2000-1216)/2000</f>
        <v>0.39200000000000002</v>
      </c>
      <c r="V16" s="1">
        <v>-8742.1368724599997</v>
      </c>
      <c r="W16">
        <f>V16-817*$D$6-585*$D$8-598*$K$8</f>
        <v>-761.57702217753922</v>
      </c>
      <c r="X16">
        <f t="shared" si="5"/>
        <v>-0.3807885110887696</v>
      </c>
      <c r="Y16">
        <f>(2000-817)/2000</f>
        <v>0.59150000000000003</v>
      </c>
      <c r="Z16" s="1">
        <v>-8472.1315997199999</v>
      </c>
      <c r="AA16">
        <f>Z16-1424*$D$6-296*$D$8-280*$K$8</f>
        <v>-343.78329607867988</v>
      </c>
      <c r="AB16">
        <f t="shared" si="6"/>
        <v>-0.17189164803933993</v>
      </c>
      <c r="AC16">
        <f>(2000-1424)/2000</f>
        <v>0.28799999999999998</v>
      </c>
      <c r="AD16" s="1">
        <v>-8810.94706142</v>
      </c>
      <c r="AE16">
        <f>AD16-620*$D$6-677*$D$8-703*$K$8</f>
        <v>-880.30703854012427</v>
      </c>
      <c r="AF16">
        <f t="shared" si="7"/>
        <v>-0.44015351927006213</v>
      </c>
      <c r="AG16">
        <f>(2000-620)/2000</f>
        <v>0.69</v>
      </c>
      <c r="AH16" s="1">
        <v>-8939.4007890499997</v>
      </c>
      <c r="AI16">
        <f>AH16-215*$D$6-882*$D$8-903*$K$8</f>
        <v>-1094.0972145092755</v>
      </c>
      <c r="AJ16">
        <f t="shared" si="8"/>
        <v>-0.54704860725463778</v>
      </c>
      <c r="AK16">
        <f>(2000-215)/2000</f>
        <v>0.89249999999999996</v>
      </c>
    </row>
    <row r="17" spans="1:37">
      <c r="A17">
        <v>6</v>
      </c>
      <c r="B17">
        <v>-8304.45580023</v>
      </c>
      <c r="C17">
        <f>B17-1795*$D$6-100*$D$8-105*$K$8</f>
        <v>-106.8838606060246</v>
      </c>
      <c r="D17">
        <f t="shared" si="0"/>
        <v>-5.3441930303012301E-2</v>
      </c>
      <c r="E17">
        <f>(2000-1795)/2000</f>
        <v>0.10249999999999999</v>
      </c>
      <c r="F17" s="1">
        <v>-8386.2599300700003</v>
      </c>
      <c r="G17">
        <f>F17-1593*$D$6-203*$D$8-204*$K$8</f>
        <v>-230.42999683231017</v>
      </c>
      <c r="H17">
        <f t="shared" si="1"/>
        <v>-0.11521499841615508</v>
      </c>
      <c r="I17">
        <f>(2000-1593)/2000</f>
        <v>0.20349999999999999</v>
      </c>
      <c r="J17" s="1">
        <v>-8668.7521759800002</v>
      </c>
      <c r="K17">
        <f>J17-997*$D$6-508*$D$8-495*$K$8</f>
        <v>-634.88390522841541</v>
      </c>
      <c r="L17">
        <f t="shared" si="2"/>
        <v>-0.31744195261420771</v>
      </c>
      <c r="M17">
        <f>(2000-997)/2000</f>
        <v>0.50149999999999995</v>
      </c>
      <c r="N17" s="1">
        <v>-8879.9970699700007</v>
      </c>
      <c r="O17">
        <f>N17-402*$D$6-803*$D$8-795*$K$8</f>
        <v>-978.22802534676566</v>
      </c>
      <c r="P17">
        <f t="shared" si="3"/>
        <v>-0.48911401267338284</v>
      </c>
      <c r="Q17">
        <f>(2000-402)/2000</f>
        <v>0.79900000000000004</v>
      </c>
      <c r="R17" s="1">
        <v>-8574.8486310400003</v>
      </c>
      <c r="S17">
        <f>R17-1199*$D$6-383*$D$8-418*$K$8</f>
        <v>-523.21835231978025</v>
      </c>
      <c r="T17">
        <f t="shared" si="4"/>
        <v>-0.2616091761598901</v>
      </c>
      <c r="U17">
        <f>(2000-1199)/2000</f>
        <v>0.40050000000000002</v>
      </c>
      <c r="V17" s="1">
        <v>-8712.7731120099997</v>
      </c>
      <c r="W17">
        <f>V17-805*$D$6-579*$D$8-616*$K$8</f>
        <v>-747.90248895804962</v>
      </c>
      <c r="X17">
        <f t="shared" si="5"/>
        <v>-0.37395124447902484</v>
      </c>
      <c r="Y17">
        <f>(2000-805)/2000</f>
        <v>0.59750000000000003</v>
      </c>
      <c r="Z17" s="1">
        <v>-8487.2162571200006</v>
      </c>
      <c r="AA17">
        <f>Z17-1388*$D$6-301*$D$8-311*$K$8</f>
        <v>-380.86563682448559</v>
      </c>
      <c r="AB17">
        <f t="shared" si="6"/>
        <v>-0.1904328184122428</v>
      </c>
      <c r="AC17">
        <f>(2000-1388)/2000</f>
        <v>0.30599999999999999</v>
      </c>
      <c r="AD17" s="1">
        <v>-8816.7101422100004</v>
      </c>
      <c r="AE17">
        <f>AD17-602*$D$6-693*$D$8-705*$K$8</f>
        <v>-882.35396197401542</v>
      </c>
      <c r="AF17">
        <f t="shared" si="7"/>
        <v>-0.44117698098700769</v>
      </c>
      <c r="AG17">
        <f>(2000-602)/2000</f>
        <v>0.69899999999999995</v>
      </c>
      <c r="AH17" s="1">
        <v>-8943.0391631500006</v>
      </c>
      <c r="AI17">
        <f>AH17-189*$D$6-905*$D$8-906*$K$8</f>
        <v>-1092.4889168646805</v>
      </c>
      <c r="AJ17">
        <f t="shared" si="8"/>
        <v>-0.54624445843234026</v>
      </c>
      <c r="AK17">
        <f>(2000-189)/2000</f>
        <v>0.90549999999999997</v>
      </c>
    </row>
    <row r="18" spans="1:37">
      <c r="A18">
        <v>7</v>
      </c>
      <c r="B18">
        <v>-8298.5497240999994</v>
      </c>
      <c r="C18">
        <f>B18-1797*$D$6-98*$D$8-105*$K$8</f>
        <v>-101.63291305516373</v>
      </c>
      <c r="D18">
        <f t="shared" si="0"/>
        <v>-5.0816456527581863E-2</v>
      </c>
      <c r="E18">
        <f>(2000-1797)/2000</f>
        <v>0.10150000000000001</v>
      </c>
      <c r="F18" s="1">
        <v>-8384.8569977999996</v>
      </c>
      <c r="G18">
        <f>F18-1587*$D$6-194*$D$8-219*$K$8</f>
        <v>-243.41167774601433</v>
      </c>
      <c r="H18">
        <f t="shared" si="1"/>
        <v>-0.12170583887300716</v>
      </c>
      <c r="I18">
        <f>(2000-1587)/2000</f>
        <v>0.20649999999999999</v>
      </c>
      <c r="J18" s="1">
        <v>-8679.5142818799995</v>
      </c>
      <c r="K18">
        <f>J18-980*$D$6-518*$D$8-502*$K$8</f>
        <v>-647.70741770224981</v>
      </c>
      <c r="L18">
        <f t="shared" si="2"/>
        <v>-0.32385370885112491</v>
      </c>
      <c r="M18">
        <f>(2000-980)/2000</f>
        <v>0.51</v>
      </c>
      <c r="N18" s="1">
        <v>-8876.8346539800004</v>
      </c>
      <c r="O18">
        <f>N18-392*$D$6-808*$D$8-800*$K$8</f>
        <v>-977.23996610144059</v>
      </c>
      <c r="P18">
        <f t="shared" si="3"/>
        <v>-0.4886199830507203</v>
      </c>
      <c r="Q18">
        <f>(2000-392)/2000</f>
        <v>0.80400000000000005</v>
      </c>
      <c r="R18" s="1">
        <v>-8572.9701421999998</v>
      </c>
      <c r="S18">
        <f>R18-1194*$D$6-399*$D$8-407*$K$8</f>
        <v>-507.71204282310487</v>
      </c>
      <c r="T18">
        <f t="shared" si="4"/>
        <v>-0.25385602141155245</v>
      </c>
      <c r="U18">
        <f>(2000-1194)/2000</f>
        <v>0.40300000000000002</v>
      </c>
      <c r="V18" s="1">
        <v>-8744.3329374999994</v>
      </c>
      <c r="W18">
        <f>V18-789*$D$6-605*$D$8-606*$K$8</f>
        <v>-763.32128653417908</v>
      </c>
      <c r="X18">
        <f t="shared" si="5"/>
        <v>-0.38166064326708954</v>
      </c>
      <c r="Y18">
        <f>(2000-789)/2000</f>
        <v>0.60550000000000004</v>
      </c>
      <c r="Z18" s="1">
        <v>-8488.3472419999998</v>
      </c>
      <c r="AA18">
        <f>Z18-1375*$D$6-312*$D$8-313*$K$8</f>
        <v>-379.91828579622529</v>
      </c>
      <c r="AB18">
        <f t="shared" si="6"/>
        <v>-0.18995914289811264</v>
      </c>
      <c r="AC18">
        <f>(2000-1375)/2000</f>
        <v>0.3125</v>
      </c>
      <c r="AD18" s="1">
        <v>-8818.7586040200003</v>
      </c>
      <c r="AE18">
        <f>AD18-589*$D$6-695*$D$8-716*$K$8</f>
        <v>-892.13408722843087</v>
      </c>
      <c r="AF18">
        <f t="shared" si="7"/>
        <v>-0.44606704361421545</v>
      </c>
      <c r="AG18">
        <f>(2000-589)/2000</f>
        <v>0.70550000000000002</v>
      </c>
      <c r="AH18" s="1">
        <v>-8950.1602759800007</v>
      </c>
      <c r="AI18">
        <f>AH18-178*$D$6-905*$D$8-917*$K$8</f>
        <v>-1107.9968217182368</v>
      </c>
      <c r="AJ18">
        <f t="shared" si="8"/>
        <v>-0.55399841085911838</v>
      </c>
      <c r="AK18">
        <f>(2000-178)/2000</f>
        <v>0.91100000000000003</v>
      </c>
    </row>
    <row r="19" spans="1:37">
      <c r="A19">
        <v>8</v>
      </c>
      <c r="B19">
        <v>-8306.4129114400002</v>
      </c>
      <c r="C19">
        <f>B19-1793*$D$6-109*$D$8-98*$K$8</f>
        <v>-100.5558437403601</v>
      </c>
      <c r="D19">
        <f t="shared" si="0"/>
        <v>-5.0277921870180049E-2</v>
      </c>
      <c r="E19">
        <f>(2000-1793)/2000</f>
        <v>0.10349999999999999</v>
      </c>
      <c r="F19" s="1">
        <v>-8376.0864771899996</v>
      </c>
      <c r="G19">
        <f>F19-1617*$D$6-190*$D$8-193*$K$8</f>
        <v>-216.12808769316416</v>
      </c>
      <c r="H19">
        <f t="shared" si="1"/>
        <v>-0.10806404384658208</v>
      </c>
      <c r="I19">
        <f>(2000-1617)/2000</f>
        <v>0.1915</v>
      </c>
      <c r="J19" s="1">
        <v>-8659.9490217300008</v>
      </c>
      <c r="K19">
        <f>J19-1010*$D$6-490*$D$8-500*$K$8</f>
        <v>-635.78908638320058</v>
      </c>
      <c r="L19">
        <f t="shared" si="2"/>
        <v>-0.31789454319160027</v>
      </c>
      <c r="M19">
        <f>(2000-1010)/2000</f>
        <v>0.495</v>
      </c>
      <c r="N19" s="1">
        <v>-8878.6022540199992</v>
      </c>
      <c r="O19">
        <f>N19-392*$D$6-807*$D$8-801*$K$8</f>
        <v>-980.09756606951487</v>
      </c>
      <c r="P19">
        <f t="shared" si="3"/>
        <v>-0.49004878303475741</v>
      </c>
      <c r="Q19">
        <f>(2000-392)/2000</f>
        <v>0.80400000000000005</v>
      </c>
      <c r="R19" s="1">
        <v>-8552.3792235000001</v>
      </c>
      <c r="S19">
        <f>R19-1227*$D$6-378*$D$8-395*$K$8</f>
        <v>-484.85074654201503</v>
      </c>
      <c r="T19">
        <f t="shared" si="4"/>
        <v>-0.24242537327100752</v>
      </c>
      <c r="U19">
        <f>(2000-1227)/2000</f>
        <v>0.38650000000000001</v>
      </c>
      <c r="V19" s="1">
        <v>-8742.1882090199997</v>
      </c>
      <c r="W19">
        <f>V19-808*$D$6-599*$D$8-593*$K$8</f>
        <v>-753.23028049103505</v>
      </c>
      <c r="X19">
        <f t="shared" si="5"/>
        <v>-0.37661514024551751</v>
      </c>
      <c r="Y19">
        <f>(2000-808)/2000</f>
        <v>0.59599999999999997</v>
      </c>
      <c r="Z19" s="1">
        <v>-8470.2947633000003</v>
      </c>
      <c r="AA19">
        <f>Z19-1401*$D$6-297*$D$8-302*$K$8</f>
        <v>-358.39247941622</v>
      </c>
      <c r="AB19">
        <f t="shared" si="6"/>
        <v>-0.17919623970810999</v>
      </c>
      <c r="AC19">
        <f>(2000-1401)/2000</f>
        <v>0.29949999999999999</v>
      </c>
      <c r="AD19" s="1">
        <v>-8823.3494722100004</v>
      </c>
      <c r="AE19">
        <f>AD19-587*$D$6-708*$D$8-705*$K$8</f>
        <v>-884.07982763046584</v>
      </c>
      <c r="AF19">
        <f t="shared" si="7"/>
        <v>-0.44203991381523294</v>
      </c>
      <c r="AG19">
        <f>(2000-587)/2000</f>
        <v>0.70650000000000002</v>
      </c>
      <c r="AH19" s="1">
        <v>-8938.0833860900002</v>
      </c>
      <c r="AI19">
        <f>AH19-192*$D$6-928*$D$8-880*$K$8</f>
        <v>-1060.1758345434409</v>
      </c>
      <c r="AJ19">
        <f t="shared" si="8"/>
        <v>-0.53008791727172044</v>
      </c>
      <c r="AK19">
        <f>(2000-192)/2000</f>
        <v>0.90400000000000003</v>
      </c>
    </row>
    <row r="20" spans="1:37">
      <c r="A20">
        <v>9</v>
      </c>
      <c r="B20">
        <v>-8302.0327605799994</v>
      </c>
      <c r="C20">
        <f>B20-1795*$D$6-101*$D$8-104*$K$8</f>
        <v>-103.37082102794898</v>
      </c>
      <c r="D20">
        <f t="shared" si="0"/>
        <v>-5.1685410513974489E-2</v>
      </c>
      <c r="E20">
        <f>(2000-1795)/2000</f>
        <v>0.10249999999999999</v>
      </c>
      <c r="F20" s="1">
        <v>-8379.5563731300008</v>
      </c>
      <c r="G20">
        <f>F20-1600*$D$6-197*$D$8-203*$K$8</f>
        <v>-224.92938999122521</v>
      </c>
      <c r="H20">
        <f t="shared" si="1"/>
        <v>-0.11246469499561261</v>
      </c>
      <c r="I20">
        <f>(2000-1600)/2000</f>
        <v>0.2</v>
      </c>
      <c r="J20" s="1">
        <v>-8665.8619591799998</v>
      </c>
      <c r="K20">
        <f>J20-991*$D$6-498*$D$8-511*$K$8</f>
        <v>-647.46830154019472</v>
      </c>
      <c r="L20">
        <f t="shared" si="2"/>
        <v>-0.32373415077009737</v>
      </c>
      <c r="M20">
        <f>(2000-991)/2000</f>
        <v>0.50449999999999995</v>
      </c>
      <c r="N20" s="1">
        <v>-8880.9594541799997</v>
      </c>
      <c r="O20">
        <f>N20-387*$D$6-803*$D$8-810*$K$8</f>
        <v>-990.62694413434065</v>
      </c>
      <c r="P20">
        <f t="shared" si="3"/>
        <v>-0.4953134720671703</v>
      </c>
      <c r="Q20">
        <f>(2000-387)/2000</f>
        <v>0.80649999999999999</v>
      </c>
      <c r="R20" s="1">
        <v>-8570.0405956600007</v>
      </c>
      <c r="S20">
        <f>R20-1210*$D$6-389*$D$8-401*$K$8</f>
        <v>-503.48352534777564</v>
      </c>
      <c r="T20">
        <f t="shared" si="4"/>
        <v>-0.25174176267388781</v>
      </c>
      <c r="U20">
        <f>(2000-1210)/2000</f>
        <v>0.39500000000000002</v>
      </c>
      <c r="V20" s="1">
        <v>-8748.7019894599998</v>
      </c>
      <c r="W20">
        <f>V20-794*$D$6-595*$D$8-611*$K$8</f>
        <v>-774.7781595824049</v>
      </c>
      <c r="X20">
        <f t="shared" si="5"/>
        <v>-0.38738907979120246</v>
      </c>
      <c r="Y20">
        <f>(2000-794)/2000</f>
        <v>0.60299999999999998</v>
      </c>
      <c r="Z20" s="1">
        <v>-8473.6178411700002</v>
      </c>
      <c r="AA20">
        <f>Z20-1429*$D$6-297*$D$8-274*$K$8</f>
        <v>-340.36735940808001</v>
      </c>
      <c r="AB20">
        <f t="shared" si="6"/>
        <v>-0.17018367970404</v>
      </c>
      <c r="AC20">
        <f>(2000-1429)/2000</f>
        <v>0.28549999999999998</v>
      </c>
      <c r="AD20" s="1">
        <v>-8810.6139987499992</v>
      </c>
      <c r="AE20">
        <f>AD20-595*$D$6-708*$D$8-697*$K$8</f>
        <v>-865.24486906242373</v>
      </c>
      <c r="AF20">
        <f t="shared" si="7"/>
        <v>-0.43262243453121185</v>
      </c>
      <c r="AG20">
        <f>(2000-595)/2000</f>
        <v>0.70250000000000001</v>
      </c>
      <c r="AH20" s="1">
        <v>-8934.4230571499993</v>
      </c>
      <c r="AI20">
        <f>AH20-209*$D$6-892*$D$8-899*$K$8</f>
        <v>-1082.7940971595544</v>
      </c>
      <c r="AJ20">
        <f t="shared" si="8"/>
        <v>-0.54139704857977722</v>
      </c>
      <c r="AK20">
        <f>(2000-209)/2000</f>
        <v>0.89549999999999996</v>
      </c>
    </row>
    <row r="21" spans="1:37">
      <c r="A21">
        <v>10</v>
      </c>
      <c r="B21">
        <v>-8296.6824391699993</v>
      </c>
      <c r="C21">
        <f>B21-1807*$D$6-100*$D$8-93*$K$8</f>
        <v>-89.961271883964116</v>
      </c>
      <c r="D21">
        <f t="shared" si="0"/>
        <v>-4.498063594198206E-2</v>
      </c>
      <c r="E21">
        <f>(2000-1807)/2000</f>
        <v>9.6500000000000002E-2</v>
      </c>
      <c r="F21" s="1">
        <v>-8361.3844024800001</v>
      </c>
      <c r="G21">
        <f>F21-1621*$D$6-193*$D$8-186*$K$8</f>
        <v>-195.10627064491996</v>
      </c>
      <c r="H21">
        <f t="shared" si="1"/>
        <v>-9.7553135322459975E-2</v>
      </c>
      <c r="I21">
        <f>(2000-1621)/2000</f>
        <v>0.1895</v>
      </c>
      <c r="J21" s="1">
        <v>-8660.4962905699995</v>
      </c>
      <c r="K21">
        <f>J21-1009*$D$6-496*$D$8-495*$K$8</f>
        <v>-630.55879129325399</v>
      </c>
      <c r="L21">
        <f t="shared" si="2"/>
        <v>-0.31527939564662699</v>
      </c>
      <c r="M21">
        <f>(2000-1009)/2000</f>
        <v>0.4955</v>
      </c>
      <c r="N21" s="1">
        <v>-8868.8237514600005</v>
      </c>
      <c r="O21">
        <f>N21-430*$D$6-782*$D$8-788*$K$8</f>
        <v>-968.59650744820101</v>
      </c>
      <c r="P21">
        <f t="shared" si="3"/>
        <v>-0.48429825372410051</v>
      </c>
      <c r="Q21">
        <f>(2000-430)/2000</f>
        <v>0.78500000000000003</v>
      </c>
      <c r="R21" s="1">
        <v>-8584.2147749699998</v>
      </c>
      <c r="S21">
        <f>R21-1172*$D$6-402*$D$8-426*$K$8</f>
        <v>-532.46025985598999</v>
      </c>
      <c r="T21">
        <f t="shared" si="4"/>
        <v>-0.266230129927995</v>
      </c>
      <c r="U21">
        <f>(2000-1172)/2000</f>
        <v>0.41399999999999998</v>
      </c>
      <c r="V21" s="1">
        <v>-8745.5092752199998</v>
      </c>
      <c r="W21">
        <f>V21-805*$D$6-582*$D$8-613*$K$8</f>
        <v>-777.36865238382507</v>
      </c>
      <c r="X21">
        <f t="shared" si="5"/>
        <v>-0.38868432619191251</v>
      </c>
      <c r="Y21">
        <f>(2000-805)/2000</f>
        <v>0.59750000000000003</v>
      </c>
      <c r="Z21" s="1">
        <v>-8472.6457003199994</v>
      </c>
      <c r="AA21">
        <f>Z21-1407*$D$6-288*$D$8-305*$K$8</f>
        <v>-365.97880195786433</v>
      </c>
      <c r="AB21">
        <f t="shared" si="6"/>
        <v>-0.18298940097893215</v>
      </c>
      <c r="AC21">
        <f>(2000-1407)/2000</f>
        <v>0.29649999999999999</v>
      </c>
      <c r="AD21" s="1">
        <v>-8817.9829434300009</v>
      </c>
      <c r="AE21">
        <f>AD21-598*$D$6-695*$D$8-707*$K$8</f>
        <v>-884.49650589188559</v>
      </c>
      <c r="AF21">
        <f t="shared" si="7"/>
        <v>-0.44224825294594278</v>
      </c>
      <c r="AG21">
        <f>(2000-598)/2000</f>
        <v>0.70099999999999996</v>
      </c>
      <c r="AH21" s="1">
        <v>-8943.2747322699997</v>
      </c>
      <c r="AI21">
        <f>AH21-195*$D$6-907*$D$8-898*$K$8</f>
        <v>-1085.9698722975004</v>
      </c>
      <c r="AJ21">
        <f t="shared" si="8"/>
        <v>-0.54298493614875021</v>
      </c>
      <c r="AK21">
        <f>(2000-195)/2000</f>
        <v>0.90249999999999997</v>
      </c>
    </row>
    <row r="22" spans="1:37">
      <c r="D22">
        <f>AVERAGE(D12:D21)</f>
        <v>-4.9142403446436542E-2</v>
      </c>
      <c r="F22" s="1"/>
      <c r="H22">
        <f>AVERAGE(H12:H21)</f>
        <v>-0.11250837746769533</v>
      </c>
      <c r="J22" s="1"/>
      <c r="L22">
        <f>AVERAGE(L12:L21)</f>
        <v>-0.31877421152991753</v>
      </c>
      <c r="N22" s="1"/>
      <c r="P22">
        <f>AVERAGE(P12:P21)</f>
        <v>-0.48703724391681796</v>
      </c>
      <c r="R22" s="1"/>
      <c r="T22">
        <f>AVERAGE(T12:T21)</f>
        <v>-0.25133293126110667</v>
      </c>
      <c r="V22" s="1"/>
      <c r="X22">
        <f>AVERAGE(X12:X21)</f>
        <v>-0.38402375895427127</v>
      </c>
      <c r="Z22" s="1"/>
      <c r="AB22">
        <f>AVERAGE(AB12:AB21)</f>
        <v>-0.18020919804631383</v>
      </c>
      <c r="AD22" s="1"/>
      <c r="AF22">
        <f>AVERAGE(AF12:AF21)</f>
        <v>-0.44247400254447616</v>
      </c>
      <c r="AH22" s="1"/>
      <c r="AJ22">
        <f>AVERAGE(AJ12:AJ21)</f>
        <v>-0.54363725045988132</v>
      </c>
    </row>
    <row r="23" spans="1:37">
      <c r="D23">
        <f>STDEV(D12:D21)/SQRT(COUNT(D12:D21))</f>
        <v>9.6778605738024909E-4</v>
      </c>
      <c r="F23" s="1"/>
      <c r="H23">
        <f>STDEV(H12:H21)/SQRT(COUNT(H12:H21))</f>
        <v>2.251124968206094E-3</v>
      </c>
      <c r="J23" s="1"/>
      <c r="L23">
        <f>STDEV(L12:L21)/SQRT(COUNT(L12:L21))</f>
        <v>2.7655573520104742E-3</v>
      </c>
      <c r="N23" s="1"/>
      <c r="P23">
        <f>STDEV(P12:P21)/SQRT(COUNT(P12:P21))</f>
        <v>3.4257327959956009E-3</v>
      </c>
      <c r="R23" s="1"/>
      <c r="T23">
        <f>STDEV(T12:T21)/SQRT(COUNT(T12:T21))</f>
        <v>3.1889294627992213E-3</v>
      </c>
      <c r="V23" s="1"/>
      <c r="X23">
        <f>STDEV(X12:X21)/SQRT(COUNT(X12:X21))</f>
        <v>2.6906475794858959E-3</v>
      </c>
      <c r="Z23" s="1"/>
      <c r="AB23">
        <f>STDEV(AB12:AB21)/SQRT(COUNT(AB12:AB21))</f>
        <v>2.3132566570802852E-3</v>
      </c>
      <c r="AD23" s="1"/>
      <c r="AF23">
        <f>STDEV(AF12:AF21)/SQRT(COUNT(AF12:AF21))</f>
        <v>1.9515969517958723E-3</v>
      </c>
      <c r="AH23" s="1"/>
      <c r="AJ23">
        <f>STDEV(AJ12:AJ21)/SQRT(COUNT(AJ12:AJ21))</f>
        <v>2.6396525819066172E-3</v>
      </c>
    </row>
    <row r="24" spans="1:37">
      <c r="F24" s="2"/>
      <c r="J24" s="2"/>
      <c r="N24" s="2"/>
      <c r="R24" s="2"/>
      <c r="V24" s="2"/>
      <c r="Z24" s="2"/>
      <c r="AD24" s="2"/>
      <c r="AH24" s="2"/>
    </row>
    <row r="25" spans="1:37">
      <c r="D25">
        <f>D22-D11*$N$6</f>
        <v>1.144470097418851E-2</v>
      </c>
      <c r="F25" s="2"/>
      <c r="H25">
        <f>H22-H11*$N$6</f>
        <v>8.6658313735547693E-3</v>
      </c>
      <c r="J25" s="2"/>
      <c r="L25">
        <f>L22-L11*$N$6</f>
        <v>-1.5838689426792285E-2</v>
      </c>
      <c r="N25" s="2"/>
      <c r="P25">
        <f>P22-P11*$N$6</f>
        <v>-2.3404085518175521E-3</v>
      </c>
      <c r="R25" s="2"/>
      <c r="T25">
        <f>T22-T11*$N$6</f>
        <v>-8.9845135786064678E-3</v>
      </c>
      <c r="V25" s="2"/>
      <c r="X25">
        <f>X22-X11*$N$6</f>
        <v>-2.0501132430520985E-2</v>
      </c>
      <c r="Z25" s="2"/>
      <c r="AB25">
        <f>AB22-AB11*$N$6</f>
        <v>1.5521152155613116E-3</v>
      </c>
      <c r="AD25" s="2"/>
      <c r="AF25">
        <f>AF22-AF11*$N$6</f>
        <v>-1.8364271600100845E-2</v>
      </c>
      <c r="AH25" s="2"/>
      <c r="AJ25">
        <f>AJ22-AJ11*$N$6</f>
        <v>1.6466893257441884E-3</v>
      </c>
    </row>
    <row r="27" spans="1:37">
      <c r="D27">
        <f>D12-E12*$N$6</f>
        <v>1.1284517773090884E-2</v>
      </c>
    </row>
    <row r="28" spans="1:37">
      <c r="D28">
        <f>D13-E13*$N$6</f>
        <v>9.8588329909652175E-3</v>
      </c>
      <c r="L28">
        <f>L13-M13*$N$6</f>
        <v>-1.087407389636208E-2</v>
      </c>
    </row>
    <row r="29" spans="1:37">
      <c r="D29">
        <f>D14-E14*$N$6</f>
        <v>9.1715888520241748E-3</v>
      </c>
      <c r="AB29">
        <v>0</v>
      </c>
      <c r="AC29">
        <v>1</v>
      </c>
    </row>
    <row r="30" spans="1:37">
      <c r="AB30">
        <v>0</v>
      </c>
      <c r="AC30">
        <v>0</v>
      </c>
    </row>
    <row r="32" spans="1:37">
      <c r="H32">
        <f>H17-I17*$N$6</f>
        <v>8.0797590798168811E-3</v>
      </c>
      <c r="AB32">
        <v>0</v>
      </c>
      <c r="AC32">
        <v>1</v>
      </c>
    </row>
    <row r="33" spans="4:29">
      <c r="P33">
        <f>P18-Q18*$N$6</f>
        <v>-1.4996635088948551E-3</v>
      </c>
      <c r="AB33">
        <v>0</v>
      </c>
      <c r="AC33">
        <v>-0.60587104420625049</v>
      </c>
    </row>
    <row r="34" spans="4:29">
      <c r="H34">
        <f>H19-I19*$N$6</f>
        <v>7.9602611189148881E-3</v>
      </c>
      <c r="P34">
        <f>P19-Q19*$N$6</f>
        <v>-2.9284634929319653E-3</v>
      </c>
    </row>
    <row r="35" spans="4:29">
      <c r="D35">
        <f>D20-E20*$N$6</f>
        <v>1.0416371517166186E-2</v>
      </c>
      <c r="H35">
        <f>H20-I20*$N$6</f>
        <v>8.7095138456374926E-3</v>
      </c>
      <c r="P35">
        <f>P20-Q20*$N$6</f>
        <v>-6.6784749148293132E-3</v>
      </c>
    </row>
    <row r="36" spans="4:29">
      <c r="L36">
        <f>L21-M21*$N$6</f>
        <v>-1.5070293242429866E-2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2015-02-02T21:09:16Z</dcterms:created>
  <dcterms:modified xsi:type="dcterms:W3CDTF">2015-02-05T18:20:27Z</dcterms:modified>
</cp:coreProperties>
</file>