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23505" yWindow="405" windowWidth="21765" windowHeight="19395" activeTab="2"/>
  </bookViews>
  <sheets>
    <sheet name="300 K" sheetId="1" r:id="rId1"/>
    <sheet name="100 K" sheetId="2" r:id="rId2"/>
    <sheet name="100 K divac" sheetId="3" r:id="rId3"/>
    <sheet name="100 K int" sheetId="4" r:id="rId4"/>
  </sheets>
  <externalReferences>
    <externalReference r:id="rId5"/>
  </externalReferenc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3" l="1"/>
  <c r="H35" i="3"/>
  <c r="G35" i="3"/>
  <c r="F35" i="3"/>
  <c r="E35" i="3"/>
  <c r="D35" i="3"/>
  <c r="I17" i="3"/>
  <c r="H17" i="3"/>
  <c r="G17" i="3"/>
  <c r="F17" i="3"/>
  <c r="E17" i="3"/>
  <c r="D17" i="3"/>
  <c r="I35" i="2"/>
  <c r="H35" i="2"/>
  <c r="G35" i="2"/>
  <c r="F35" i="2"/>
  <c r="E35" i="2"/>
  <c r="D35" i="2"/>
  <c r="J17" i="2"/>
  <c r="I17" i="2"/>
  <c r="H17" i="2"/>
  <c r="G17" i="2"/>
  <c r="F17" i="2"/>
  <c r="E17" i="2"/>
  <c r="D17" i="2"/>
  <c r="H66" i="4"/>
  <c r="I2" i="4"/>
  <c r="I3" i="4"/>
  <c r="I4" i="4"/>
  <c r="I5" i="4"/>
  <c r="I6" i="4"/>
  <c r="I7" i="4"/>
  <c r="I8" i="4"/>
  <c r="I9" i="4"/>
  <c r="I10" i="4"/>
  <c r="I11" i="4"/>
  <c r="I12" i="4"/>
  <c r="L2" i="4"/>
  <c r="L3" i="4"/>
  <c r="L4" i="4"/>
  <c r="L5" i="4"/>
  <c r="L6" i="4"/>
  <c r="L7" i="4"/>
  <c r="L8" i="4"/>
  <c r="L9" i="4"/>
  <c r="L10" i="4"/>
  <c r="L11" i="4"/>
  <c r="L12" i="4"/>
  <c r="H69" i="4"/>
  <c r="C66" i="4"/>
  <c r="C69" i="4"/>
  <c r="H70" i="4"/>
  <c r="F66" i="4"/>
  <c r="D66" i="4"/>
  <c r="E66" i="4"/>
  <c r="C46" i="3"/>
  <c r="I2" i="3"/>
  <c r="I3" i="3"/>
  <c r="I4" i="3"/>
  <c r="I5" i="3"/>
  <c r="I6" i="3"/>
  <c r="I7" i="3"/>
  <c r="I8" i="3"/>
  <c r="I9" i="3"/>
  <c r="I10" i="3"/>
  <c r="I11" i="3"/>
  <c r="I12" i="3"/>
  <c r="L2" i="3"/>
  <c r="L3" i="3"/>
  <c r="L4" i="3"/>
  <c r="L5" i="3"/>
  <c r="L6" i="3"/>
  <c r="L7" i="3"/>
  <c r="L8" i="3"/>
  <c r="L9" i="3"/>
  <c r="L10" i="3"/>
  <c r="L11" i="3"/>
  <c r="L12" i="3"/>
  <c r="C49" i="3"/>
  <c r="C67" i="4"/>
  <c r="C68" i="4"/>
  <c r="E69" i="4"/>
  <c r="F69" i="4"/>
  <c r="G66" i="4"/>
  <c r="G69" i="4"/>
  <c r="I66" i="4"/>
  <c r="I69" i="4"/>
  <c r="D69" i="4"/>
  <c r="D70" i="4"/>
  <c r="D38" i="4"/>
  <c r="E38" i="4"/>
  <c r="G38" i="4"/>
  <c r="G41" i="4"/>
  <c r="C38" i="4"/>
  <c r="C41" i="4"/>
  <c r="G42" i="4"/>
  <c r="G39" i="4"/>
  <c r="G40" i="4"/>
  <c r="F38" i="4"/>
  <c r="E41" i="4"/>
  <c r="E42" i="4"/>
  <c r="D41" i="4"/>
  <c r="D42" i="4"/>
  <c r="H38" i="4"/>
  <c r="H41" i="4"/>
  <c r="H42" i="4"/>
  <c r="H39" i="4"/>
  <c r="H40" i="4"/>
  <c r="E39" i="4"/>
  <c r="E40" i="4"/>
  <c r="F41" i="4"/>
  <c r="F42" i="4"/>
  <c r="P12" i="3"/>
  <c r="P14" i="3"/>
  <c r="P13" i="3"/>
  <c r="J28" i="3"/>
  <c r="O12" i="4"/>
  <c r="O14" i="4"/>
  <c r="L13" i="4"/>
  <c r="L14" i="4"/>
  <c r="K13" i="4"/>
  <c r="K14" i="4"/>
  <c r="I13" i="4"/>
  <c r="I14" i="4"/>
  <c r="H13" i="4"/>
  <c r="H14" i="4"/>
  <c r="O13" i="4"/>
  <c r="K12" i="4"/>
  <c r="H12" i="4"/>
  <c r="I70" i="4"/>
  <c r="G70" i="4"/>
  <c r="F70" i="4"/>
  <c r="E70" i="4"/>
  <c r="I67" i="4"/>
  <c r="I68" i="4"/>
  <c r="H67" i="4"/>
  <c r="H68" i="4"/>
  <c r="G67" i="4"/>
  <c r="G68" i="4"/>
  <c r="F67" i="4"/>
  <c r="F68" i="4"/>
  <c r="E67" i="4"/>
  <c r="E68" i="4"/>
  <c r="D67" i="4"/>
  <c r="D68" i="4"/>
  <c r="K38" i="4"/>
  <c r="K41" i="4"/>
  <c r="K42" i="4"/>
  <c r="J38" i="4"/>
  <c r="J41" i="4"/>
  <c r="J42" i="4"/>
  <c r="I38" i="4"/>
  <c r="I41" i="4"/>
  <c r="I42" i="4"/>
  <c r="K39" i="4"/>
  <c r="K40" i="4"/>
  <c r="J39" i="4"/>
  <c r="J40" i="4"/>
  <c r="I39" i="4"/>
  <c r="I40" i="4"/>
  <c r="F39" i="4"/>
  <c r="F40" i="4"/>
  <c r="D39" i="4"/>
  <c r="D40" i="4"/>
  <c r="C39" i="4"/>
  <c r="C40" i="4"/>
  <c r="J29" i="3"/>
  <c r="J30" i="3"/>
  <c r="J31" i="3"/>
  <c r="C28" i="3"/>
  <c r="C31" i="3"/>
  <c r="J32" i="3"/>
  <c r="G46" i="3"/>
  <c r="G49" i="3"/>
  <c r="G50" i="3"/>
  <c r="G47" i="3"/>
  <c r="G48" i="3"/>
  <c r="J46" i="3"/>
  <c r="J49" i="3"/>
  <c r="J50" i="3"/>
  <c r="J47" i="3"/>
  <c r="J48" i="3"/>
  <c r="F46" i="3"/>
  <c r="F49" i="3"/>
  <c r="E46" i="3"/>
  <c r="E49" i="3"/>
  <c r="H46" i="3"/>
  <c r="H49" i="3"/>
  <c r="I46" i="3"/>
  <c r="I49" i="3"/>
  <c r="D46" i="3"/>
  <c r="D49" i="3"/>
  <c r="E28" i="3"/>
  <c r="E31" i="3"/>
  <c r="F28" i="3"/>
  <c r="F31" i="3"/>
  <c r="G28" i="3"/>
  <c r="G31" i="3"/>
  <c r="H28" i="3"/>
  <c r="H31" i="3"/>
  <c r="I28" i="3"/>
  <c r="I31" i="3"/>
  <c r="D28" i="3"/>
  <c r="D31" i="3"/>
  <c r="I50" i="3"/>
  <c r="H50" i="3"/>
  <c r="F50" i="3"/>
  <c r="E50" i="3"/>
  <c r="D50" i="3"/>
  <c r="I47" i="3"/>
  <c r="I48" i="3"/>
  <c r="H47" i="3"/>
  <c r="H48" i="3"/>
  <c r="F47" i="3"/>
  <c r="F48" i="3"/>
  <c r="E47" i="3"/>
  <c r="E48" i="3"/>
  <c r="D47" i="3"/>
  <c r="D48" i="3"/>
  <c r="C47" i="3"/>
  <c r="C48" i="3"/>
  <c r="I32" i="3"/>
  <c r="H32" i="3"/>
  <c r="G32" i="3"/>
  <c r="F32" i="3"/>
  <c r="E32" i="3"/>
  <c r="D32" i="3"/>
  <c r="I29" i="3"/>
  <c r="I30" i="3"/>
  <c r="H29" i="3"/>
  <c r="H30" i="3"/>
  <c r="G29" i="3"/>
  <c r="G30" i="3"/>
  <c r="F29" i="3"/>
  <c r="F30" i="3"/>
  <c r="E29" i="3"/>
  <c r="E30" i="3"/>
  <c r="D29" i="3"/>
  <c r="D30" i="3"/>
  <c r="C29" i="3"/>
  <c r="C30" i="3"/>
  <c r="O12" i="3"/>
  <c r="O14" i="3"/>
  <c r="L13" i="3"/>
  <c r="L14" i="3"/>
  <c r="K13" i="3"/>
  <c r="K14" i="3"/>
  <c r="I13" i="3"/>
  <c r="I14" i="3"/>
  <c r="H13" i="3"/>
  <c r="H14" i="3"/>
  <c r="O13" i="3"/>
  <c r="K12" i="3"/>
  <c r="H12" i="3"/>
  <c r="O12" i="2"/>
  <c r="I2" i="2"/>
  <c r="I3" i="2"/>
  <c r="I4" i="2"/>
  <c r="I5" i="2"/>
  <c r="I6" i="2"/>
  <c r="I7" i="2"/>
  <c r="I8" i="2"/>
  <c r="I9" i="2"/>
  <c r="I10" i="2"/>
  <c r="I11" i="2"/>
  <c r="I12" i="2"/>
  <c r="O14" i="2"/>
  <c r="O13" i="2"/>
  <c r="E46" i="2"/>
  <c r="F46" i="2"/>
  <c r="G46" i="2"/>
  <c r="H46" i="2"/>
  <c r="I46" i="2"/>
  <c r="E47" i="2"/>
  <c r="F47" i="2"/>
  <c r="G47" i="2"/>
  <c r="H47" i="2"/>
  <c r="I47" i="2"/>
  <c r="E48" i="2"/>
  <c r="F48" i="2"/>
  <c r="G48" i="2"/>
  <c r="H48" i="2"/>
  <c r="I48" i="2"/>
  <c r="L2" i="2"/>
  <c r="L3" i="2"/>
  <c r="L4" i="2"/>
  <c r="L5" i="2"/>
  <c r="L6" i="2"/>
  <c r="L7" i="2"/>
  <c r="L8" i="2"/>
  <c r="L9" i="2"/>
  <c r="L10" i="2"/>
  <c r="L11" i="2"/>
  <c r="L12" i="2"/>
  <c r="E49" i="2"/>
  <c r="F49" i="2"/>
  <c r="G49" i="2"/>
  <c r="H49" i="2"/>
  <c r="I49" i="2"/>
  <c r="C46" i="2"/>
  <c r="C49" i="2"/>
  <c r="E50" i="2"/>
  <c r="F50" i="2"/>
  <c r="G50" i="2"/>
  <c r="H50" i="2"/>
  <c r="I50" i="2"/>
  <c r="D46" i="2"/>
  <c r="D49" i="2"/>
  <c r="D50" i="2"/>
  <c r="D47" i="2"/>
  <c r="D48" i="2"/>
  <c r="C47" i="2"/>
  <c r="C48" i="2"/>
  <c r="I28" i="2"/>
  <c r="I29" i="2"/>
  <c r="I30" i="2"/>
  <c r="I31" i="2"/>
  <c r="C28" i="2"/>
  <c r="C31" i="2"/>
  <c r="I32" i="2"/>
  <c r="H28" i="2"/>
  <c r="H29" i="2"/>
  <c r="H30" i="2"/>
  <c r="H31" i="2"/>
  <c r="H32" i="2"/>
  <c r="J28" i="2"/>
  <c r="J31" i="2"/>
  <c r="E28" i="2"/>
  <c r="E31" i="2"/>
  <c r="F28" i="2"/>
  <c r="F31" i="2"/>
  <c r="G28" i="2"/>
  <c r="G31" i="2"/>
  <c r="D28" i="2"/>
  <c r="D31" i="2"/>
  <c r="D32" i="2"/>
  <c r="L13" i="2"/>
  <c r="L14" i="2"/>
  <c r="K13" i="2"/>
  <c r="K14" i="2"/>
  <c r="K12" i="2"/>
  <c r="I13" i="2"/>
  <c r="I14" i="2"/>
  <c r="H12" i="2"/>
  <c r="H13" i="2"/>
  <c r="H14" i="2"/>
  <c r="J32" i="2"/>
  <c r="J29" i="2"/>
  <c r="J30" i="2"/>
  <c r="E29" i="2"/>
  <c r="E30" i="2"/>
  <c r="F29" i="2"/>
  <c r="F30" i="2"/>
  <c r="G29" i="2"/>
  <c r="G30" i="2"/>
  <c r="D29" i="2"/>
  <c r="D30" i="2"/>
  <c r="C29" i="2"/>
  <c r="C30" i="2"/>
  <c r="E32" i="2"/>
  <c r="F32" i="2"/>
  <c r="G32" i="2"/>
  <c r="I3" i="1"/>
  <c r="L3" i="1"/>
  <c r="D18" i="1"/>
  <c r="D6" i="1"/>
  <c r="F18" i="1"/>
  <c r="D19" i="1"/>
  <c r="F19" i="1"/>
  <c r="D17" i="1"/>
  <c r="F17" i="1"/>
  <c r="D16" i="1"/>
  <c r="F16" i="1"/>
  <c r="E19" i="1"/>
  <c r="E18" i="1"/>
  <c r="E17" i="1"/>
  <c r="E16" i="1"/>
  <c r="E15" i="1"/>
  <c r="E14" i="1"/>
  <c r="D15" i="1"/>
  <c r="Q2" i="1"/>
  <c r="Q4" i="1"/>
  <c r="G14" i="1"/>
  <c r="G6" i="1"/>
  <c r="H14" i="1"/>
  <c r="G15" i="1"/>
  <c r="H15" i="1"/>
  <c r="G16" i="1"/>
  <c r="H16" i="1"/>
  <c r="G17" i="1"/>
  <c r="H17" i="1"/>
  <c r="G18" i="1"/>
  <c r="H18" i="1"/>
  <c r="G19" i="1"/>
  <c r="H19" i="1"/>
  <c r="D14" i="1"/>
  <c r="F14" i="1"/>
  <c r="F15" i="1"/>
  <c r="G13" i="1"/>
  <c r="H13" i="1"/>
  <c r="D13" i="1"/>
  <c r="F13" i="1"/>
  <c r="E13" i="1"/>
  <c r="D38" i="1"/>
  <c r="D25" i="1"/>
  <c r="F38" i="1"/>
  <c r="D37" i="1"/>
  <c r="F37" i="1"/>
  <c r="D36" i="1"/>
  <c r="F36" i="1"/>
  <c r="E38" i="1"/>
  <c r="E37" i="1"/>
  <c r="E36" i="1"/>
  <c r="D9" i="1"/>
  <c r="F9" i="1"/>
  <c r="E40" i="1"/>
  <c r="D40" i="1"/>
  <c r="F40" i="1"/>
  <c r="G9" i="1"/>
  <c r="H9" i="1"/>
  <c r="G7" i="1"/>
  <c r="H7" i="1"/>
  <c r="G10" i="1"/>
  <c r="H10" i="1"/>
  <c r="G11" i="1"/>
  <c r="H11" i="1"/>
  <c r="G12" i="1"/>
  <c r="H12" i="1"/>
  <c r="G20" i="1"/>
  <c r="H20" i="1"/>
  <c r="D35" i="1"/>
  <c r="F35" i="1"/>
  <c r="D34" i="1"/>
  <c r="F34" i="1"/>
  <c r="D33" i="1"/>
  <c r="F33" i="1"/>
  <c r="D32" i="1"/>
  <c r="F32" i="1"/>
  <c r="E35" i="1"/>
  <c r="E34" i="1"/>
  <c r="E33" i="1"/>
  <c r="E32" i="1"/>
  <c r="D39" i="1"/>
  <c r="F39" i="1"/>
  <c r="D31" i="1"/>
  <c r="F31" i="1"/>
  <c r="D29" i="1"/>
  <c r="F29" i="1"/>
  <c r="E31" i="1"/>
  <c r="D28" i="1"/>
  <c r="F28" i="1"/>
  <c r="D30" i="1"/>
  <c r="F30" i="1"/>
  <c r="D27" i="1"/>
  <c r="F27" i="1"/>
  <c r="D26" i="1"/>
  <c r="F26" i="1"/>
  <c r="E27" i="1"/>
  <c r="L8" i="1"/>
  <c r="E39" i="1"/>
  <c r="E30" i="1"/>
  <c r="E29" i="1"/>
  <c r="E28" i="1"/>
  <c r="E26" i="1"/>
  <c r="D20" i="1"/>
  <c r="F20" i="1"/>
  <c r="E20" i="1"/>
  <c r="D12" i="1"/>
  <c r="F12" i="1"/>
  <c r="E12" i="1"/>
  <c r="E11" i="1"/>
  <c r="E10" i="1"/>
  <c r="E9" i="1"/>
  <c r="L9" i="1"/>
  <c r="E7" i="1"/>
  <c r="K8" i="1"/>
  <c r="M8" i="1"/>
  <c r="D11" i="1"/>
  <c r="F11" i="1"/>
  <c r="D7" i="1"/>
  <c r="F7" i="1"/>
  <c r="K9" i="1"/>
  <c r="M9" i="1"/>
  <c r="D10" i="1"/>
  <c r="F10" i="1"/>
</calcChain>
</file>

<file path=xl/sharedStrings.xml><?xml version="1.0" encoding="utf-8"?>
<sst xmlns="http://schemas.openxmlformats.org/spreadsheetml/2006/main" count="298" uniqueCount="70">
  <si>
    <t>sphere fenial defects</t>
  </si>
  <si>
    <t>rad3 A</t>
  </si>
  <si>
    <t xml:space="preserve">rad3A </t>
  </si>
  <si>
    <t>Al rich</t>
  </si>
  <si>
    <t>radeB</t>
  </si>
  <si>
    <t>Ni rich</t>
  </si>
  <si>
    <t>pure</t>
  </si>
  <si>
    <t>vac1</t>
  </si>
  <si>
    <t>vac2</t>
  </si>
  <si>
    <t>vac3</t>
  </si>
  <si>
    <t>vac4</t>
  </si>
  <si>
    <t>vac5</t>
  </si>
  <si>
    <t>300 K</t>
  </si>
  <si>
    <t>bcc Fe</t>
  </si>
  <si>
    <t>B2 NiAl</t>
  </si>
  <si>
    <t>100 K</t>
  </si>
  <si>
    <t>Ef</t>
  </si>
  <si>
    <t>Ni and vac swap</t>
  </si>
  <si>
    <t>vac2 - 1</t>
  </si>
  <si>
    <t>r</t>
  </si>
  <si>
    <t>vac6</t>
  </si>
  <si>
    <t>vac7</t>
  </si>
  <si>
    <t>vacbulk</t>
  </si>
  <si>
    <t>rad3 B</t>
  </si>
  <si>
    <t>vac8</t>
  </si>
  <si>
    <t>vac9</t>
  </si>
  <si>
    <t>vac10</t>
  </si>
  <si>
    <t>fccni</t>
  </si>
  <si>
    <t>fcc al</t>
  </si>
  <si>
    <t>Ef*</t>
  </si>
  <si>
    <t>vacbulk2</t>
  </si>
  <si>
    <t>vac11</t>
  </si>
  <si>
    <t>vac12</t>
  </si>
  <si>
    <t>vac13</t>
  </si>
  <si>
    <t>E</t>
  </si>
  <si>
    <t>Ef vac</t>
  </si>
  <si>
    <t>stdev</t>
  </si>
  <si>
    <t>stderr</t>
  </si>
  <si>
    <t>vac bulk</t>
  </si>
  <si>
    <t>rad3 b</t>
  </si>
  <si>
    <t>rad3 a</t>
  </si>
  <si>
    <t>pure fe</t>
  </si>
  <si>
    <t>vac</t>
  </si>
  <si>
    <t>divac1</t>
  </si>
  <si>
    <t>divac2</t>
  </si>
  <si>
    <t>divac3</t>
  </si>
  <si>
    <t>divac4</t>
  </si>
  <si>
    <t>divac5</t>
  </si>
  <si>
    <t>divac6</t>
  </si>
  <si>
    <t>two vacs far</t>
  </si>
  <si>
    <t>int1</t>
  </si>
  <si>
    <t>int2</t>
  </si>
  <si>
    <t>int3</t>
  </si>
  <si>
    <t>two vacs</t>
  </si>
  <si>
    <t>ni-fe 110</t>
  </si>
  <si>
    <t>al-fe 110</t>
  </si>
  <si>
    <t>(-1,0,3)</t>
  </si>
  <si>
    <t>ni-fe 110 but changed from al-fe to ni-fe at last second, so don’t count</t>
  </si>
  <si>
    <t>ni-fe 111</t>
  </si>
  <si>
    <t>ni-fe 110 inside sphere</t>
  </si>
  <si>
    <t>dumb-x 1-10 dumb-z 11-20</t>
  </si>
  <si>
    <t>(-2,0,4)</t>
  </si>
  <si>
    <t>fe-fe 110</t>
  </si>
  <si>
    <t>ni-fe 111 all 111s are with fe-ni-al and slightly bent…</t>
  </si>
  <si>
    <t>(-3,0,5)</t>
  </si>
  <si>
    <t>Ef int</t>
  </si>
  <si>
    <t>ni-al 110 fe sub</t>
  </si>
  <si>
    <t>ni-fe-al 111</t>
  </si>
  <si>
    <t>ni-al 111 fe sub</t>
  </si>
  <si>
    <t>ni-ni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</si>
</sst>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'300 K'!$E$7:$E$20</c:f>
              <c:numCache>
                <c:formatCode>General</c:formatCode>
                <c:ptCount val="14"/>
                <c:pt idx="0">
                  <c:v>3.1622776601683795</c:v>
                </c:pt>
                <c:pt idx="2">
                  <c:v>4.1231056256176606</c:v>
                </c:pt>
                <c:pt idx="3">
                  <c:v>4.5552167895721496</c:v>
                </c:pt>
                <c:pt idx="4">
                  <c:v>5.0990195135927845</c:v>
                </c:pt>
                <c:pt idx="5">
                  <c:v>3.8405728739343039</c:v>
                </c:pt>
                <c:pt idx="6">
                  <c:v>4.4721359549995796</c:v>
                </c:pt>
                <c:pt idx="7">
                  <c:v>4.1231056256176606</c:v>
                </c:pt>
                <c:pt idx="8">
                  <c:v>5.1720402163943007</c:v>
                </c:pt>
                <c:pt idx="9">
                  <c:v>5.8309518948453007</c:v>
                </c:pt>
                <c:pt idx="10">
                  <c:v>6.5383484153110105</c:v>
                </c:pt>
                <c:pt idx="11">
                  <c:v>7.2111025509279782</c:v>
                </c:pt>
                <c:pt idx="12">
                  <c:v>7.9214897588774296</c:v>
                </c:pt>
                <c:pt idx="13">
                  <c:v>8</c:v>
                </c:pt>
              </c:numCache>
            </c:numRef>
          </c:xVal>
          <c:yVal>
            <c:numRef>
              <c:f>'300 K'!$F$7:$F$20</c:f>
              <c:numCache>
                <c:formatCode>General</c:formatCode>
                <c:ptCount val="14"/>
                <c:pt idx="0">
                  <c:v>1.4896049999952083</c:v>
                </c:pt>
                <c:pt idx="2">
                  <c:v>1.8020449999967241</c:v>
                </c:pt>
                <c:pt idx="3">
                  <c:v>1.7644249999939348</c:v>
                </c:pt>
                <c:pt idx="4">
                  <c:v>1.702884999991511</c:v>
                </c:pt>
                <c:pt idx="5">
                  <c:v>1.6991549999947893</c:v>
                </c:pt>
                <c:pt idx="6">
                  <c:v>1.7003749999930733</c:v>
                </c:pt>
                <c:pt idx="7">
                  <c:v>2.4463149999937741</c:v>
                </c:pt>
                <c:pt idx="8">
                  <c:v>2.4550649999946472</c:v>
                </c:pt>
                <c:pt idx="9">
                  <c:v>2.3281149999966146</c:v>
                </c:pt>
                <c:pt idx="10">
                  <c:v>2.2827049999905284</c:v>
                </c:pt>
                <c:pt idx="11">
                  <c:v>2.1938349999909406</c:v>
                </c:pt>
                <c:pt idx="12">
                  <c:v>2.1718349999937345</c:v>
                </c:pt>
                <c:pt idx="13">
                  <c:v>1.6053249999968102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24456"/>
        <c:axId val="364935824"/>
      </c:scatterChart>
      <c:valAx>
        <c:axId val="36492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935824"/>
        <c:crosses val="autoZero"/>
        <c:crossBetween val="midCat"/>
      </c:valAx>
      <c:valAx>
        <c:axId val="36493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492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>
              <a:noFill/>
            </a:ln>
          </c:spPr>
          <c:xVal>
            <c:numRef>
              <c:f>'300 K'!$E$26:$E$39</c:f>
              <c:numCache>
                <c:formatCode>General</c:formatCode>
                <c:ptCount val="14"/>
                <c:pt idx="0">
                  <c:v>3.1622776601683795</c:v>
                </c:pt>
                <c:pt idx="1">
                  <c:v>3.5707142142714252</c:v>
                </c:pt>
                <c:pt idx="2">
                  <c:v>4.1231056256176606</c:v>
                </c:pt>
                <c:pt idx="3">
                  <c:v>4.5552167895721496</c:v>
                </c:pt>
                <c:pt idx="4">
                  <c:v>5.0990195135927845</c:v>
                </c:pt>
                <c:pt idx="5">
                  <c:v>5.5452682532047088</c:v>
                </c:pt>
                <c:pt idx="6">
                  <c:v>3.8405728739343039</c:v>
                </c:pt>
                <c:pt idx="7">
                  <c:v>4.1231056256176606</c:v>
                </c:pt>
                <c:pt idx="8">
                  <c:v>5.1720402163943007</c:v>
                </c:pt>
                <c:pt idx="9">
                  <c:v>5.8309518948453007</c:v>
                </c:pt>
                <c:pt idx="10">
                  <c:v>6.5383484153110105</c:v>
                </c:pt>
                <c:pt idx="11">
                  <c:v>7.2111025509279782</c:v>
                </c:pt>
                <c:pt idx="12">
                  <c:v>7.9214897588774296</c:v>
                </c:pt>
                <c:pt idx="13">
                  <c:v>8</c:v>
                </c:pt>
              </c:numCache>
            </c:numRef>
          </c:xVal>
          <c:yVal>
            <c:numRef>
              <c:f>'300 K'!$F$26:$F$39</c:f>
              <c:numCache>
                <c:formatCode>General</c:formatCode>
                <c:ptCount val="14"/>
                <c:pt idx="0">
                  <c:v>1.5585250000003725</c:v>
                </c:pt>
                <c:pt idx="1">
                  <c:v>1.5503549999993993</c:v>
                </c:pt>
                <c:pt idx="2">
                  <c:v>1.989064999994298</c:v>
                </c:pt>
                <c:pt idx="3">
                  <c:v>1.7141749999937019</c:v>
                </c:pt>
                <c:pt idx="4">
                  <c:v>2.0462950000001001</c:v>
                </c:pt>
                <c:pt idx="5">
                  <c:v>1.7891949999975623</c:v>
                </c:pt>
                <c:pt idx="6">
                  <c:v>1.690824999997858</c:v>
                </c:pt>
                <c:pt idx="7">
                  <c:v>1.7773549999983516</c:v>
                </c:pt>
                <c:pt idx="8">
                  <c:v>1.8004349999973783</c:v>
                </c:pt>
                <c:pt idx="9">
                  <c:v>1.7185349999999744</c:v>
                </c:pt>
                <c:pt idx="10">
                  <c:v>1.4045549999937066</c:v>
                </c:pt>
                <c:pt idx="11">
                  <c:v>1.704024999999092</c:v>
                </c:pt>
                <c:pt idx="12">
                  <c:v>1.7454849999994622</c:v>
                </c:pt>
                <c:pt idx="13">
                  <c:v>2.0132749999975204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34648"/>
        <c:axId val="364933864"/>
      </c:scatterChart>
      <c:valAx>
        <c:axId val="36493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933864"/>
        <c:crosses val="autoZero"/>
        <c:crossBetween val="midCat"/>
      </c:valAx>
      <c:valAx>
        <c:axId val="364933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493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K'!$D$17:$I$17</c:f>
              <c:numCache>
                <c:formatCode>General</c:formatCode>
                <c:ptCount val="6"/>
                <c:pt idx="0">
                  <c:v>0.16227766016837952</c:v>
                </c:pt>
                <c:pt idx="1">
                  <c:v>0.84057287393430391</c:v>
                </c:pt>
                <c:pt idx="2">
                  <c:v>1.4721359549995796</c:v>
                </c:pt>
                <c:pt idx="3">
                  <c:v>2.1720402163943007</c:v>
                </c:pt>
                <c:pt idx="4">
                  <c:v>2.8309518948453007</c:v>
                </c:pt>
                <c:pt idx="5">
                  <c:v>3.5383484153110105</c:v>
                </c:pt>
              </c:numCache>
            </c:numRef>
          </c:xVal>
          <c:yVal>
            <c:numRef>
              <c:f>'100 K'!$D$32:$I$32</c:f>
              <c:numCache>
                <c:formatCode>General</c:formatCode>
                <c:ptCount val="6"/>
                <c:pt idx="0">
                  <c:v>1.3095398709920119</c:v>
                </c:pt>
                <c:pt idx="1">
                  <c:v>1.621909870977106</c:v>
                </c:pt>
                <c:pt idx="2">
                  <c:v>1.6466838709820877</c:v>
                </c:pt>
                <c:pt idx="3">
                  <c:v>1.6486398710039794</c:v>
                </c:pt>
                <c:pt idx="4">
                  <c:v>1.6292078709884663</c:v>
                </c:pt>
                <c:pt idx="5">
                  <c:v>1.6518888709906605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K'!$D$35:$I$35</c:f>
              <c:numCache>
                <c:formatCode>General</c:formatCode>
                <c:ptCount val="6"/>
                <c:pt idx="0">
                  <c:v>0.16227766016837952</c:v>
                </c:pt>
                <c:pt idx="1">
                  <c:v>0.84057287393430391</c:v>
                </c:pt>
                <c:pt idx="2">
                  <c:v>1.4721359549995796</c:v>
                </c:pt>
                <c:pt idx="3">
                  <c:v>2.1720402163943007</c:v>
                </c:pt>
                <c:pt idx="4">
                  <c:v>2.8309518948453007</c:v>
                </c:pt>
                <c:pt idx="5">
                  <c:v>3.5383484153110105</c:v>
                </c:pt>
              </c:numCache>
            </c:numRef>
          </c:xVal>
          <c:yVal>
            <c:numRef>
              <c:f>'100 K'!$D$50:$I$50</c:f>
              <c:numCache>
                <c:formatCode>General</c:formatCode>
                <c:ptCount val="6"/>
                <c:pt idx="0">
                  <c:v>1.183509870992566</c:v>
                </c:pt>
                <c:pt idx="1">
                  <c:v>1.6212268709859927</c:v>
                </c:pt>
                <c:pt idx="2">
                  <c:v>1.6731978710085968</c:v>
                </c:pt>
                <c:pt idx="3">
                  <c:v>1.6114338709958247</c:v>
                </c:pt>
                <c:pt idx="4">
                  <c:v>1.6760568709942163</c:v>
                </c:pt>
                <c:pt idx="5">
                  <c:v>1.6751168709961348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36608"/>
        <c:axId val="364935432"/>
      </c:scatterChart>
      <c:valAx>
        <c:axId val="3649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5432"/>
        <c:crosses val="autoZero"/>
        <c:crossBetween val="midCat"/>
      </c:valAx>
      <c:valAx>
        <c:axId val="36493543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 K'!$C$48:$I$48</c:f>
                <c:numCache>
                  <c:formatCode>General</c:formatCode>
                  <c:ptCount val="7"/>
                  <c:pt idx="0">
                    <c:v>9.3434836687811454E-2</c:v>
                  </c:pt>
                  <c:pt idx="1">
                    <c:v>5.1157339502081359E-2</c:v>
                  </c:pt>
                  <c:pt idx="2">
                    <c:v>5.5287143200744127E-2</c:v>
                  </c:pt>
                  <c:pt idx="3">
                    <c:v>3.0408523067194403E-2</c:v>
                  </c:pt>
                  <c:pt idx="4">
                    <c:v>5.3769044518226602E-2</c:v>
                  </c:pt>
                  <c:pt idx="5">
                    <c:v>4.0787615698009407E-2</c:v>
                  </c:pt>
                  <c:pt idx="6">
                    <c:v>4.692717318527026E-2</c:v>
                  </c:pt>
                </c:numCache>
              </c:numRef>
            </c:plus>
            <c:minus>
              <c:numRef>
                <c:f>'100 K'!$C$48:$I$48</c:f>
                <c:numCache>
                  <c:formatCode>General</c:formatCode>
                  <c:ptCount val="7"/>
                  <c:pt idx="0">
                    <c:v>9.3434836687811454E-2</c:v>
                  </c:pt>
                  <c:pt idx="1">
                    <c:v>5.1157339502081359E-2</c:v>
                  </c:pt>
                  <c:pt idx="2">
                    <c:v>5.5287143200744127E-2</c:v>
                  </c:pt>
                  <c:pt idx="3">
                    <c:v>3.0408523067194403E-2</c:v>
                  </c:pt>
                  <c:pt idx="4">
                    <c:v>5.3769044518226602E-2</c:v>
                  </c:pt>
                  <c:pt idx="5">
                    <c:v>4.0787615698009407E-2</c:v>
                  </c:pt>
                  <c:pt idx="6">
                    <c:v>4.692717318527026E-2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 K'!$D$17:$I$17</c:f>
              <c:numCache>
                <c:formatCode>General</c:formatCode>
                <c:ptCount val="6"/>
                <c:pt idx="0">
                  <c:v>0.16227766016837952</c:v>
                </c:pt>
                <c:pt idx="1">
                  <c:v>0.84057287393430391</c:v>
                </c:pt>
                <c:pt idx="2">
                  <c:v>1.4721359549995796</c:v>
                </c:pt>
                <c:pt idx="3">
                  <c:v>2.1720402163943007</c:v>
                </c:pt>
                <c:pt idx="4">
                  <c:v>2.8309518948453007</c:v>
                </c:pt>
                <c:pt idx="5">
                  <c:v>3.5383484153110105</c:v>
                </c:pt>
              </c:numCache>
            </c:numRef>
          </c:xVal>
          <c:yVal>
            <c:numRef>
              <c:f>'100 K'!$D$50:$I$50</c:f>
              <c:numCache>
                <c:formatCode>General</c:formatCode>
                <c:ptCount val="6"/>
                <c:pt idx="0">
                  <c:v>1.183509870992566</c:v>
                </c:pt>
                <c:pt idx="1">
                  <c:v>1.6212268709859927</c:v>
                </c:pt>
                <c:pt idx="2">
                  <c:v>1.6731978710085968</c:v>
                </c:pt>
                <c:pt idx="3">
                  <c:v>1.6114338709958247</c:v>
                </c:pt>
                <c:pt idx="4">
                  <c:v>1.6760568709942163</c:v>
                </c:pt>
                <c:pt idx="5">
                  <c:v>1.6751168709961348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16968"/>
        <c:axId val="316818144"/>
      </c:scatterChart>
      <c:valAx>
        <c:axId val="31681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8144"/>
        <c:crosses val="autoZero"/>
        <c:crossBetween val="midCat"/>
      </c:valAx>
      <c:valAx>
        <c:axId val="316818144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K'!$D$17:$I$17</c:f>
              <c:numCache>
                <c:formatCode>General</c:formatCode>
                <c:ptCount val="6"/>
                <c:pt idx="0">
                  <c:v>0.16227766016837952</c:v>
                </c:pt>
                <c:pt idx="1">
                  <c:v>0.84057287393430391</c:v>
                </c:pt>
                <c:pt idx="2">
                  <c:v>1.4721359549995796</c:v>
                </c:pt>
                <c:pt idx="3">
                  <c:v>2.1720402163943007</c:v>
                </c:pt>
                <c:pt idx="4">
                  <c:v>2.8309518948453007</c:v>
                </c:pt>
                <c:pt idx="5">
                  <c:v>3.5383484153110105</c:v>
                </c:pt>
              </c:numCache>
            </c:numRef>
          </c:xVal>
          <c:yVal>
            <c:numRef>
              <c:f>'100 K'!$D$32:$I$32</c:f>
              <c:numCache>
                <c:formatCode>General</c:formatCode>
                <c:ptCount val="6"/>
                <c:pt idx="0">
                  <c:v>1.3095398709920119</c:v>
                </c:pt>
                <c:pt idx="1">
                  <c:v>1.621909870977106</c:v>
                </c:pt>
                <c:pt idx="2">
                  <c:v>1.6466838709820877</c:v>
                </c:pt>
                <c:pt idx="3">
                  <c:v>1.6486398710039794</c:v>
                </c:pt>
                <c:pt idx="4">
                  <c:v>1.6292078709884663</c:v>
                </c:pt>
                <c:pt idx="5">
                  <c:v>1.6518888709906605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K'!$D$35:$I$35</c:f>
              <c:numCache>
                <c:formatCode>General</c:formatCode>
                <c:ptCount val="6"/>
                <c:pt idx="0">
                  <c:v>0.16227766016837952</c:v>
                </c:pt>
                <c:pt idx="1">
                  <c:v>0.84057287393430391</c:v>
                </c:pt>
                <c:pt idx="2">
                  <c:v>1.4721359549995796</c:v>
                </c:pt>
                <c:pt idx="3">
                  <c:v>2.1720402163943007</c:v>
                </c:pt>
                <c:pt idx="4">
                  <c:v>2.8309518948453007</c:v>
                </c:pt>
                <c:pt idx="5">
                  <c:v>3.5383484153110105</c:v>
                </c:pt>
              </c:numCache>
            </c:numRef>
          </c:xVal>
          <c:yVal>
            <c:numRef>
              <c:f>'100 K'!$D$50:$I$50</c:f>
              <c:numCache>
                <c:formatCode>General</c:formatCode>
                <c:ptCount val="6"/>
                <c:pt idx="0">
                  <c:v>1.183509870992566</c:v>
                </c:pt>
                <c:pt idx="1">
                  <c:v>1.6212268709859927</c:v>
                </c:pt>
                <c:pt idx="2">
                  <c:v>1.6731978710085968</c:v>
                </c:pt>
                <c:pt idx="3">
                  <c:v>1.6114338709958247</c:v>
                </c:pt>
                <c:pt idx="4">
                  <c:v>1.6760568709942163</c:v>
                </c:pt>
                <c:pt idx="5">
                  <c:v>1.6751168709961348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44896"/>
        <c:axId val="312942152"/>
      </c:scatterChart>
      <c:valAx>
        <c:axId val="312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Depth from Interface (Å)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42152"/>
        <c:crosses val="autoZero"/>
        <c:crossBetween val="midCat"/>
      </c:valAx>
      <c:valAx>
        <c:axId val="312942152"/>
        <c:scaling>
          <c:orientation val="minMax"/>
          <c:max val="2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44896"/>
        <c:crosses val="autoZero"/>
        <c:crossBetween val="midCat"/>
        <c:majorUnit val="0.2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K divac'!$D$17:$I$17</c:f>
              <c:numCache>
                <c:formatCode>General</c:formatCode>
                <c:ptCount val="6"/>
                <c:pt idx="0">
                  <c:v>0.75</c:v>
                </c:pt>
                <c:pt idx="1">
                  <c:v>1.1457809879442502</c:v>
                </c:pt>
                <c:pt idx="2">
                  <c:v>1.815340071064556</c:v>
                </c:pt>
                <c:pt idx="3">
                  <c:v>2.4943152439589777</c:v>
                </c:pt>
                <c:pt idx="4">
                  <c:v>3.1796035471541373</c:v>
                </c:pt>
                <c:pt idx="5">
                  <c:v>3.8693158320170431</c:v>
                </c:pt>
              </c:numCache>
            </c:numRef>
          </c:xVal>
          <c:yVal>
            <c:numRef>
              <c:f>'100 K divac'!$D$32:$I$32</c:f>
              <c:numCache>
                <c:formatCode>General</c:formatCode>
                <c:ptCount val="6"/>
                <c:pt idx="0">
                  <c:v>2.9326627419868601</c:v>
                </c:pt>
                <c:pt idx="1">
                  <c:v>3.1911367419888848</c:v>
                </c:pt>
                <c:pt idx="2">
                  <c:v>3.2062447419812088</c:v>
                </c:pt>
                <c:pt idx="3">
                  <c:v>3.2130237419987679</c:v>
                </c:pt>
                <c:pt idx="4">
                  <c:v>3.2816617419957765</c:v>
                </c:pt>
                <c:pt idx="5">
                  <c:v>3.2746227420066134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K divac'!$D$35:$I$35</c:f>
              <c:numCache>
                <c:formatCode>General</c:formatCode>
                <c:ptCount val="6"/>
                <c:pt idx="0">
                  <c:v>0.75</c:v>
                </c:pt>
                <c:pt idx="1">
                  <c:v>1.1457809879442502</c:v>
                </c:pt>
                <c:pt idx="2">
                  <c:v>1.815340071064556</c:v>
                </c:pt>
                <c:pt idx="3">
                  <c:v>2.4943152439589777</c:v>
                </c:pt>
                <c:pt idx="4">
                  <c:v>3.1796035471541373</c:v>
                </c:pt>
                <c:pt idx="5">
                  <c:v>3.8693158320170431</c:v>
                </c:pt>
              </c:numCache>
            </c:numRef>
          </c:xVal>
          <c:yVal>
            <c:numRef>
              <c:f>'100 K divac'!$D$50:$I$50</c:f>
              <c:numCache>
                <c:formatCode>General</c:formatCode>
                <c:ptCount val="6"/>
                <c:pt idx="0">
                  <c:v>2.6792117420045543</c:v>
                </c:pt>
                <c:pt idx="1">
                  <c:v>3.2002357419914915</c:v>
                </c:pt>
                <c:pt idx="2">
                  <c:v>3.1820157419933821</c:v>
                </c:pt>
                <c:pt idx="3">
                  <c:v>3.2114507419828442</c:v>
                </c:pt>
                <c:pt idx="4">
                  <c:v>3.265185741991445</c:v>
                </c:pt>
                <c:pt idx="5">
                  <c:v>3.2387617419808521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16184"/>
        <c:axId val="316818928"/>
      </c:scatterChart>
      <c:valAx>
        <c:axId val="3168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8928"/>
        <c:crosses val="autoZero"/>
        <c:crossBetween val="midCat"/>
      </c:valAx>
      <c:valAx>
        <c:axId val="316818928"/>
        <c:scaling>
          <c:orientation val="minMax"/>
          <c:min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K divac'!$D$35:$I$35</c:f>
              <c:numCache>
                <c:formatCode>General</c:formatCode>
                <c:ptCount val="6"/>
                <c:pt idx="0">
                  <c:v>0.75</c:v>
                </c:pt>
                <c:pt idx="1">
                  <c:v>1.1457809879442502</c:v>
                </c:pt>
                <c:pt idx="2">
                  <c:v>1.815340071064556</c:v>
                </c:pt>
                <c:pt idx="3">
                  <c:v>2.4943152439589777</c:v>
                </c:pt>
                <c:pt idx="4">
                  <c:v>3.1796035471541373</c:v>
                </c:pt>
                <c:pt idx="5">
                  <c:v>3.8693158320170431</c:v>
                </c:pt>
              </c:numCache>
            </c:numRef>
          </c:xVal>
          <c:yVal>
            <c:numRef>
              <c:f>'100 K divac'!$D$50:$I$50</c:f>
              <c:numCache>
                <c:formatCode>General</c:formatCode>
                <c:ptCount val="6"/>
                <c:pt idx="0">
                  <c:v>2.6792117420045543</c:v>
                </c:pt>
                <c:pt idx="1">
                  <c:v>3.2002357419914915</c:v>
                </c:pt>
                <c:pt idx="2">
                  <c:v>3.1820157419933821</c:v>
                </c:pt>
                <c:pt idx="3">
                  <c:v>3.2114507419828442</c:v>
                </c:pt>
                <c:pt idx="4">
                  <c:v>3.265185741991445</c:v>
                </c:pt>
                <c:pt idx="5">
                  <c:v>3.2387617419808521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14616"/>
        <c:axId val="316820104"/>
      </c:scatterChart>
      <c:valAx>
        <c:axId val="31681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20104"/>
        <c:crosses val="autoZero"/>
        <c:crossBetween val="midCat"/>
      </c:valAx>
      <c:valAx>
        <c:axId val="316820104"/>
        <c:scaling>
          <c:orientation val="minMax"/>
          <c:min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1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K divac'!$D$17:$I$17</c:f>
              <c:numCache>
                <c:formatCode>General</c:formatCode>
                <c:ptCount val="6"/>
                <c:pt idx="0">
                  <c:v>0.75</c:v>
                </c:pt>
                <c:pt idx="1">
                  <c:v>1.1457809879442502</c:v>
                </c:pt>
                <c:pt idx="2">
                  <c:v>1.815340071064556</c:v>
                </c:pt>
                <c:pt idx="3">
                  <c:v>2.4943152439589777</c:v>
                </c:pt>
                <c:pt idx="4">
                  <c:v>3.1796035471541373</c:v>
                </c:pt>
                <c:pt idx="5">
                  <c:v>3.8693158320170431</c:v>
                </c:pt>
              </c:numCache>
            </c:numRef>
          </c:xVal>
          <c:yVal>
            <c:numRef>
              <c:f>'100 K divac'!$D$32:$I$32</c:f>
              <c:numCache>
                <c:formatCode>General</c:formatCode>
                <c:ptCount val="6"/>
                <c:pt idx="0">
                  <c:v>2.9326627419868601</c:v>
                </c:pt>
                <c:pt idx="1">
                  <c:v>3.1911367419888848</c:v>
                </c:pt>
                <c:pt idx="2">
                  <c:v>3.2062447419812088</c:v>
                </c:pt>
                <c:pt idx="3">
                  <c:v>3.2130237419987679</c:v>
                </c:pt>
                <c:pt idx="4">
                  <c:v>3.2816617419957765</c:v>
                </c:pt>
                <c:pt idx="5">
                  <c:v>3.2746227420066134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K divac'!$D$35:$I$35</c:f>
              <c:numCache>
                <c:formatCode>General</c:formatCode>
                <c:ptCount val="6"/>
                <c:pt idx="0">
                  <c:v>0.75</c:v>
                </c:pt>
                <c:pt idx="1">
                  <c:v>1.1457809879442502</c:v>
                </c:pt>
                <c:pt idx="2">
                  <c:v>1.815340071064556</c:v>
                </c:pt>
                <c:pt idx="3">
                  <c:v>2.4943152439589777</c:v>
                </c:pt>
                <c:pt idx="4">
                  <c:v>3.1796035471541373</c:v>
                </c:pt>
                <c:pt idx="5">
                  <c:v>3.8693158320170431</c:v>
                </c:pt>
              </c:numCache>
            </c:numRef>
          </c:xVal>
          <c:yVal>
            <c:numRef>
              <c:f>'100 K divac'!$D$50:$I$50</c:f>
              <c:numCache>
                <c:formatCode>General</c:formatCode>
                <c:ptCount val="6"/>
                <c:pt idx="0">
                  <c:v>2.6792117420045543</c:v>
                </c:pt>
                <c:pt idx="1">
                  <c:v>3.2002357419914915</c:v>
                </c:pt>
                <c:pt idx="2">
                  <c:v>3.1820157419933821</c:v>
                </c:pt>
                <c:pt idx="3">
                  <c:v>3.2114507419828442</c:v>
                </c:pt>
                <c:pt idx="4">
                  <c:v>3.265185741991445</c:v>
                </c:pt>
                <c:pt idx="5">
                  <c:v>3.2387617419808521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4104"/>
        <c:axId val="366154496"/>
      </c:scatterChart>
      <c:valAx>
        <c:axId val="3661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Depth from Interface (Å)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154496"/>
        <c:crosses val="autoZero"/>
        <c:crossBetween val="midCat"/>
      </c:valAx>
      <c:valAx>
        <c:axId val="366154496"/>
        <c:scaling>
          <c:orientation val="minMax"/>
          <c:min val="2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154104"/>
        <c:crosses val="autoZero"/>
        <c:crossBetween val="midCat"/>
        <c:majorUnit val="0.2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244929</xdr:colOff>
      <xdr:row>9</xdr:row>
      <xdr:rowOff>23587</xdr:rowOff>
    </xdr:from>
    <xdr:to>
      <xdr:col>15</xdr:col>
      <xdr:colOff>182336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340179</xdr:colOff>
      <xdr:row>31</xdr:row>
      <xdr:rowOff>40821</xdr:rowOff>
    </xdr:from>
    <xdr:to>
      <xdr:col>15</xdr:col>
      <xdr:colOff>247651</xdr:colOff>
      <xdr:row>45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68036</xdr:colOff>
      <xdr:row>17</xdr:row>
      <xdr:rowOff>29935</xdr:rowOff>
    </xdr:from>
    <xdr:to>
      <xdr:col>13</xdr:col>
      <xdr:colOff>734785</xdr:colOff>
      <xdr:row>28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13</xdr:col>
      <xdr:colOff>666749</xdr:colOff>
      <xdr:row>46</xdr:row>
      <xdr:rowOff>92529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312965</xdr:colOff>
      <xdr:row>16</xdr:row>
      <xdr:rowOff>136072</xdr:rowOff>
    </xdr:from>
    <xdr:to>
      <xdr:col>19</xdr:col>
      <xdr:colOff>24494</xdr:colOff>
      <xdr:row>28</xdr:row>
      <xdr:rowOff>136072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68036</xdr:colOff>
      <xdr:row>17</xdr:row>
      <xdr:rowOff>29935</xdr:rowOff>
    </xdr:from>
    <xdr:to>
      <xdr:col>13</xdr:col>
      <xdr:colOff>734785</xdr:colOff>
      <xdr:row>28</xdr:row>
      <xdr:rowOff>122464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13</xdr:col>
      <xdr:colOff>666749</xdr:colOff>
      <xdr:row>46</xdr:row>
      <xdr:rowOff>92529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231321</xdr:colOff>
      <xdr:row>20</xdr:row>
      <xdr:rowOff>95250</xdr:rowOff>
    </xdr:from>
    <xdr:to>
      <xdr:col>18</xdr:col>
      <xdr:colOff>732064</xdr:colOff>
      <xdr:row>32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face_defect_energ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0"/>
      <sheetName val="111"/>
    </sheetNames>
    <sheetDataSet>
      <sheetData sheetId="0"/>
      <sheetData sheetId="1">
        <row r="9">
          <cell r="P9">
            <v>1.5926272157564463</v>
          </cell>
          <cell r="S9">
            <v>0.24725000000000003</v>
          </cell>
        </row>
        <row r="10">
          <cell r="P10">
            <v>1.5916272157562426</v>
          </cell>
          <cell r="S10">
            <v>1.0384500000000001</v>
          </cell>
        </row>
        <row r="11">
          <cell r="P11">
            <v>1.7836272157553403</v>
          </cell>
          <cell r="S11">
            <v>1.8791000000000002</v>
          </cell>
        </row>
        <row r="12">
          <cell r="P12">
            <v>1.7876272157561552</v>
          </cell>
          <cell r="S12">
            <v>2.7197500000000003</v>
          </cell>
        </row>
        <row r="13">
          <cell r="P13">
            <v>1.7566272157571157</v>
          </cell>
          <cell r="S13">
            <v>3.5109500000000002</v>
          </cell>
        </row>
        <row r="14">
          <cell r="P14">
            <v>1.7166272157562426</v>
          </cell>
          <cell r="S14">
            <v>4.3516000000000004</v>
          </cell>
        </row>
        <row r="15">
          <cell r="P15">
            <v>1.729627215755253</v>
          </cell>
          <cell r="S15">
            <v>5.1922500000000005</v>
          </cell>
        </row>
        <row r="16">
          <cell r="P16">
            <v>1.7306272157554567</v>
          </cell>
          <cell r="S16">
            <v>5.9834500000000004</v>
          </cell>
        </row>
        <row r="17">
          <cell r="P17">
            <v>1.7266272157546418</v>
          </cell>
          <cell r="S17">
            <v>6.8240999999999996</v>
          </cell>
        </row>
        <row r="18">
          <cell r="P18">
            <v>1.7306272157554567</v>
          </cell>
          <cell r="S18">
            <v>7.6647500000000006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70" zoomScaleNormal="70" zoomScalePageLayoutView="70" workbookViewId="0">
      <selection activeCell="H22" sqref="H22"/>
    </sheetView>
  </sheetViews>
  <sheetFormatPr defaultColWidth="8.85546875" defaultRowHeight="15" x14ac:dyDescent="0.25"/>
  <sheetData>
    <row r="1" spans="1:17" x14ac:dyDescent="0.25">
      <c r="H1" t="s">
        <v>13</v>
      </c>
      <c r="K1" t="s">
        <v>14</v>
      </c>
      <c r="O1" t="s">
        <v>27</v>
      </c>
    </row>
    <row r="2" spans="1:17" x14ac:dyDescent="0.25">
      <c r="A2" t="s">
        <v>0</v>
      </c>
      <c r="D2" t="s">
        <v>2</v>
      </c>
      <c r="E2" t="s">
        <v>3</v>
      </c>
      <c r="G2" t="s">
        <v>15</v>
      </c>
      <c r="H2">
        <v>-8218.2199999999993</v>
      </c>
      <c r="I2">
        <v>-4.1091099999999994</v>
      </c>
      <c r="K2">
        <v>-8995.68</v>
      </c>
      <c r="L2">
        <v>-4.4978400000000001</v>
      </c>
      <c r="M2">
        <v>-0.60577701171875009</v>
      </c>
      <c r="O2" t="s">
        <v>12</v>
      </c>
      <c r="P2">
        <v>-9032.2800000000007</v>
      </c>
      <c r="Q2">
        <f t="shared" ref="Q2" si="0">P2/2048</f>
        <v>-4.4102929687500003</v>
      </c>
    </row>
    <row r="3" spans="1:17" x14ac:dyDescent="0.25">
      <c r="D3" t="s">
        <v>4</v>
      </c>
      <c r="E3" t="s">
        <v>5</v>
      </c>
      <c r="G3" t="s">
        <v>12</v>
      </c>
      <c r="H3">
        <v>-8162.73</v>
      </c>
      <c r="I3">
        <f>H3/2000</f>
        <v>-4.0813649999999999</v>
      </c>
      <c r="K3">
        <v>-8942.84</v>
      </c>
      <c r="L3">
        <f t="shared" ref="L3" si="1">K3/2000</f>
        <v>-4.4714200000000002</v>
      </c>
      <c r="M3">
        <v>-0.60566072265625004</v>
      </c>
      <c r="O3" t="s">
        <v>28</v>
      </c>
    </row>
    <row r="4" spans="1:17" x14ac:dyDescent="0.25">
      <c r="A4" t="s">
        <v>12</v>
      </c>
      <c r="O4" t="s">
        <v>12</v>
      </c>
      <c r="P4">
        <v>-6801.87</v>
      </c>
      <c r="Q4">
        <f t="shared" ref="Q4" si="2">P4/2048</f>
        <v>-3.3212255859374999</v>
      </c>
    </row>
    <row r="5" spans="1:17" x14ac:dyDescent="0.25">
      <c r="C5" t="s">
        <v>1</v>
      </c>
      <c r="D5" t="s">
        <v>16</v>
      </c>
      <c r="E5" t="s">
        <v>19</v>
      </c>
      <c r="G5" t="s">
        <v>29</v>
      </c>
    </row>
    <row r="6" spans="1:17" x14ac:dyDescent="0.25">
      <c r="B6" t="s">
        <v>6</v>
      </c>
      <c r="C6">
        <v>-65377.963029999999</v>
      </c>
      <c r="D6">
        <f>C6-15765*I$3-(99+136)*L$3</f>
        <v>15.539895000001707</v>
      </c>
      <c r="G6">
        <f>C6-15765*I$3-136*Q$2-99*Q$4</f>
        <v>-106.64262824218571</v>
      </c>
    </row>
    <row r="7" spans="1:17" x14ac:dyDescent="0.25">
      <c r="B7" t="s">
        <v>7</v>
      </c>
      <c r="C7">
        <v>-65372.392059999998</v>
      </c>
      <c r="D7">
        <f>C7-15764*I$3-(99+136)*L$3</f>
        <v>17.029499999996915</v>
      </c>
      <c r="E7">
        <f>SQRT(1^2+3^2)</f>
        <v>3.1622776601683795</v>
      </c>
      <c r="F7">
        <f>D7-D$6</f>
        <v>1.4896049999952083</v>
      </c>
      <c r="G7">
        <f>C7-15764*I$3-136*Q$2-99*Q$4</f>
        <v>-105.1530232421905</v>
      </c>
      <c r="H7">
        <f>G7-$G$6</f>
        <v>1.4896049999952083</v>
      </c>
    </row>
    <row r="8" spans="1:17" x14ac:dyDescent="0.25">
      <c r="I8" t="s">
        <v>18</v>
      </c>
      <c r="J8">
        <v>-65371.720759999997</v>
      </c>
      <c r="K8">
        <f>J8-15764*I$3-(99+136)*L$3</f>
        <v>17.700799999998708</v>
      </c>
      <c r="L8">
        <f>SQRT(0.5^2+0.5^2+3.5^2)</f>
        <v>3.5707142142714252</v>
      </c>
      <c r="M8">
        <f>K8-D$6</f>
        <v>2.1609049999970011</v>
      </c>
      <c r="N8" t="s">
        <v>17</v>
      </c>
    </row>
    <row r="9" spans="1:17" x14ac:dyDescent="0.25">
      <c r="B9" t="s">
        <v>9</v>
      </c>
      <c r="C9">
        <v>-65372.079619999997</v>
      </c>
      <c r="D9">
        <f>C9-15764*I$3-(99+136)*L$3</f>
        <v>17.341939999998431</v>
      </c>
      <c r="E9">
        <f>SQRT(1^2+4^2)</f>
        <v>4.1231056256176606</v>
      </c>
      <c r="F9">
        <f>D9-D$6</f>
        <v>1.8020449999967241</v>
      </c>
      <c r="G9">
        <f>C9-15764*I$3-136*Q$2-99*Q$4</f>
        <v>-104.84058324218898</v>
      </c>
      <c r="H9">
        <f>G9-$G$6</f>
        <v>1.8020449999967241</v>
      </c>
      <c r="I9" t="s">
        <v>8</v>
      </c>
      <c r="J9">
        <v>-65372.650999999998</v>
      </c>
      <c r="K9">
        <f>J9-15764*I$3-(99+136)*L$3</f>
        <v>16.770559999997204</v>
      </c>
      <c r="L9">
        <f>SQRT(0.5^2+0.5^2+3.5^2)</f>
        <v>3.5707142142714252</v>
      </c>
      <c r="M9">
        <f>K9-D$6</f>
        <v>1.2306649999954971</v>
      </c>
      <c r="N9" t="s">
        <v>17</v>
      </c>
    </row>
    <row r="10" spans="1:17" x14ac:dyDescent="0.25">
      <c r="B10" t="s">
        <v>10</v>
      </c>
      <c r="C10">
        <v>-65372.11724</v>
      </c>
      <c r="D10">
        <f t="shared" ref="D10:D20" si="3">C10-15764*I$3-(99+136)*L$3</f>
        <v>17.304319999995641</v>
      </c>
      <c r="E10">
        <f>SQRT(0.5^2+0.5^2+4.5^2)</f>
        <v>4.5552167895721496</v>
      </c>
      <c r="F10">
        <f t="shared" ref="F10:F20" si="4">D10-D$6</f>
        <v>1.7644249999939348</v>
      </c>
      <c r="G10">
        <f t="shared" ref="G10:G20" si="5">C10-15764*I$3-136*Q$2-99*Q$4</f>
        <v>-104.87820324219177</v>
      </c>
      <c r="H10">
        <f t="shared" ref="H10:H20" si="6">G10-$G$6</f>
        <v>1.7644249999939348</v>
      </c>
    </row>
    <row r="11" spans="1:17" x14ac:dyDescent="0.25">
      <c r="B11" t="s">
        <v>11</v>
      </c>
      <c r="C11">
        <v>-65372.178780000002</v>
      </c>
      <c r="D11">
        <f t="shared" si="3"/>
        <v>17.242779999993218</v>
      </c>
      <c r="E11">
        <f>SQRT(1^2+5^2)</f>
        <v>5.0990195135927845</v>
      </c>
      <c r="F11">
        <f t="shared" si="4"/>
        <v>1.702884999991511</v>
      </c>
      <c r="G11">
        <f t="shared" si="5"/>
        <v>-104.9397432421942</v>
      </c>
      <c r="H11">
        <f t="shared" si="6"/>
        <v>1.702884999991511</v>
      </c>
    </row>
    <row r="12" spans="1:17" x14ac:dyDescent="0.25">
      <c r="B12" t="s">
        <v>20</v>
      </c>
      <c r="C12">
        <v>-65372.182509999999</v>
      </c>
      <c r="D12">
        <f t="shared" si="3"/>
        <v>17.239049999996496</v>
      </c>
      <c r="E12">
        <f>SQRT(1.5^2+0.5^2+3.5^2)</f>
        <v>3.8405728739343039</v>
      </c>
      <c r="F12">
        <f t="shared" si="4"/>
        <v>1.6991549999947893</v>
      </c>
      <c r="G12">
        <f t="shared" si="5"/>
        <v>-104.94347324219092</v>
      </c>
      <c r="H12">
        <f t="shared" si="6"/>
        <v>1.6991549999947893</v>
      </c>
    </row>
    <row r="13" spans="1:17" x14ac:dyDescent="0.25">
      <c r="B13" t="s">
        <v>21</v>
      </c>
      <c r="C13">
        <v>-65372.18129</v>
      </c>
      <c r="D13">
        <f t="shared" ref="D13:D19" si="7">C13-15764*I$3-(99+136)*L$3</f>
        <v>17.24026999999478</v>
      </c>
      <c r="E13">
        <f>SQRT(2^2+4^2)</f>
        <v>4.4721359549995796</v>
      </c>
      <c r="F13">
        <f t="shared" ref="F13:F19" si="8">D13-D$6</f>
        <v>1.7003749999930733</v>
      </c>
      <c r="G13">
        <f t="shared" ref="G13:G19" si="9">C13-15764*I$3-136*Q$2-99*Q$4</f>
        <v>-104.94225324219263</v>
      </c>
      <c r="H13">
        <f t="shared" ref="H13:H19" si="10">G13-$G$6</f>
        <v>1.7003749999930733</v>
      </c>
    </row>
    <row r="14" spans="1:17" x14ac:dyDescent="0.25">
      <c r="B14" t="s">
        <v>24</v>
      </c>
      <c r="C14">
        <v>-65371.43535</v>
      </c>
      <c r="D14">
        <f t="shared" si="7"/>
        <v>17.986209999995481</v>
      </c>
      <c r="E14">
        <f>SQRT(1^2+4^2)</f>
        <v>4.1231056256176606</v>
      </c>
      <c r="F14">
        <f t="shared" si="8"/>
        <v>2.4463149999937741</v>
      </c>
      <c r="G14">
        <f t="shared" si="9"/>
        <v>-104.19631324219193</v>
      </c>
      <c r="H14">
        <f t="shared" si="10"/>
        <v>2.4463149999937741</v>
      </c>
    </row>
    <row r="15" spans="1:17" x14ac:dyDescent="0.25">
      <c r="B15" t="s">
        <v>25</v>
      </c>
      <c r="C15">
        <v>-65371.426599999999</v>
      </c>
      <c r="D15">
        <f t="shared" si="7"/>
        <v>17.994959999996354</v>
      </c>
      <c r="E15">
        <f>SQRT(2.5^2+0.5^2+4.5^2)</f>
        <v>5.1720402163943007</v>
      </c>
      <c r="F15">
        <f t="shared" si="8"/>
        <v>2.4550649999946472</v>
      </c>
      <c r="G15">
        <f t="shared" si="9"/>
        <v>-104.18756324219106</v>
      </c>
      <c r="H15">
        <f t="shared" si="10"/>
        <v>2.4550649999946472</v>
      </c>
    </row>
    <row r="16" spans="1:17" x14ac:dyDescent="0.25">
      <c r="B16" t="s">
        <v>26</v>
      </c>
      <c r="C16">
        <v>-65371.553549999997</v>
      </c>
      <c r="D16">
        <f t="shared" si="7"/>
        <v>17.868009999998321</v>
      </c>
      <c r="E16">
        <f>SQRT(3^2+5^2)</f>
        <v>5.8309518948453007</v>
      </c>
      <c r="F16">
        <f t="shared" si="8"/>
        <v>2.3281149999966146</v>
      </c>
      <c r="G16">
        <f t="shared" si="9"/>
        <v>-104.31451324218909</v>
      </c>
      <c r="H16">
        <f t="shared" si="10"/>
        <v>2.3281149999966146</v>
      </c>
    </row>
    <row r="17" spans="2:8" x14ac:dyDescent="0.25">
      <c r="B17" t="s">
        <v>31</v>
      </c>
      <c r="C17">
        <v>-65371.598960000003</v>
      </c>
      <c r="D17">
        <f t="shared" si="7"/>
        <v>17.822599999992235</v>
      </c>
      <c r="E17">
        <f>SQRT(3.5^2+0.5^2+5.5^2)</f>
        <v>6.5383484153110105</v>
      </c>
      <c r="F17">
        <f t="shared" si="8"/>
        <v>2.2827049999905284</v>
      </c>
      <c r="G17">
        <f t="shared" si="9"/>
        <v>-104.35992324219518</v>
      </c>
      <c r="H17">
        <f t="shared" si="10"/>
        <v>2.2827049999905284</v>
      </c>
    </row>
    <row r="18" spans="2:8" x14ac:dyDescent="0.25">
      <c r="B18" t="s">
        <v>32</v>
      </c>
      <c r="C18">
        <v>-65371.687830000003</v>
      </c>
      <c r="D18">
        <f t="shared" si="7"/>
        <v>17.733729999992647</v>
      </c>
      <c r="E18">
        <f>SQRT(4^2+6^2)</f>
        <v>7.2111025509279782</v>
      </c>
      <c r="F18">
        <f t="shared" si="8"/>
        <v>2.1938349999909406</v>
      </c>
      <c r="G18">
        <f t="shared" si="9"/>
        <v>-104.44879324219477</v>
      </c>
      <c r="H18">
        <f t="shared" si="10"/>
        <v>2.1938349999909406</v>
      </c>
    </row>
    <row r="19" spans="2:8" x14ac:dyDescent="0.25">
      <c r="B19" t="s">
        <v>33</v>
      </c>
      <c r="C19">
        <v>-65371.70983</v>
      </c>
      <c r="D19">
        <f t="shared" si="7"/>
        <v>17.711729999995441</v>
      </c>
      <c r="E19">
        <f>SQRT(4.5^2+0.5^2+6.5^2)</f>
        <v>7.9214897588774296</v>
      </c>
      <c r="F19">
        <f t="shared" si="8"/>
        <v>2.1718349999937345</v>
      </c>
      <c r="G19">
        <f t="shared" si="9"/>
        <v>-104.47079324219197</v>
      </c>
      <c r="H19">
        <f t="shared" si="10"/>
        <v>2.1718349999937345</v>
      </c>
    </row>
    <row r="20" spans="2:8" x14ac:dyDescent="0.25">
      <c r="B20" t="s">
        <v>22</v>
      </c>
      <c r="C20">
        <v>-65372.276339999997</v>
      </c>
      <c r="D20">
        <f t="shared" si="3"/>
        <v>17.145219999998517</v>
      </c>
      <c r="E20">
        <f>SQRT(8^2)</f>
        <v>8</v>
      </c>
      <c r="F20">
        <f t="shared" si="4"/>
        <v>1.6053249999968102</v>
      </c>
      <c r="G20">
        <f t="shared" si="5"/>
        <v>-105.0373032421889</v>
      </c>
      <c r="H20">
        <f t="shared" si="6"/>
        <v>1.6053249999968102</v>
      </c>
    </row>
    <row r="24" spans="2:8" x14ac:dyDescent="0.25">
      <c r="C24" t="s">
        <v>23</v>
      </c>
      <c r="D24" t="s">
        <v>16</v>
      </c>
      <c r="E24" t="s">
        <v>19</v>
      </c>
    </row>
    <row r="25" spans="2:8" x14ac:dyDescent="0.25">
      <c r="B25" t="s">
        <v>6</v>
      </c>
      <c r="C25">
        <v>-65390.916080000003</v>
      </c>
      <c r="D25">
        <f>C25-15765*I$3-(99+136)*L$3</f>
        <v>2.586844999997993</v>
      </c>
    </row>
    <row r="26" spans="2:8" x14ac:dyDescent="0.25">
      <c r="B26" t="s">
        <v>7</v>
      </c>
      <c r="C26">
        <v>-65385.276189999997</v>
      </c>
      <c r="D26">
        <f>C26-15764*I$3-(99+136)*L$3</f>
        <v>4.1453699999983655</v>
      </c>
      <c r="E26">
        <f>SQRT(1^2+3^2)</f>
        <v>3.1622776601683795</v>
      </c>
      <c r="F26">
        <f>D26-D$25</f>
        <v>1.5585250000003725</v>
      </c>
    </row>
    <row r="27" spans="2:8" x14ac:dyDescent="0.25">
      <c r="B27" t="s">
        <v>8</v>
      </c>
      <c r="C27">
        <v>-65385.284359999998</v>
      </c>
      <c r="D27">
        <f>C27-15764*I$3-(99+136)*L$3</f>
        <v>4.1371999999973923</v>
      </c>
      <c r="E27">
        <f>SQRT(0.5^2+0.5^2+3.5^2)</f>
        <v>3.5707142142714252</v>
      </c>
      <c r="F27">
        <f>D27-D$25</f>
        <v>1.5503549999993993</v>
      </c>
    </row>
    <row r="28" spans="2:8" x14ac:dyDescent="0.25">
      <c r="B28" t="s">
        <v>9</v>
      </c>
      <c r="C28">
        <v>-65384.845650000003</v>
      </c>
      <c r="D28">
        <f>C28-15764*I$3-(99+136)*L$3</f>
        <v>4.575909999992291</v>
      </c>
      <c r="E28">
        <f>SQRT(1^2+4^2)</f>
        <v>4.1231056256176606</v>
      </c>
      <c r="F28">
        <f t="shared" ref="F28:F31" si="11">D28-D$25</f>
        <v>1.989064999994298</v>
      </c>
    </row>
    <row r="29" spans="2:8" x14ac:dyDescent="0.25">
      <c r="B29" t="s">
        <v>10</v>
      </c>
      <c r="C29">
        <v>-65385.120540000004</v>
      </c>
      <c r="D29">
        <f t="shared" ref="D29:D35" si="12">C29-15764*I$3-(99+136)*L$3</f>
        <v>4.3010199999916949</v>
      </c>
      <c r="E29">
        <f>SQRT(0.5^2+0.5^2+4.5^2)</f>
        <v>4.5552167895721496</v>
      </c>
      <c r="F29">
        <f t="shared" si="11"/>
        <v>1.7141749999937019</v>
      </c>
    </row>
    <row r="30" spans="2:8" x14ac:dyDescent="0.25">
      <c r="B30" t="s">
        <v>11</v>
      </c>
      <c r="C30">
        <v>-65384.788419999997</v>
      </c>
      <c r="D30">
        <f t="shared" si="12"/>
        <v>4.6331399999980931</v>
      </c>
      <c r="E30">
        <f>SQRT(1^2+5^2)</f>
        <v>5.0990195135927845</v>
      </c>
      <c r="F30">
        <f t="shared" si="11"/>
        <v>2.0462950000001001</v>
      </c>
    </row>
    <row r="31" spans="2:8" x14ac:dyDescent="0.25">
      <c r="B31" t="s">
        <v>20</v>
      </c>
      <c r="C31">
        <v>-65385.04552</v>
      </c>
      <c r="D31">
        <f t="shared" si="12"/>
        <v>4.3760399999955553</v>
      </c>
      <c r="E31">
        <f>SQRT(0.5^2+0.5^2+5.5^2)</f>
        <v>5.5452682532047088</v>
      </c>
      <c r="F31">
        <f t="shared" si="11"/>
        <v>1.7891949999975623</v>
      </c>
    </row>
    <row r="32" spans="2:8" x14ac:dyDescent="0.25">
      <c r="B32" t="s">
        <v>21</v>
      </c>
      <c r="C32">
        <v>-65385.143889999999</v>
      </c>
      <c r="D32">
        <f t="shared" si="12"/>
        <v>4.277669999995851</v>
      </c>
      <c r="E32">
        <f>SQRT(1.5^2+0.5^2+3.5^2)</f>
        <v>3.8405728739343039</v>
      </c>
      <c r="F32">
        <f t="shared" ref="F32:F40" si="13">D32-D$25</f>
        <v>1.690824999997858</v>
      </c>
    </row>
    <row r="33" spans="2:6" x14ac:dyDescent="0.25">
      <c r="B33" t="s">
        <v>24</v>
      </c>
      <c r="C33">
        <v>-65385.057359999999</v>
      </c>
      <c r="D33">
        <f t="shared" si="12"/>
        <v>4.3641999999963446</v>
      </c>
      <c r="E33">
        <f>SQRT(1^2+4^2)</f>
        <v>4.1231056256176606</v>
      </c>
      <c r="F33">
        <f t="shared" si="13"/>
        <v>1.7773549999983516</v>
      </c>
    </row>
    <row r="34" spans="2:6" x14ac:dyDescent="0.25">
      <c r="B34" t="s">
        <v>25</v>
      </c>
      <c r="C34">
        <v>-65385.03428</v>
      </c>
      <c r="D34">
        <f t="shared" si="12"/>
        <v>4.3872799999953713</v>
      </c>
      <c r="E34">
        <f>SQRT(2.5^2+0.5^2+4.5^2)</f>
        <v>5.1720402163943007</v>
      </c>
      <c r="F34">
        <f t="shared" si="13"/>
        <v>1.8004349999973783</v>
      </c>
    </row>
    <row r="35" spans="2:6" x14ac:dyDescent="0.25">
      <c r="B35" t="s">
        <v>26</v>
      </c>
      <c r="C35">
        <v>-65385.116179999997</v>
      </c>
      <c r="D35">
        <f t="shared" si="12"/>
        <v>4.3053799999979674</v>
      </c>
      <c r="E35">
        <f>SQRT(3^2+5^2)</f>
        <v>5.8309518948453007</v>
      </c>
      <c r="F35">
        <f t="shared" si="13"/>
        <v>1.7185349999999744</v>
      </c>
    </row>
    <row r="36" spans="2:6" x14ac:dyDescent="0.25">
      <c r="B36" t="s">
        <v>31</v>
      </c>
      <c r="C36">
        <v>-65385.430160000004</v>
      </c>
      <c r="D36">
        <f t="shared" ref="D36:D38" si="14">C36-15764*I$3-(99+136)*L$3</f>
        <v>3.9913999999916996</v>
      </c>
      <c r="E36">
        <f>SQRT(3.5^2+0.5^2+5.5^2)</f>
        <v>6.5383484153110105</v>
      </c>
      <c r="F36">
        <f t="shared" si="13"/>
        <v>1.4045549999937066</v>
      </c>
    </row>
    <row r="37" spans="2:6" x14ac:dyDescent="0.25">
      <c r="B37" t="s">
        <v>32</v>
      </c>
      <c r="C37">
        <v>-65385.130689999998</v>
      </c>
      <c r="D37">
        <f t="shared" si="14"/>
        <v>4.290869999997085</v>
      </c>
      <c r="E37">
        <f>SQRT(4^2+6^2)</f>
        <v>7.2111025509279782</v>
      </c>
      <c r="F37">
        <f t="shared" si="13"/>
        <v>1.704024999999092</v>
      </c>
    </row>
    <row r="38" spans="2:6" x14ac:dyDescent="0.25">
      <c r="B38" t="s">
        <v>33</v>
      </c>
      <c r="C38">
        <v>-65385.089229999998</v>
      </c>
      <c r="D38">
        <f t="shared" si="14"/>
        <v>4.3323299999974552</v>
      </c>
      <c r="E38">
        <f>SQRT(4.5^2+0.5^2+6.5^2)</f>
        <v>7.9214897588774296</v>
      </c>
      <c r="F38">
        <f t="shared" si="13"/>
        <v>1.7454849999994622</v>
      </c>
    </row>
    <row r="39" spans="2:6" x14ac:dyDescent="0.25">
      <c r="B39" t="s">
        <v>22</v>
      </c>
      <c r="C39">
        <v>-65384.82144</v>
      </c>
      <c r="D39">
        <f>C39-15764*I$3-(99+136)*L$3</f>
        <v>4.6001199999955134</v>
      </c>
      <c r="E39">
        <f>SQRT(8^2)</f>
        <v>8</v>
      </c>
      <c r="F39">
        <f t="shared" si="13"/>
        <v>2.0132749999975204</v>
      </c>
    </row>
    <row r="40" spans="2:6" x14ac:dyDescent="0.25">
      <c r="B40" t="s">
        <v>30</v>
      </c>
      <c r="C40">
        <v>-65384.525410000002</v>
      </c>
      <c r="D40">
        <f>C40-15764*I$3-(99+136)*L$3</f>
        <v>4.896149999993213</v>
      </c>
      <c r="E40">
        <f>SQRT(8^2)</f>
        <v>8</v>
      </c>
      <c r="F40">
        <f t="shared" si="13"/>
        <v>2.30930499999522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B10" zoomScale="70" zoomScaleNormal="70" zoomScalePageLayoutView="70" workbookViewId="0">
      <selection activeCell="P31" sqref="P31"/>
    </sheetView>
  </sheetViews>
  <sheetFormatPr defaultColWidth="11.85546875" defaultRowHeight="15" x14ac:dyDescent="0.25"/>
  <sheetData>
    <row r="1" spans="1:15" x14ac:dyDescent="0.25">
      <c r="H1" t="s">
        <v>13</v>
      </c>
      <c r="K1" t="s">
        <v>14</v>
      </c>
      <c r="N1" t="s">
        <v>41</v>
      </c>
    </row>
    <row r="2" spans="1:15" x14ac:dyDescent="0.25">
      <c r="A2" t="s">
        <v>0</v>
      </c>
      <c r="D2" t="s">
        <v>2</v>
      </c>
      <c r="E2" t="s">
        <v>3</v>
      </c>
      <c r="G2" t="s">
        <v>15</v>
      </c>
      <c r="H2">
        <v>-8218.2069300000003</v>
      </c>
      <c r="I2">
        <f>H2/2000</f>
        <v>-4.1091034650000005</v>
      </c>
      <c r="K2">
        <v>-8995.8364799999999</v>
      </c>
      <c r="L2">
        <f>K2/2000</f>
        <v>-4.4979182399999997</v>
      </c>
      <c r="N2" t="s">
        <v>42</v>
      </c>
      <c r="O2">
        <v>-8212.4487300000001</v>
      </c>
    </row>
    <row r="3" spans="1:15" x14ac:dyDescent="0.25">
      <c r="D3" t="s">
        <v>4</v>
      </c>
      <c r="E3" t="s">
        <v>5</v>
      </c>
      <c r="H3" s="1">
        <v>-8218.2216900000003</v>
      </c>
      <c r="I3">
        <f t="shared" ref="I3:I11" si="0">H3/2000</f>
        <v>-4.109110845</v>
      </c>
      <c r="K3">
        <v>-8995.8444299999992</v>
      </c>
      <c r="L3">
        <f t="shared" ref="L3:L11" si="1">K3/2000</f>
        <v>-4.497922215</v>
      </c>
      <c r="O3">
        <v>-8212.4647399999994</v>
      </c>
    </row>
    <row r="4" spans="1:15" x14ac:dyDescent="0.25">
      <c r="H4" s="1">
        <v>-8218.3680600000007</v>
      </c>
      <c r="I4">
        <f t="shared" si="0"/>
        <v>-4.1091840300000007</v>
      </c>
      <c r="K4">
        <v>-8995.7758699999995</v>
      </c>
      <c r="L4">
        <f t="shared" si="1"/>
        <v>-4.4978879349999996</v>
      </c>
      <c r="O4">
        <v>-8212.2816000000003</v>
      </c>
    </row>
    <row r="5" spans="1:15" x14ac:dyDescent="0.25">
      <c r="H5" s="1">
        <v>-8218.3024700000005</v>
      </c>
      <c r="I5">
        <f t="shared" si="0"/>
        <v>-4.1091512350000006</v>
      </c>
      <c r="K5">
        <v>-8995.7577299999994</v>
      </c>
      <c r="L5">
        <f t="shared" si="1"/>
        <v>-4.4978788649999997</v>
      </c>
      <c r="O5">
        <v>-8212.5903899999994</v>
      </c>
    </row>
    <row r="6" spans="1:15" x14ac:dyDescent="0.25">
      <c r="H6" s="1">
        <v>-8218.3916399999998</v>
      </c>
      <c r="I6">
        <f t="shared" si="0"/>
        <v>-4.1091958200000001</v>
      </c>
      <c r="K6">
        <v>-8995.8961600000002</v>
      </c>
      <c r="L6">
        <f t="shared" si="1"/>
        <v>-4.4979480800000005</v>
      </c>
      <c r="O6">
        <v>-8212.4526700000006</v>
      </c>
    </row>
    <row r="7" spans="1:15" x14ac:dyDescent="0.25">
      <c r="H7" s="1">
        <v>-8218.3439299999991</v>
      </c>
      <c r="I7">
        <f t="shared" si="0"/>
        <v>-4.1091719649999998</v>
      </c>
      <c r="K7">
        <v>-8995.7593500000003</v>
      </c>
      <c r="L7">
        <f t="shared" si="1"/>
        <v>-4.4978796750000001</v>
      </c>
      <c r="O7">
        <v>-8212.4829399999999</v>
      </c>
    </row>
    <row r="8" spans="1:15" x14ac:dyDescent="0.25">
      <c r="H8" s="1">
        <v>-8218.3630799999992</v>
      </c>
      <c r="I8">
        <f t="shared" si="0"/>
        <v>-4.1091815399999998</v>
      </c>
      <c r="K8">
        <v>-8995.8936599999997</v>
      </c>
      <c r="L8">
        <f t="shared" si="1"/>
        <v>-4.4979468300000001</v>
      </c>
      <c r="O8">
        <v>-8212.5146800000002</v>
      </c>
    </row>
    <row r="9" spans="1:15" x14ac:dyDescent="0.25">
      <c r="H9" s="1">
        <v>-8218.2374799999998</v>
      </c>
      <c r="I9">
        <f t="shared" si="0"/>
        <v>-4.1091187399999995</v>
      </c>
      <c r="K9">
        <v>-8995.8053199999995</v>
      </c>
      <c r="L9">
        <f t="shared" si="1"/>
        <v>-4.4979026599999994</v>
      </c>
      <c r="O9">
        <v>-8212.5403499999993</v>
      </c>
    </row>
    <row r="10" spans="1:15" x14ac:dyDescent="0.25">
      <c r="H10" s="1">
        <v>-8218.2250600000007</v>
      </c>
      <c r="I10">
        <f t="shared" si="0"/>
        <v>-4.10911253</v>
      </c>
      <c r="K10">
        <v>-8995.8001899999999</v>
      </c>
      <c r="L10">
        <f t="shared" si="1"/>
        <v>-4.4979000950000003</v>
      </c>
      <c r="O10">
        <v>-8212.4710799999993</v>
      </c>
    </row>
    <row r="11" spans="1:15" x14ac:dyDescent="0.25">
      <c r="H11" s="1">
        <v>-8218.1622399999997</v>
      </c>
      <c r="I11">
        <f t="shared" si="0"/>
        <v>-4.1090811199999999</v>
      </c>
      <c r="K11">
        <v>-8995.88724</v>
      </c>
      <c r="L11">
        <f t="shared" si="1"/>
        <v>-4.49794362</v>
      </c>
      <c r="O11">
        <v>-8212.6022900000007</v>
      </c>
    </row>
    <row r="12" spans="1:15" x14ac:dyDescent="0.25">
      <c r="H12" s="1">
        <f>AVERAGE(H2:H11)</f>
        <v>-8218.2822579999993</v>
      </c>
      <c r="I12" s="2">
        <f>AVERAGE(I2:I11)</f>
        <v>-4.1091411289999993</v>
      </c>
      <c r="K12" s="1">
        <f>AVERAGE(K2:K11)</f>
        <v>-8995.8256429999983</v>
      </c>
      <c r="L12" s="2">
        <f>AVERAGE(L2:L11)</f>
        <v>-4.4979128214999999</v>
      </c>
      <c r="O12" s="1">
        <f>AVERAGE(O2:O11)</f>
        <v>-8212.4849470000008</v>
      </c>
    </row>
    <row r="13" spans="1:15" x14ac:dyDescent="0.25">
      <c r="H13">
        <f>STDEV(H2:H11)</f>
        <v>8.1031099900527287E-2</v>
      </c>
      <c r="I13">
        <f>STDEV(I2:I11)</f>
        <v>4.0515549950388188E-5</v>
      </c>
      <c r="K13">
        <f>STDEV(K2:K11)</f>
        <v>5.4169190105420553E-2</v>
      </c>
      <c r="L13">
        <f>STDEV(L2:L11)</f>
        <v>2.7084595052818492E-5</v>
      </c>
      <c r="O13">
        <f>STDEV(O2:O11)/SQRT(COUNT(O2:O11))</f>
        <v>2.8509115970914135E-2</v>
      </c>
    </row>
    <row r="14" spans="1:15" x14ac:dyDescent="0.25">
      <c r="H14">
        <f>H13/SQRT(COUNT(H2:H11))</f>
        <v>2.5624283699430962E-2</v>
      </c>
      <c r="I14">
        <f>I13/SQRT(COUNT(I2:I11))</f>
        <v>1.2812141849754865E-5</v>
      </c>
      <c r="K14">
        <f>K13/SQRT(COUNT(K2:K11))</f>
        <v>1.7129801973978544E-2</v>
      </c>
      <c r="L14">
        <f>L13/SQRT(COUNT(L2:L11))</f>
        <v>8.5649009870234918E-6</v>
      </c>
      <c r="N14" t="s">
        <v>16</v>
      </c>
      <c r="O14">
        <f>O12-1999*I12</f>
        <v>1.6881698709985358</v>
      </c>
    </row>
    <row r="16" spans="1:15" x14ac:dyDescent="0.25">
      <c r="A16" t="s">
        <v>15</v>
      </c>
      <c r="B16" t="s">
        <v>40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20</v>
      </c>
      <c r="J16" t="s">
        <v>38</v>
      </c>
    </row>
    <row r="17" spans="2:10" x14ac:dyDescent="0.25">
      <c r="B17" t="s">
        <v>19</v>
      </c>
      <c r="D17">
        <f>SQRT(1^2+3^2)-3</f>
        <v>0.16227766016837952</v>
      </c>
      <c r="E17">
        <f>SQRT(1.5^2+0.5^2+3.5^2)-3</f>
        <v>0.84057287393430391</v>
      </c>
      <c r="F17">
        <f>SQRT(2^2+4^2)-3</f>
        <v>1.4721359549995796</v>
      </c>
      <c r="G17">
        <f>SQRT(2.5^2+0.5^2+4.5^2)-3</f>
        <v>2.1720402163943007</v>
      </c>
      <c r="H17">
        <f>SQRT(3^2+5^2)-3</f>
        <v>2.8309518948453007</v>
      </c>
      <c r="I17">
        <f>SQRT(3.5^2+0.5^2+5.5^2)-3</f>
        <v>3.5383484153110105</v>
      </c>
      <c r="J17">
        <f>SQRT(8^2+8^2)-3</f>
        <v>8.3137084989847612</v>
      </c>
    </row>
    <row r="18" spans="2:10" x14ac:dyDescent="0.25">
      <c r="B18">
        <v>1</v>
      </c>
      <c r="C18" s="1">
        <v>-65823.60871</v>
      </c>
      <c r="D18" s="1">
        <v>-65817.974400000006</v>
      </c>
      <c r="E18" s="1">
        <v>-65817.55042</v>
      </c>
      <c r="F18" s="1">
        <v>-65817.507979999995</v>
      </c>
      <c r="G18" s="1">
        <v>-65817.503649999999</v>
      </c>
      <c r="H18">
        <v>-65817.683430000005</v>
      </c>
      <c r="I18">
        <v>-65817.539350000006</v>
      </c>
      <c r="J18" s="1">
        <v>-65817.52016</v>
      </c>
    </row>
    <row r="19" spans="2:10" x14ac:dyDescent="0.25">
      <c r="B19">
        <v>2</v>
      </c>
      <c r="C19" s="1">
        <v>-65822.998000000007</v>
      </c>
      <c r="D19" s="1">
        <v>-65817.922040000005</v>
      </c>
      <c r="E19" s="1">
        <v>-65817.534209999998</v>
      </c>
      <c r="F19" s="1">
        <v>-65817.55631</v>
      </c>
      <c r="G19" s="1">
        <v>-65817.565400000007</v>
      </c>
      <c r="H19">
        <v>-65817.574179999996</v>
      </c>
      <c r="I19">
        <v>-65817.568100000004</v>
      </c>
      <c r="J19" s="1">
        <v>-65817.53873</v>
      </c>
    </row>
    <row r="20" spans="2:10" x14ac:dyDescent="0.25">
      <c r="B20">
        <v>3</v>
      </c>
      <c r="C20" s="1">
        <v>-65822.832219999997</v>
      </c>
      <c r="D20" s="1">
        <v>-65818.010590000005</v>
      </c>
      <c r="E20" s="1">
        <v>-65817.638510000004</v>
      </c>
      <c r="F20" s="1">
        <v>-65817.604800000001</v>
      </c>
      <c r="G20" s="1">
        <v>-65817.570120000004</v>
      </c>
      <c r="H20">
        <v>-65817.752940000006</v>
      </c>
      <c r="I20">
        <v>-65817.571710000004</v>
      </c>
      <c r="J20" s="1">
        <v>-65817.524980000002</v>
      </c>
    </row>
    <row r="21" spans="2:10" x14ac:dyDescent="0.25">
      <c r="B21">
        <v>4</v>
      </c>
      <c r="C21" s="1">
        <v>-65822.931270000001</v>
      </c>
      <c r="D21" s="1">
        <v>-65817.517170000006</v>
      </c>
      <c r="E21" s="1">
        <v>-65817.215989999997</v>
      </c>
      <c r="F21" s="1">
        <v>-65817.171740000005</v>
      </c>
      <c r="G21" s="1">
        <v>-65817.176689999993</v>
      </c>
      <c r="H21">
        <v>-65817.084499999997</v>
      </c>
      <c r="I21">
        <v>-65817.094750000004</v>
      </c>
      <c r="J21" s="1">
        <v>-65817.239010000005</v>
      </c>
    </row>
    <row r="22" spans="2:10" x14ac:dyDescent="0.25">
      <c r="B22">
        <v>5</v>
      </c>
      <c r="C22" s="1">
        <v>-65823.098509999996</v>
      </c>
      <c r="D22" s="1">
        <v>-65817.853440000006</v>
      </c>
      <c r="E22" s="1">
        <v>-65817.531770000001</v>
      </c>
      <c r="F22" s="1">
        <v>-65817.529110000003</v>
      </c>
      <c r="G22" s="1">
        <v>-65817.488020000004</v>
      </c>
      <c r="H22">
        <v>-65817.495250000007</v>
      </c>
      <c r="I22">
        <v>-65817.607600000003</v>
      </c>
      <c r="J22" s="1">
        <v>-65817.577420000001</v>
      </c>
    </row>
    <row r="23" spans="2:10" x14ac:dyDescent="0.25">
      <c r="B23">
        <v>6</v>
      </c>
      <c r="C23" s="1">
        <v>-65823.637359999993</v>
      </c>
      <c r="D23" s="1">
        <v>-65817.561369999996</v>
      </c>
      <c r="E23" s="1">
        <v>-65817.309389999995</v>
      </c>
      <c r="F23" s="1">
        <v>-65817.333559999999</v>
      </c>
      <c r="G23" s="1">
        <v>-65817.319650000005</v>
      </c>
      <c r="H23">
        <v>-65817.251199999999</v>
      </c>
      <c r="I23">
        <v>-65817.198619999996</v>
      </c>
      <c r="J23" s="1">
        <v>-65817.241949999996</v>
      </c>
    </row>
    <row r="24" spans="2:10" x14ac:dyDescent="0.25">
      <c r="B24">
        <v>7</v>
      </c>
      <c r="C24" s="1">
        <v>-65823.503710000005</v>
      </c>
      <c r="D24" s="1">
        <v>-65818.109320000003</v>
      </c>
      <c r="E24" s="1">
        <v>-65817.864170000001</v>
      </c>
      <c r="F24" s="1">
        <v>-65817.769839999994</v>
      </c>
      <c r="G24" s="1">
        <v>-65817.827160000001</v>
      </c>
      <c r="H24">
        <v>-65817.788010000004</v>
      </c>
      <c r="I24">
        <v>-65817.711190000002</v>
      </c>
      <c r="J24" s="1">
        <v>-65817.666670000006</v>
      </c>
    </row>
    <row r="25" spans="2:10" x14ac:dyDescent="0.25">
      <c r="B25">
        <v>8</v>
      </c>
      <c r="C25" s="1">
        <v>-65822.856920000006</v>
      </c>
      <c r="D25" s="1">
        <v>-65817.779370000004</v>
      </c>
      <c r="E25" s="1">
        <v>-65817.617079999996</v>
      </c>
      <c r="F25" s="1">
        <v>-65817.597139999998</v>
      </c>
      <c r="G25" s="1">
        <v>-65817.614749999993</v>
      </c>
      <c r="H25">
        <v>-65817.600839999999</v>
      </c>
      <c r="I25">
        <v>-65817.410210000002</v>
      </c>
      <c r="J25" s="1">
        <v>-65817.404020000002</v>
      </c>
    </row>
    <row r="26" spans="2:10" x14ac:dyDescent="0.25">
      <c r="B26">
        <v>9</v>
      </c>
      <c r="C26" s="1">
        <v>-65823.589959999998</v>
      </c>
      <c r="D26" s="1">
        <v>-65817.723800000007</v>
      </c>
      <c r="E26" s="1">
        <v>-65817.369030000002</v>
      </c>
      <c r="F26" s="1">
        <v>-65817.338390000004</v>
      </c>
      <c r="G26" s="1">
        <v>-65817.348740000001</v>
      </c>
      <c r="H26">
        <v>-65817.353789999994</v>
      </c>
      <c r="I26">
        <v>-65817.465500000006</v>
      </c>
      <c r="J26" s="1">
        <v>-65817.448480000006</v>
      </c>
    </row>
    <row r="27" spans="2:10" x14ac:dyDescent="0.25">
      <c r="B27">
        <v>10</v>
      </c>
      <c r="C27" s="1">
        <v>-65823.205000000002</v>
      </c>
      <c r="D27" s="1">
        <v>-65817.623349999994</v>
      </c>
      <c r="E27" s="1">
        <v>-65817.32058</v>
      </c>
      <c r="F27" s="1">
        <v>-65817.294540000003</v>
      </c>
      <c r="G27" s="1">
        <v>-65817.269669999994</v>
      </c>
      <c r="H27">
        <v>-65817.294030000005</v>
      </c>
      <c r="I27">
        <v>-65817.484330000007</v>
      </c>
      <c r="J27" s="1">
        <v>-65817.471449999997</v>
      </c>
    </row>
    <row r="28" spans="2:10" x14ac:dyDescent="0.25">
      <c r="B28" t="s">
        <v>34</v>
      </c>
      <c r="C28" s="1">
        <f>AVERAGE(C18:C27)</f>
        <v>-65823.226165999993</v>
      </c>
      <c r="D28" s="1">
        <f>AVERAGE(D18:D27)</f>
        <v>-65817.807484999998</v>
      </c>
      <c r="E28" s="1">
        <f t="shared" ref="E28:I28" si="2">AVERAGE(E18:E27)</f>
        <v>-65817.495115000012</v>
      </c>
      <c r="F28" s="1">
        <f t="shared" si="2"/>
        <v>-65817.470341000007</v>
      </c>
      <c r="G28" s="1">
        <f t="shared" si="2"/>
        <v>-65817.468384999986</v>
      </c>
      <c r="H28" s="1">
        <f t="shared" si="2"/>
        <v>-65817.487817000001</v>
      </c>
      <c r="I28" s="1">
        <f t="shared" si="2"/>
        <v>-65817.465135999999</v>
      </c>
      <c r="J28" s="1">
        <f>AVERAGE(J18:J27)</f>
        <v>-65817.463286999991</v>
      </c>
    </row>
    <row r="29" spans="2:10" x14ac:dyDescent="0.25">
      <c r="B29" t="s">
        <v>36</v>
      </c>
      <c r="C29">
        <f>STDEV(C18:C27)</f>
        <v>0.32865054923822579</v>
      </c>
      <c r="D29">
        <f t="shared" ref="D29:G29" si="3">STDEV(D18:D27)</f>
        <v>0.2005564643842899</v>
      </c>
      <c r="E29">
        <f t="shared" si="3"/>
        <v>0.19331444334558029</v>
      </c>
      <c r="F29">
        <f t="shared" si="3"/>
        <v>0.18021797785549462</v>
      </c>
      <c r="G29">
        <f t="shared" si="3"/>
        <v>0.19222207592476093</v>
      </c>
      <c r="H29">
        <f t="shared" ref="H29:I29" si="4">STDEV(H18:H27)</f>
        <v>0.23407675598190655</v>
      </c>
      <c r="I29">
        <f t="shared" si="4"/>
        <v>0.18853465865985972</v>
      </c>
      <c r="J29">
        <f>STDEV(J18:J27)</f>
        <v>0.13752248156098509</v>
      </c>
    </row>
    <row r="30" spans="2:10" x14ac:dyDescent="0.25">
      <c r="B30" t="s">
        <v>37</v>
      </c>
      <c r="C30">
        <f>C29/SQRT(COUNT(C18:C27))</f>
        <v>0.10392842898581094</v>
      </c>
      <c r="D30">
        <f>D29/SQRT(COUNT(D18:D27))</f>
        <v>6.3421522692479512E-2</v>
      </c>
      <c r="E30">
        <f t="shared" ref="E30:I30" si="5">E29/SQRT(COUNT(E18:E27))</f>
        <v>6.1131394557961433E-2</v>
      </c>
      <c r="F30">
        <f t="shared" si="5"/>
        <v>5.6989928533315026E-2</v>
      </c>
      <c r="G30">
        <f t="shared" si="5"/>
        <v>6.0785957648806149E-2</v>
      </c>
      <c r="H30">
        <f t="shared" si="5"/>
        <v>7.4021569620626809E-2</v>
      </c>
      <c r="I30">
        <f t="shared" si="5"/>
        <v>5.9619893924754523E-2</v>
      </c>
      <c r="J30">
        <f>J29/SQRT(COUNT(J18:J27))</f>
        <v>4.3488427121122102E-2</v>
      </c>
    </row>
    <row r="31" spans="2:10" x14ac:dyDescent="0.25">
      <c r="B31" t="s">
        <v>16</v>
      </c>
      <c r="C31">
        <f>C28-15765*I$12-(99+136)*L$12</f>
        <v>14.393245737497182</v>
      </c>
      <c r="D31">
        <f>D28-15764*$I$12-(99+136)*$L$12</f>
        <v>15.702785608489194</v>
      </c>
      <c r="E31">
        <f t="shared" ref="E31:G31" si="6">E28-15764*$I$12-(99+136)*$L$12</f>
        <v>16.015155608474288</v>
      </c>
      <c r="F31">
        <f t="shared" si="6"/>
        <v>16.03992960847927</v>
      </c>
      <c r="G31">
        <f t="shared" si="6"/>
        <v>16.041885608501161</v>
      </c>
      <c r="H31">
        <f t="shared" ref="H31:I31" si="7">H28-15764*$I$12-(99+136)*$L$12</f>
        <v>16.022453608485648</v>
      </c>
      <c r="I31">
        <f t="shared" si="7"/>
        <v>16.045134608487842</v>
      </c>
      <c r="J31">
        <f>J28-15764*$I$12-(99+136)*$L$12</f>
        <v>16.046983608495339</v>
      </c>
    </row>
    <row r="32" spans="2:10" x14ac:dyDescent="0.25">
      <c r="B32" t="s">
        <v>35</v>
      </c>
      <c r="D32">
        <f t="shared" ref="D32:I32" si="8">D31-$C$31</f>
        <v>1.3095398709920119</v>
      </c>
      <c r="E32">
        <f t="shared" si="8"/>
        <v>1.621909870977106</v>
      </c>
      <c r="F32">
        <f t="shared" si="8"/>
        <v>1.6466838709820877</v>
      </c>
      <c r="G32">
        <f t="shared" si="8"/>
        <v>1.6486398710039794</v>
      </c>
      <c r="H32">
        <f t="shared" si="8"/>
        <v>1.6292078709884663</v>
      </c>
      <c r="I32">
        <f t="shared" si="8"/>
        <v>1.6518888709906605</v>
      </c>
      <c r="J32">
        <f>J31-$C$31</f>
        <v>1.6537378709981567</v>
      </c>
    </row>
    <row r="34" spans="1:9" x14ac:dyDescent="0.25">
      <c r="A34" t="s">
        <v>15</v>
      </c>
      <c r="B34" t="s">
        <v>39</v>
      </c>
      <c r="C34" t="s">
        <v>6</v>
      </c>
      <c r="D34" t="s">
        <v>7</v>
      </c>
      <c r="E34" t="s">
        <v>8</v>
      </c>
      <c r="F34" t="s">
        <v>9</v>
      </c>
      <c r="G34" t="s">
        <v>10</v>
      </c>
      <c r="H34" t="s">
        <v>11</v>
      </c>
      <c r="I34" t="s">
        <v>20</v>
      </c>
    </row>
    <row r="35" spans="1:9" x14ac:dyDescent="0.25">
      <c r="B35" t="s">
        <v>19</v>
      </c>
      <c r="D35">
        <f>SQRT(1^2+3^2)-3</f>
        <v>0.16227766016837952</v>
      </c>
      <c r="E35">
        <f>SQRT(1.5^2+0.5^2+3.5^2)-3</f>
        <v>0.84057287393430391</v>
      </c>
      <c r="F35">
        <f>SQRT(2^2+4^2)-3</f>
        <v>1.4721359549995796</v>
      </c>
      <c r="G35">
        <f>SQRT(2.5^2+0.5^2+4.5^2)-3</f>
        <v>2.1720402163943007</v>
      </c>
      <c r="H35">
        <f>SQRT(3^2+5^2)-3</f>
        <v>2.8309518948453007</v>
      </c>
      <c r="I35">
        <f>SQRT(3.5^2+0.5^2+5.5^2)-3</f>
        <v>3.5383484153110105</v>
      </c>
    </row>
    <row r="36" spans="1:9" x14ac:dyDescent="0.25">
      <c r="B36">
        <v>1</v>
      </c>
      <c r="C36" s="1">
        <v>-65836.494340000005</v>
      </c>
      <c r="D36" s="1">
        <v>-65830.741729999994</v>
      </c>
      <c r="E36">
        <v>-65830.301000000007</v>
      </c>
      <c r="F36">
        <v>-65830.346399999995</v>
      </c>
      <c r="G36">
        <v>-65830.346980000002</v>
      </c>
      <c r="H36">
        <v>-65830.349589999998</v>
      </c>
      <c r="I36">
        <v>-65830.259919999997</v>
      </c>
    </row>
    <row r="37" spans="1:9" x14ac:dyDescent="0.25">
      <c r="B37">
        <v>2</v>
      </c>
      <c r="C37" s="1">
        <v>-65835.99252</v>
      </c>
      <c r="D37" s="1">
        <v>-65830.922189999997</v>
      </c>
      <c r="E37">
        <v>-65830.512260000003</v>
      </c>
      <c r="F37">
        <v>-65830.424280000007</v>
      </c>
      <c r="G37">
        <v>-65830.515969999993</v>
      </c>
      <c r="H37">
        <v>-65830.479319999999</v>
      </c>
      <c r="I37">
        <v>-65830.289470000003</v>
      </c>
    </row>
    <row r="38" spans="1:9" x14ac:dyDescent="0.25">
      <c r="B38">
        <v>3</v>
      </c>
      <c r="C38" s="1">
        <v>-65835.820789999998</v>
      </c>
      <c r="D38" s="1">
        <v>-65830.547779999994</v>
      </c>
      <c r="E38">
        <v>-65830.139299999995</v>
      </c>
      <c r="F38">
        <v>-65830.126260000005</v>
      </c>
      <c r="G38">
        <v>-65830.136629999994</v>
      </c>
      <c r="H38">
        <v>-65830.128110000005</v>
      </c>
      <c r="I38">
        <v>-65830.046560000003</v>
      </c>
    </row>
    <row r="39" spans="1:9" x14ac:dyDescent="0.25">
      <c r="B39">
        <v>4</v>
      </c>
      <c r="C39" s="1">
        <v>-65835.786309999996</v>
      </c>
      <c r="D39" s="1">
        <v>-65830.850279999999</v>
      </c>
      <c r="E39">
        <v>-65830.425740000006</v>
      </c>
      <c r="F39">
        <v>-65830.454240000006</v>
      </c>
      <c r="G39">
        <v>-65830.410310000007</v>
      </c>
      <c r="H39">
        <v>-65830.520550000001</v>
      </c>
      <c r="I39">
        <v>-65830.497940000001</v>
      </c>
    </row>
    <row r="40" spans="1:9" x14ac:dyDescent="0.25">
      <c r="B40">
        <v>5</v>
      </c>
      <c r="C40" s="1">
        <v>-65835.940749999994</v>
      </c>
      <c r="D40" s="1">
        <v>-65830.769799999995</v>
      </c>
      <c r="E40">
        <v>-65830.400940000007</v>
      </c>
      <c r="F40">
        <v>-65830.325979999994</v>
      </c>
      <c r="G40">
        <v>-65830.396089999995</v>
      </c>
      <c r="H40">
        <v>-65830.359530000002</v>
      </c>
      <c r="I40">
        <v>-65830.326799999995</v>
      </c>
    </row>
    <row r="41" spans="1:9" x14ac:dyDescent="0.25">
      <c r="B41">
        <v>6</v>
      </c>
      <c r="C41" s="1">
        <v>-65836.516159999999</v>
      </c>
      <c r="D41" s="1">
        <v>-65830.980850000007</v>
      </c>
      <c r="E41">
        <v>-65830.636880000005</v>
      </c>
      <c r="F41">
        <v>-65830.350850000003</v>
      </c>
      <c r="G41">
        <v>-65830.631129999994</v>
      </c>
      <c r="H41">
        <v>-65830.403730000005</v>
      </c>
      <c r="I41">
        <v>-65830.402239999996</v>
      </c>
    </row>
    <row r="42" spans="1:9" x14ac:dyDescent="0.25">
      <c r="B42">
        <v>7</v>
      </c>
      <c r="C42" s="1">
        <v>-65836.31697</v>
      </c>
      <c r="D42" s="1">
        <v>-65830.666740000001</v>
      </c>
      <c r="E42">
        <v>-65830.264479999998</v>
      </c>
      <c r="F42">
        <v>-65830.278439999995</v>
      </c>
      <c r="G42">
        <v>-65830.268479999999</v>
      </c>
      <c r="H42">
        <v>-65830.232579999996</v>
      </c>
      <c r="I42">
        <v>-65830.438389999996</v>
      </c>
    </row>
    <row r="43" spans="1:9" x14ac:dyDescent="0.25">
      <c r="B43">
        <v>8</v>
      </c>
      <c r="C43" s="1">
        <v>-65835.761979999996</v>
      </c>
      <c r="D43" s="1">
        <v>-65830.742700000003</v>
      </c>
      <c r="E43">
        <v>-65830.153309999994</v>
      </c>
      <c r="F43">
        <v>-65830.248730000007</v>
      </c>
      <c r="G43">
        <v>-65830.164090000006</v>
      </c>
      <c r="H43">
        <v>-65830.156289999999</v>
      </c>
      <c r="I43">
        <v>-65830.143750000003</v>
      </c>
    </row>
    <row r="44" spans="1:9" x14ac:dyDescent="0.25">
      <c r="B44">
        <v>9</v>
      </c>
      <c r="C44" s="1">
        <v>-65836.387879999995</v>
      </c>
      <c r="D44" s="1">
        <v>-65831.113209999996</v>
      </c>
      <c r="E44">
        <v>-65830.621549999996</v>
      </c>
      <c r="F44">
        <v>-65830.412760000007</v>
      </c>
      <c r="G44">
        <v>-65830.62199</v>
      </c>
      <c r="H44">
        <v>-65830.347810000007</v>
      </c>
      <c r="I44">
        <v>-65830.507549999995</v>
      </c>
    </row>
    <row r="45" spans="1:9" x14ac:dyDescent="0.25">
      <c r="B45">
        <v>10</v>
      </c>
      <c r="C45" s="1">
        <v>-65836.078569999998</v>
      </c>
      <c r="D45" s="1">
        <v>-65830.834480000005</v>
      </c>
      <c r="E45">
        <v>-65830.33713</v>
      </c>
      <c r="F45">
        <v>-65830.304940000002</v>
      </c>
      <c r="G45">
        <v>-65830.398849999998</v>
      </c>
      <c r="H45">
        <v>-65830.266780000005</v>
      </c>
      <c r="I45">
        <v>-65830.341069999995</v>
      </c>
    </row>
    <row r="46" spans="1:9" x14ac:dyDescent="0.25">
      <c r="B46" t="s">
        <v>34</v>
      </c>
      <c r="C46" s="1">
        <f>AVERAGE(C36:C45)</f>
        <v>-65836.109626999998</v>
      </c>
      <c r="D46" s="1">
        <f>AVERAGE(D36:D45)</f>
        <v>-65830.816976000002</v>
      </c>
      <c r="E46" s="1">
        <f t="shared" ref="E46:I46" si="9">AVERAGE(E36:E45)</f>
        <v>-65830.379259000008</v>
      </c>
      <c r="F46" s="1">
        <f t="shared" si="9"/>
        <v>-65830.327287999986</v>
      </c>
      <c r="G46" s="1">
        <f t="shared" si="9"/>
        <v>-65830.389051999999</v>
      </c>
      <c r="H46" s="1">
        <f t="shared" si="9"/>
        <v>-65830.324429</v>
      </c>
      <c r="I46" s="1">
        <f t="shared" si="9"/>
        <v>-65830.325368999998</v>
      </c>
    </row>
    <row r="47" spans="1:9" x14ac:dyDescent="0.25">
      <c r="B47" t="s">
        <v>36</v>
      </c>
      <c r="C47">
        <f>STDEV(C36:C45)</f>
        <v>0.29546689673934706</v>
      </c>
      <c r="D47">
        <f t="shared" ref="D47:I47" si="10">STDEV(D36:D45)</f>
        <v>0.16177371186108125</v>
      </c>
      <c r="E47">
        <f t="shared" si="10"/>
        <v>0.17483329783824328</v>
      </c>
      <c r="F47">
        <f t="shared" si="10"/>
        <v>9.6160193174103709E-2</v>
      </c>
      <c r="G47">
        <f t="shared" si="10"/>
        <v>0.17003264828858705</v>
      </c>
      <c r="H47">
        <f t="shared" si="10"/>
        <v>0.12898176593334826</v>
      </c>
      <c r="I47">
        <f t="shared" si="10"/>
        <v>0.14839675141863276</v>
      </c>
    </row>
    <row r="48" spans="1:9" x14ac:dyDescent="0.25">
      <c r="B48" t="s">
        <v>37</v>
      </c>
      <c r="C48">
        <f>C47/SQRT(COUNT(C36:C45))</f>
        <v>9.3434836687811454E-2</v>
      </c>
      <c r="D48">
        <f>D47/SQRT(COUNT(D36:D45))</f>
        <v>5.1157339502081359E-2</v>
      </c>
      <c r="E48">
        <f t="shared" ref="E48:I48" si="11">E47/SQRT(COUNT(E36:E45))</f>
        <v>5.5287143200744127E-2</v>
      </c>
      <c r="F48">
        <f t="shared" si="11"/>
        <v>3.0408523067194403E-2</v>
      </c>
      <c r="G48">
        <f t="shared" si="11"/>
        <v>5.3769044518226602E-2</v>
      </c>
      <c r="H48">
        <f t="shared" si="11"/>
        <v>4.0787615698009407E-2</v>
      </c>
      <c r="I48">
        <f t="shared" si="11"/>
        <v>4.692717318527026E-2</v>
      </c>
    </row>
    <row r="49" spans="2:9" x14ac:dyDescent="0.25">
      <c r="B49" t="s">
        <v>16</v>
      </c>
      <c r="C49">
        <f>C46-15765*I$12-(99+136)*L$12</f>
        <v>1.5097847374922821</v>
      </c>
      <c r="D49">
        <f>D46-15764*$I$12-(99+136)*$L$12</f>
        <v>2.6932946084848481</v>
      </c>
      <c r="E49">
        <f t="shared" ref="E49:I49" si="12">E46-15764*$I$12-(99+136)*$L$12</f>
        <v>3.1310116084782749</v>
      </c>
      <c r="F49">
        <f t="shared" si="12"/>
        <v>3.182982608500879</v>
      </c>
      <c r="G49">
        <f t="shared" si="12"/>
        <v>3.1212186084881068</v>
      </c>
      <c r="H49">
        <f t="shared" si="12"/>
        <v>3.1858416084864984</v>
      </c>
      <c r="I49">
        <f t="shared" si="12"/>
        <v>3.184901608488417</v>
      </c>
    </row>
    <row r="50" spans="2:9" x14ac:dyDescent="0.25">
      <c r="B50" t="s">
        <v>35</v>
      </c>
      <c r="D50">
        <f>D49-$C$49</f>
        <v>1.183509870992566</v>
      </c>
      <c r="E50">
        <f t="shared" ref="E50:I50" si="13">E49-$C$49</f>
        <v>1.6212268709859927</v>
      </c>
      <c r="F50">
        <f t="shared" si="13"/>
        <v>1.6731978710085968</v>
      </c>
      <c r="G50">
        <f t="shared" si="13"/>
        <v>1.6114338709958247</v>
      </c>
      <c r="H50">
        <f t="shared" si="13"/>
        <v>1.6760568709942163</v>
      </c>
      <c r="I50">
        <f t="shared" si="13"/>
        <v>1.6751168709961348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F16" zoomScale="70" zoomScaleNormal="70" zoomScalePageLayoutView="70" workbookViewId="0">
      <selection activeCell="Q38" sqref="Q38"/>
    </sheetView>
  </sheetViews>
  <sheetFormatPr defaultColWidth="11.85546875" defaultRowHeight="15" x14ac:dyDescent="0.25"/>
  <sheetData>
    <row r="1" spans="1:16" x14ac:dyDescent="0.25">
      <c r="H1" t="s">
        <v>13</v>
      </c>
      <c r="K1" t="s">
        <v>14</v>
      </c>
      <c r="N1" t="s">
        <v>41</v>
      </c>
      <c r="O1" t="s">
        <v>42</v>
      </c>
      <c r="P1" t="s">
        <v>53</v>
      </c>
    </row>
    <row r="2" spans="1:16" x14ac:dyDescent="0.25">
      <c r="A2" t="s">
        <v>0</v>
      </c>
      <c r="D2" t="s">
        <v>2</v>
      </c>
      <c r="E2" t="s">
        <v>3</v>
      </c>
      <c r="G2" t="s">
        <v>15</v>
      </c>
      <c r="H2">
        <v>-8218.2069300000003</v>
      </c>
      <c r="I2">
        <f>H2/2000</f>
        <v>-4.1091034650000005</v>
      </c>
      <c r="K2">
        <v>-8995.8364799999999</v>
      </c>
      <c r="L2">
        <f>K2/2000</f>
        <v>-4.4979182399999997</v>
      </c>
      <c r="O2">
        <v>-8212.4487300000001</v>
      </c>
      <c r="P2">
        <v>-8206.6333599999998</v>
      </c>
    </row>
    <row r="3" spans="1:16" x14ac:dyDescent="0.25">
      <c r="D3" t="s">
        <v>4</v>
      </c>
      <c r="E3" t="s">
        <v>5</v>
      </c>
      <c r="H3" s="1">
        <v>-8218.2216900000003</v>
      </c>
      <c r="I3">
        <f t="shared" ref="I3:I11" si="0">H3/2000</f>
        <v>-4.109110845</v>
      </c>
      <c r="K3">
        <v>-8995.8444299999992</v>
      </c>
      <c r="L3">
        <f t="shared" ref="L3:L11" si="1">K3/2000</f>
        <v>-4.497922215</v>
      </c>
      <c r="O3">
        <v>-8212.4647399999994</v>
      </c>
      <c r="P3">
        <v>-8206.6366699999999</v>
      </c>
    </row>
    <row r="4" spans="1:16" x14ac:dyDescent="0.25">
      <c r="H4" s="1">
        <v>-8218.3680600000007</v>
      </c>
      <c r="I4">
        <f t="shared" si="0"/>
        <v>-4.1091840300000007</v>
      </c>
      <c r="K4">
        <v>-8995.7758699999995</v>
      </c>
      <c r="L4">
        <f t="shared" si="1"/>
        <v>-4.4978879349999996</v>
      </c>
      <c r="O4">
        <v>-8212.2816000000003</v>
      </c>
      <c r="P4">
        <v>-8206.4403000000002</v>
      </c>
    </row>
    <row r="5" spans="1:16" x14ac:dyDescent="0.25">
      <c r="H5" s="1">
        <v>-8218.3024700000005</v>
      </c>
      <c r="I5">
        <f t="shared" si="0"/>
        <v>-4.1091512350000006</v>
      </c>
      <c r="K5">
        <v>-8995.7577299999994</v>
      </c>
      <c r="L5">
        <f t="shared" si="1"/>
        <v>-4.4978788649999997</v>
      </c>
      <c r="O5">
        <v>-8212.5903899999994</v>
      </c>
      <c r="P5">
        <v>-8206.7656200000001</v>
      </c>
    </row>
    <row r="6" spans="1:16" x14ac:dyDescent="0.25">
      <c r="H6" s="1">
        <v>-8218.3916399999998</v>
      </c>
      <c r="I6">
        <f t="shared" si="0"/>
        <v>-4.1091958200000001</v>
      </c>
      <c r="K6">
        <v>-8995.8961600000002</v>
      </c>
      <c r="L6">
        <f t="shared" si="1"/>
        <v>-4.4979480800000005</v>
      </c>
      <c r="O6">
        <v>-8212.4526700000006</v>
      </c>
      <c r="P6">
        <v>-8206.6255999999994</v>
      </c>
    </row>
    <row r="7" spans="1:16" x14ac:dyDescent="0.25">
      <c r="H7" s="1">
        <v>-8218.3439299999991</v>
      </c>
      <c r="I7">
        <f t="shared" si="0"/>
        <v>-4.1091719649999998</v>
      </c>
      <c r="K7">
        <v>-8995.7593500000003</v>
      </c>
      <c r="L7">
        <f t="shared" si="1"/>
        <v>-4.4978796750000001</v>
      </c>
      <c r="O7">
        <v>-8212.4829399999999</v>
      </c>
      <c r="P7">
        <v>-8206.6741399999992</v>
      </c>
    </row>
    <row r="8" spans="1:16" x14ac:dyDescent="0.25">
      <c r="H8" s="1">
        <v>-8218.3630799999992</v>
      </c>
      <c r="I8">
        <f t="shared" si="0"/>
        <v>-4.1091815399999998</v>
      </c>
      <c r="K8">
        <v>-8995.8936599999997</v>
      </c>
      <c r="L8">
        <f t="shared" si="1"/>
        <v>-4.4979468300000001</v>
      </c>
      <c r="O8">
        <v>-8212.5146800000002</v>
      </c>
      <c r="P8">
        <v>-8206.7002900000007</v>
      </c>
    </row>
    <row r="9" spans="1:16" x14ac:dyDescent="0.25">
      <c r="H9" s="1">
        <v>-8218.2374799999998</v>
      </c>
      <c r="I9">
        <f t="shared" si="0"/>
        <v>-4.1091187399999995</v>
      </c>
      <c r="K9">
        <v>-8995.8053199999995</v>
      </c>
      <c r="L9">
        <f t="shared" si="1"/>
        <v>-4.4979026599999994</v>
      </c>
      <c r="O9">
        <v>-8212.5403499999993</v>
      </c>
      <c r="P9">
        <v>-8206.7002100000009</v>
      </c>
    </row>
    <row r="10" spans="1:16" x14ac:dyDescent="0.25">
      <c r="H10" s="1">
        <v>-8218.2250600000007</v>
      </c>
      <c r="I10">
        <f t="shared" si="0"/>
        <v>-4.10911253</v>
      </c>
      <c r="K10">
        <v>-8995.8001899999999</v>
      </c>
      <c r="L10">
        <f t="shared" si="1"/>
        <v>-4.4979000950000003</v>
      </c>
      <c r="O10">
        <v>-8212.4710799999993</v>
      </c>
      <c r="P10">
        <v>-8206.6475399999999</v>
      </c>
    </row>
    <row r="11" spans="1:16" x14ac:dyDescent="0.25">
      <c r="H11" s="1">
        <v>-8218.1622399999997</v>
      </c>
      <c r="I11">
        <f t="shared" si="0"/>
        <v>-4.1090811199999999</v>
      </c>
      <c r="K11">
        <v>-8995.88724</v>
      </c>
      <c r="L11">
        <f t="shared" si="1"/>
        <v>-4.49794362</v>
      </c>
      <c r="O11">
        <v>-8212.6022900000007</v>
      </c>
      <c r="P11">
        <v>-8206.7733399999997</v>
      </c>
    </row>
    <row r="12" spans="1:16" x14ac:dyDescent="0.25">
      <c r="H12" s="1">
        <f>AVERAGE(H2:H11)</f>
        <v>-8218.2822579999993</v>
      </c>
      <c r="I12" s="2">
        <f>AVERAGE(I2:I11)</f>
        <v>-4.1091411289999993</v>
      </c>
      <c r="K12" s="1">
        <f>AVERAGE(K2:K11)</f>
        <v>-8995.8256429999983</v>
      </c>
      <c r="L12" s="2">
        <f>AVERAGE(L2:L11)</f>
        <v>-4.4979128214999999</v>
      </c>
      <c r="O12" s="1">
        <f>AVERAGE(O2:O11)</f>
        <v>-8212.4849470000008</v>
      </c>
      <c r="P12" s="1">
        <f>AVERAGE(P2:P11)</f>
        <v>-8206.6597070000007</v>
      </c>
    </row>
    <row r="13" spans="1:16" x14ac:dyDescent="0.25">
      <c r="H13">
        <f>STDEV(H2:H11)</f>
        <v>8.1031099900527287E-2</v>
      </c>
      <c r="I13">
        <f>STDEV(I2:I11)</f>
        <v>4.0515549950388188E-5</v>
      </c>
      <c r="K13">
        <f>STDEV(K2:K11)</f>
        <v>5.4169190105420553E-2</v>
      </c>
      <c r="L13">
        <f>STDEV(L2:L11)</f>
        <v>2.7084595052818492E-5</v>
      </c>
      <c r="O13">
        <f>STDEV(O2:O11)/SQRT(COUNT(O2:O11))</f>
        <v>2.8509115970914135E-2</v>
      </c>
      <c r="P13">
        <f>STDEV(P2:P11)/SQRT(COUNT(P2:P11))</f>
        <v>2.9496031637048122E-2</v>
      </c>
    </row>
    <row r="14" spans="1:16" x14ac:dyDescent="0.25">
      <c r="H14">
        <f>H13/SQRT(COUNT(H2:H11))</f>
        <v>2.5624283699430962E-2</v>
      </c>
      <c r="I14">
        <f>I13/SQRT(COUNT(I2:I11))</f>
        <v>1.2812141849754865E-5</v>
      </c>
      <c r="K14">
        <f>K13/SQRT(COUNT(K2:K11))</f>
        <v>1.7129801973978544E-2</v>
      </c>
      <c r="L14">
        <f>L13/SQRT(COUNT(L2:L11))</f>
        <v>8.5649009870234918E-6</v>
      </c>
      <c r="N14" t="s">
        <v>16</v>
      </c>
      <c r="O14">
        <f>O12-1999*I12</f>
        <v>1.6881698709985358</v>
      </c>
      <c r="P14">
        <f>P12-1998*I12</f>
        <v>3.4042687419987487</v>
      </c>
    </row>
    <row r="16" spans="1:16" x14ac:dyDescent="0.25">
      <c r="A16" t="s">
        <v>15</v>
      </c>
      <c r="B16" t="s">
        <v>40</v>
      </c>
      <c r="C16" t="s">
        <v>6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 t="s">
        <v>48</v>
      </c>
      <c r="J16" t="s">
        <v>49</v>
      </c>
    </row>
    <row r="17" spans="2:11" x14ac:dyDescent="0.25">
      <c r="B17" t="s">
        <v>19</v>
      </c>
      <c r="D17">
        <f>SQRT(1.25^2+0.5^2+3.5^2)-3</f>
        <v>0.75</v>
      </c>
      <c r="E17">
        <f>SQRT(1.75^2+0.25^2+3.75^2)-3</f>
        <v>1.1457809879442502</v>
      </c>
      <c r="F17">
        <f>SQRT(2.25^2+0.25^2+4.25^2)-3</f>
        <v>1.815340071064556</v>
      </c>
      <c r="G17">
        <f>SQRT(2.75^2+0.25^2+4.75^2)-3</f>
        <v>2.4943152439589777</v>
      </c>
      <c r="H17">
        <f>SQRT(3.25^2+0.25^2+5.25^2)-3</f>
        <v>3.1796035471541373</v>
      </c>
      <c r="I17">
        <f>SQRT(3.75^2+0.25^2+5.75^2)-3</f>
        <v>3.8693158320170431</v>
      </c>
      <c r="K17" s="1"/>
    </row>
    <row r="18" spans="2:11" x14ac:dyDescent="0.25">
      <c r="B18">
        <v>1</v>
      </c>
      <c r="C18" s="1">
        <v>-65823.60871</v>
      </c>
      <c r="D18" s="1">
        <v>-65812.161989999993</v>
      </c>
      <c r="E18" s="1">
        <v>-65811.808009999993</v>
      </c>
      <c r="F18" s="1">
        <v>-65811.799010000002</v>
      </c>
      <c r="G18" s="1">
        <v>-65812.07316</v>
      </c>
      <c r="H18">
        <v>-65811.91863</v>
      </c>
      <c r="I18">
        <v>-65811.782590000003</v>
      </c>
      <c r="J18" s="1">
        <v>-65811.787320000003</v>
      </c>
    </row>
    <row r="19" spans="2:11" x14ac:dyDescent="0.25">
      <c r="B19">
        <v>2</v>
      </c>
      <c r="C19" s="1">
        <v>-65822.998000000007</v>
      </c>
      <c r="D19" s="1">
        <v>-65812.205709999995</v>
      </c>
      <c r="E19" s="1">
        <v>-65811.876239999998</v>
      </c>
      <c r="F19" s="1">
        <v>-65811.878920000003</v>
      </c>
      <c r="G19" s="1">
        <v>-65811.936759999997</v>
      </c>
      <c r="H19">
        <v>-65811.82647</v>
      </c>
      <c r="I19">
        <v>-65811.761379999996</v>
      </c>
      <c r="J19" s="1">
        <v>-65811.797860000006</v>
      </c>
    </row>
    <row r="20" spans="2:11" x14ac:dyDescent="0.25">
      <c r="B20">
        <v>3</v>
      </c>
      <c r="C20" s="1">
        <v>-65822.832219999997</v>
      </c>
      <c r="D20" s="1">
        <v>-65812.248479999995</v>
      </c>
      <c r="E20" s="1">
        <v>-65812.061870000005</v>
      </c>
      <c r="F20" s="1">
        <v>-65812.028770000004</v>
      </c>
      <c r="G20" s="1">
        <v>-65811.978650000005</v>
      </c>
      <c r="H20">
        <v>-65811.982999999993</v>
      </c>
      <c r="I20">
        <v>-65811.902040000001</v>
      </c>
      <c r="J20" s="1">
        <v>-65811.986919999996</v>
      </c>
    </row>
    <row r="21" spans="2:11" x14ac:dyDescent="0.25">
      <c r="B21">
        <v>4</v>
      </c>
      <c r="C21" s="1">
        <v>-65822.931270000001</v>
      </c>
      <c r="D21" s="1">
        <v>-65811.623130000007</v>
      </c>
      <c r="E21" s="1">
        <v>-65811.542300000001</v>
      </c>
      <c r="F21" s="1">
        <v>-65811.479059999998</v>
      </c>
      <c r="G21" s="1">
        <v>-65811.315409999996</v>
      </c>
      <c r="H21">
        <v>-65811.477650000001</v>
      </c>
      <c r="I21">
        <v>-65811.482569999993</v>
      </c>
      <c r="J21" s="1">
        <v>-65811.438479999997</v>
      </c>
    </row>
    <row r="22" spans="2:11" x14ac:dyDescent="0.25">
      <c r="B22">
        <v>5</v>
      </c>
      <c r="C22" s="1">
        <v>-65823.098509999996</v>
      </c>
      <c r="D22" s="1">
        <v>-65812.166280000005</v>
      </c>
      <c r="E22" s="1">
        <v>-65811.921849999999</v>
      </c>
      <c r="F22" s="1">
        <v>-65811.916989999998</v>
      </c>
      <c r="G22" s="1">
        <v>-65811.838210000002</v>
      </c>
      <c r="H22">
        <v>-65811.712060000005</v>
      </c>
      <c r="I22">
        <v>-65811.769750000007</v>
      </c>
      <c r="J22" s="1">
        <v>-65811.726580000002</v>
      </c>
    </row>
    <row r="23" spans="2:11" x14ac:dyDescent="0.25">
      <c r="B23">
        <v>6</v>
      </c>
      <c r="C23" s="1">
        <v>-65823.637359999993</v>
      </c>
      <c r="D23" s="1">
        <v>-65811.854869999996</v>
      </c>
      <c r="E23" s="1">
        <v>-65811.695609999995</v>
      </c>
      <c r="F23" s="1">
        <v>-65811.692190000002</v>
      </c>
      <c r="G23" s="1">
        <v>-65811.593150000001</v>
      </c>
      <c r="H23">
        <v>-65811.484349999999</v>
      </c>
      <c r="I23">
        <v>-65811.484049999999</v>
      </c>
      <c r="J23" s="1">
        <v>-65811.640339999998</v>
      </c>
    </row>
    <row r="24" spans="2:11" x14ac:dyDescent="0.25">
      <c r="B24">
        <v>7</v>
      </c>
      <c r="C24" s="1">
        <v>-65823.503710000005</v>
      </c>
      <c r="D24" s="1">
        <v>-65812.235260000001</v>
      </c>
      <c r="E24" s="1">
        <v>-65811.94472</v>
      </c>
      <c r="F24" s="1">
        <v>-65811.980930000005</v>
      </c>
      <c r="G24" s="1">
        <v>-65811.959589999999</v>
      </c>
      <c r="H24">
        <v>-65811.760550000006</v>
      </c>
      <c r="I24">
        <v>-65811.700169999996</v>
      </c>
      <c r="J24" s="1">
        <v>-65811.824259999994</v>
      </c>
    </row>
    <row r="25" spans="2:11" x14ac:dyDescent="0.25">
      <c r="B25">
        <v>8</v>
      </c>
      <c r="C25" s="1">
        <v>-65822.856920000006</v>
      </c>
      <c r="D25" s="1">
        <v>-65812.085439999995</v>
      </c>
      <c r="E25" s="1">
        <v>-65811.870120000007</v>
      </c>
      <c r="F25" s="1">
        <v>-65811.875270000004</v>
      </c>
      <c r="G25" s="1">
        <v>-65811.852060000005</v>
      </c>
      <c r="H25">
        <v>-65811.77493</v>
      </c>
      <c r="I25">
        <v>-65811.768970000005</v>
      </c>
      <c r="J25" s="1">
        <v>-65811.558720000001</v>
      </c>
    </row>
    <row r="26" spans="2:11" x14ac:dyDescent="0.25">
      <c r="B26">
        <v>9</v>
      </c>
      <c r="C26" s="1">
        <v>-65823.589959999998</v>
      </c>
      <c r="D26" s="1">
        <v>-65812.113889999993</v>
      </c>
      <c r="E26" s="1">
        <v>-65811.680519999994</v>
      </c>
      <c r="F26" s="1">
        <v>-65811.637069999997</v>
      </c>
      <c r="G26" s="1">
        <v>-65811.655960000004</v>
      </c>
      <c r="H26">
        <v>-65811.80128</v>
      </c>
      <c r="I26">
        <v>-65811.938320000001</v>
      </c>
      <c r="J26" s="1">
        <v>-65811.836190000002</v>
      </c>
    </row>
    <row r="27" spans="2:11" x14ac:dyDescent="0.25">
      <c r="B27">
        <v>10</v>
      </c>
      <c r="C27" s="1">
        <v>-65823.205000000002</v>
      </c>
      <c r="D27" s="1">
        <v>-65812.057159999997</v>
      </c>
      <c r="E27" s="1">
        <v>-65811.766229999994</v>
      </c>
      <c r="F27" s="1">
        <v>-65811.728180000006</v>
      </c>
      <c r="G27" s="1">
        <v>-65811.745649999997</v>
      </c>
      <c r="H27">
        <v>-65811.523300000001</v>
      </c>
      <c r="I27">
        <v>-65811.742769999997</v>
      </c>
      <c r="J27" s="1">
        <v>-65811.681410000005</v>
      </c>
    </row>
    <row r="28" spans="2:11" x14ac:dyDescent="0.25">
      <c r="B28" t="s">
        <v>34</v>
      </c>
      <c r="C28" s="1">
        <f>AVERAGE(C18:C27)</f>
        <v>-65823.226165999993</v>
      </c>
      <c r="D28" s="1">
        <f>AVERAGE(D18:D27)</f>
        <v>-65812.075221000006</v>
      </c>
      <c r="E28" s="1">
        <f t="shared" ref="E28:J28" si="2">AVERAGE(E18:E27)</f>
        <v>-65811.816747000004</v>
      </c>
      <c r="F28" s="1">
        <f t="shared" si="2"/>
        <v>-65811.801639000012</v>
      </c>
      <c r="G28" s="1">
        <f t="shared" si="2"/>
        <v>-65811.794859999995</v>
      </c>
      <c r="H28" s="1">
        <f t="shared" si="2"/>
        <v>-65811.726221999998</v>
      </c>
      <c r="I28" s="1">
        <f t="shared" si="2"/>
        <v>-65811.733260999987</v>
      </c>
      <c r="J28" s="1">
        <f t="shared" si="2"/>
        <v>-65811.727807999981</v>
      </c>
    </row>
    <row r="29" spans="2:11" x14ac:dyDescent="0.25">
      <c r="B29" t="s">
        <v>36</v>
      </c>
      <c r="C29">
        <f>STDEV(C18:C27)</f>
        <v>0.32865054923822579</v>
      </c>
      <c r="D29">
        <f t="shared" ref="D29:I29" si="3">STDEV(D18:D27)</f>
        <v>0.19531908289368194</v>
      </c>
      <c r="E29">
        <f t="shared" si="3"/>
        <v>0.15095199207968432</v>
      </c>
      <c r="F29">
        <f t="shared" si="3"/>
        <v>0.16896938285961274</v>
      </c>
      <c r="G29">
        <f t="shared" si="3"/>
        <v>0.22507439762694365</v>
      </c>
      <c r="H29">
        <f t="shared" si="3"/>
        <v>0.17759442851511839</v>
      </c>
      <c r="I29">
        <f t="shared" si="3"/>
        <v>0.15000136588112042</v>
      </c>
      <c r="J29">
        <f t="shared" ref="J29" si="4">STDEV(J18:J27)</f>
        <v>0.15590025741533506</v>
      </c>
    </row>
    <row r="30" spans="2:11" x14ac:dyDescent="0.25">
      <c r="B30" t="s">
        <v>37</v>
      </c>
      <c r="C30">
        <f>C29/SQRT(COUNT(C18:C27))</f>
        <v>0.10392842898581094</v>
      </c>
      <c r="D30">
        <f>D29/SQRT(COUNT(D18:D27))</f>
        <v>6.1765317243926622E-2</v>
      </c>
      <c r="E30">
        <f t="shared" ref="E30:I30" si="5">E29/SQRT(COUNT(E18:E27))</f>
        <v>4.7735211231149981E-2</v>
      </c>
      <c r="F30">
        <f t="shared" si="5"/>
        <v>5.3432810466939124E-2</v>
      </c>
      <c r="G30">
        <f t="shared" si="5"/>
        <v>7.1174773949153877E-2</v>
      </c>
      <c r="H30">
        <f t="shared" si="5"/>
        <v>5.6160289386372908E-2</v>
      </c>
      <c r="I30">
        <f t="shared" si="5"/>
        <v>4.7434596832061041E-2</v>
      </c>
      <c r="J30">
        <f t="shared" ref="J30" si="6">J29/SQRT(COUNT(J18:J27))</f>
        <v>4.9299990123901377E-2</v>
      </c>
    </row>
    <row r="31" spans="2:11" x14ac:dyDescent="0.25">
      <c r="B31" t="s">
        <v>16</v>
      </c>
      <c r="C31">
        <f>C28-15765*I$12-(99+136)*L$12</f>
        <v>14.393245737497182</v>
      </c>
      <c r="D31">
        <f>D28-15763*$I$12-(99+136)*$L$12</f>
        <v>17.325908479484042</v>
      </c>
      <c r="E31">
        <f t="shared" ref="E31:I31" si="7">E28-15763*$I$12-(99+136)*$L$12</f>
        <v>17.584382479486067</v>
      </c>
      <c r="F31">
        <f t="shared" si="7"/>
        <v>17.599490479478391</v>
      </c>
      <c r="G31">
        <f t="shared" si="7"/>
        <v>17.60626947949595</v>
      </c>
      <c r="H31">
        <f t="shared" si="7"/>
        <v>17.674907479492958</v>
      </c>
      <c r="I31">
        <f t="shared" si="7"/>
        <v>17.667868479503795</v>
      </c>
      <c r="J31">
        <f t="shared" ref="J31" si="8">J28-15763*$I$12-(99+136)*$L$12</f>
        <v>17.673321479509013</v>
      </c>
    </row>
    <row r="32" spans="2:11" x14ac:dyDescent="0.25">
      <c r="B32" t="s">
        <v>35</v>
      </c>
      <c r="D32">
        <f t="shared" ref="D32:I32" si="9">D31-$C$31</f>
        <v>2.9326627419868601</v>
      </c>
      <c r="E32">
        <f t="shared" si="9"/>
        <v>3.1911367419888848</v>
      </c>
      <c r="F32">
        <f t="shared" si="9"/>
        <v>3.2062447419812088</v>
      </c>
      <c r="G32">
        <f t="shared" si="9"/>
        <v>3.2130237419987679</v>
      </c>
      <c r="H32">
        <f t="shared" si="9"/>
        <v>3.2816617419957765</v>
      </c>
      <c r="I32">
        <f t="shared" si="9"/>
        <v>3.2746227420066134</v>
      </c>
      <c r="J32">
        <f t="shared" ref="J32" si="10">J31-$C$31</f>
        <v>3.2800757420118316</v>
      </c>
    </row>
    <row r="34" spans="1:10" x14ac:dyDescent="0.25">
      <c r="A34" t="s">
        <v>15</v>
      </c>
      <c r="B34" t="s">
        <v>39</v>
      </c>
      <c r="C34" t="s">
        <v>6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 t="s">
        <v>48</v>
      </c>
      <c r="J34" t="s">
        <v>49</v>
      </c>
    </row>
    <row r="35" spans="1:10" x14ac:dyDescent="0.25">
      <c r="B35" t="s">
        <v>19</v>
      </c>
      <c r="D35">
        <f>SQRT(1.25^2+0.5^2+3.5^2)-3</f>
        <v>0.75</v>
      </c>
      <c r="E35">
        <f>SQRT(1.75^2+0.25^2+3.75^2)-3</f>
        <v>1.1457809879442502</v>
      </c>
      <c r="F35">
        <f>SQRT(2.25^2+0.25^2+4.25^2)-3</f>
        <v>1.815340071064556</v>
      </c>
      <c r="G35">
        <f>SQRT(2.75^2+0.25^2+4.75^2)-3</f>
        <v>2.4943152439589777</v>
      </c>
      <c r="H35">
        <f>SQRT(3.25^2+0.25^2+5.25^2)-3</f>
        <v>3.1796035471541373</v>
      </c>
      <c r="I35">
        <f>SQRT(3.75^2+0.25^2+5.75^2)-3</f>
        <v>3.8693158320170431</v>
      </c>
    </row>
    <row r="36" spans="1:10" x14ac:dyDescent="0.25">
      <c r="B36">
        <v>1</v>
      </c>
      <c r="C36" s="1">
        <v>-65836.494340000005</v>
      </c>
      <c r="D36" s="1">
        <v>-65825.153030000001</v>
      </c>
      <c r="E36">
        <v>-65824.626489999995</v>
      </c>
      <c r="F36">
        <v>-65824.653749999998</v>
      </c>
      <c r="G36">
        <v>-65824.590410000004</v>
      </c>
      <c r="H36">
        <v>-65824.602759999994</v>
      </c>
      <c r="I36">
        <v>-65824.630579999997</v>
      </c>
      <c r="J36">
        <v>-65824.523090000002</v>
      </c>
    </row>
    <row r="37" spans="1:10" x14ac:dyDescent="0.25">
      <c r="B37">
        <v>2</v>
      </c>
      <c r="C37" s="1">
        <v>-65835.99252</v>
      </c>
      <c r="D37" s="1">
        <v>-65825.004079999999</v>
      </c>
      <c r="E37">
        <v>-65824.880369999999</v>
      </c>
      <c r="F37">
        <v>-65824.928509999998</v>
      </c>
      <c r="G37">
        <v>-65824.901419999995</v>
      </c>
      <c r="H37">
        <v>-65824.64056</v>
      </c>
      <c r="I37">
        <v>-65824.632689999999</v>
      </c>
      <c r="J37">
        <v>-65824.564809999996</v>
      </c>
    </row>
    <row r="38" spans="1:10" x14ac:dyDescent="0.25">
      <c r="B38">
        <v>3</v>
      </c>
      <c r="C38" s="1">
        <v>-65835.820789999998</v>
      </c>
      <c r="D38" s="1">
        <v>-65825.352780000001</v>
      </c>
      <c r="E38">
        <v>-65824.41562</v>
      </c>
      <c r="F38">
        <v>-65824.474830000006</v>
      </c>
      <c r="G38">
        <v>-65824.406040000002</v>
      </c>
      <c r="H38">
        <v>-65824.399160000001</v>
      </c>
      <c r="I38">
        <v>-65824.541859999998</v>
      </c>
      <c r="J38">
        <v>-65824.266919999995</v>
      </c>
    </row>
    <row r="39" spans="1:10" x14ac:dyDescent="0.25">
      <c r="B39">
        <v>4</v>
      </c>
      <c r="C39" s="1">
        <v>-65835.786309999996</v>
      </c>
      <c r="D39" s="1">
        <v>-65825.167799999996</v>
      </c>
      <c r="E39">
        <v>-65824.691659999997</v>
      </c>
      <c r="F39">
        <v>-65824.667019999993</v>
      </c>
      <c r="G39">
        <v>-65824.754270000005</v>
      </c>
      <c r="H39">
        <v>-65824.86004</v>
      </c>
      <c r="I39">
        <v>-65824.750140000004</v>
      </c>
      <c r="J39">
        <v>-65824.633300000001</v>
      </c>
    </row>
    <row r="40" spans="1:10" x14ac:dyDescent="0.25">
      <c r="B40">
        <v>5</v>
      </c>
      <c r="C40" s="1">
        <v>-65835.940749999994</v>
      </c>
      <c r="D40" s="1">
        <v>-65825.368969999996</v>
      </c>
      <c r="E40">
        <v>-65824.698310000007</v>
      </c>
      <c r="F40">
        <v>-65824.734349999999</v>
      </c>
      <c r="G40">
        <v>-65824.746169999999</v>
      </c>
      <c r="H40">
        <v>-65824.675029999999</v>
      </c>
      <c r="I40">
        <v>-65824.643469999995</v>
      </c>
      <c r="J40">
        <v>-65824.467439999993</v>
      </c>
    </row>
    <row r="41" spans="1:10" x14ac:dyDescent="0.25">
      <c r="B41">
        <v>6</v>
      </c>
      <c r="C41" s="1">
        <v>-65836.516159999999</v>
      </c>
      <c r="D41" s="1">
        <v>-65825.157479999994</v>
      </c>
      <c r="E41">
        <v>-65824.923389999996</v>
      </c>
      <c r="F41">
        <v>-65824.919899999994</v>
      </c>
      <c r="G41">
        <v>-65824.957550000006</v>
      </c>
      <c r="H41">
        <v>-65824.62255</v>
      </c>
      <c r="I41">
        <v>-65824.675640000001</v>
      </c>
      <c r="J41">
        <v>-65824.819789999994</v>
      </c>
    </row>
    <row r="42" spans="1:10" x14ac:dyDescent="0.25">
      <c r="B42">
        <v>7</v>
      </c>
      <c r="C42" s="1">
        <v>-65836.31697</v>
      </c>
      <c r="D42" s="1">
        <v>-65824.994519999993</v>
      </c>
      <c r="E42">
        <v>-65824.706900000005</v>
      </c>
      <c r="F42">
        <v>-65824.712450000006</v>
      </c>
      <c r="G42">
        <v>-65824.677639999994</v>
      </c>
      <c r="H42">
        <v>-65824.557029999996</v>
      </c>
      <c r="I42">
        <v>-65824.735279999994</v>
      </c>
      <c r="J42">
        <v>-65824.61</v>
      </c>
    </row>
    <row r="43" spans="1:10" x14ac:dyDescent="0.25">
      <c r="B43">
        <v>8</v>
      </c>
      <c r="C43" s="1">
        <v>-65835.761979999996</v>
      </c>
      <c r="D43" s="1">
        <v>-65825.165659999999</v>
      </c>
      <c r="E43">
        <v>-65824.46789</v>
      </c>
      <c r="F43">
        <v>-65824.501610000007</v>
      </c>
      <c r="G43">
        <v>-65824.309169999993</v>
      </c>
      <c r="H43">
        <v>-65824.504209999999</v>
      </c>
      <c r="I43">
        <v>-65824.489180000004</v>
      </c>
      <c r="J43">
        <v>-65824.539910000007</v>
      </c>
    </row>
    <row r="44" spans="1:10" x14ac:dyDescent="0.25">
      <c r="B44">
        <v>9</v>
      </c>
      <c r="C44" s="1">
        <v>-65836.387879999995</v>
      </c>
      <c r="D44" s="1">
        <v>-65825.363129999998</v>
      </c>
      <c r="E44">
        <v>-65824.751220000006</v>
      </c>
      <c r="F44">
        <v>-65824.758019999994</v>
      </c>
      <c r="G44">
        <v>-65824.733420000004</v>
      </c>
      <c r="H44">
        <v>-65824.661250000005</v>
      </c>
      <c r="I44">
        <v>-65824.757500000007</v>
      </c>
      <c r="J44">
        <v>-65824.724249999999</v>
      </c>
    </row>
    <row r="45" spans="1:10" x14ac:dyDescent="0.25">
      <c r="B45">
        <v>10</v>
      </c>
      <c r="C45" s="1">
        <v>-65836.078569999998</v>
      </c>
      <c r="D45" s="1">
        <v>-65825.393880000003</v>
      </c>
      <c r="E45">
        <v>-65824.749240000005</v>
      </c>
      <c r="F45">
        <v>-65824.742849999995</v>
      </c>
      <c r="G45">
        <v>-65824.722850000006</v>
      </c>
      <c r="H45">
        <v>-65824.739000000001</v>
      </c>
      <c r="I45">
        <v>-65824.66949</v>
      </c>
      <c r="J45">
        <v>-65824.625830000004</v>
      </c>
    </row>
    <row r="46" spans="1:10" x14ac:dyDescent="0.25">
      <c r="B46" t="s">
        <v>34</v>
      </c>
      <c r="C46" s="1">
        <f>AVERAGE(C36:C45)</f>
        <v>-65836.109626999998</v>
      </c>
      <c r="D46" s="1">
        <f>AVERAGE(D36:D45)</f>
        <v>-65825.212132999994</v>
      </c>
      <c r="E46" s="1">
        <f t="shared" ref="E46:I46" si="11">AVERAGE(E36:E45)</f>
        <v>-65824.691109000007</v>
      </c>
      <c r="F46" s="1">
        <f t="shared" si="11"/>
        <v>-65824.709329000005</v>
      </c>
      <c r="G46" s="1">
        <f t="shared" si="11"/>
        <v>-65824.679894000015</v>
      </c>
      <c r="H46" s="1">
        <f t="shared" si="11"/>
        <v>-65824.626159000007</v>
      </c>
      <c r="I46" s="1">
        <f t="shared" si="11"/>
        <v>-65824.652583000017</v>
      </c>
      <c r="J46" s="1">
        <f t="shared" ref="J46" si="12">AVERAGE(J36:J45)</f>
        <v>-65824.577533999996</v>
      </c>
    </row>
    <row r="47" spans="1:10" x14ac:dyDescent="0.25">
      <c r="B47" t="s">
        <v>36</v>
      </c>
      <c r="C47">
        <f>STDEV(C36:C45)</f>
        <v>0.29546689673934706</v>
      </c>
      <c r="D47">
        <f t="shared" ref="D47:I47" si="13">STDEV(D36:D45)</f>
        <v>0.14961366077486876</v>
      </c>
      <c r="E47">
        <f t="shared" si="13"/>
        <v>0.1588027338451149</v>
      </c>
      <c r="F47">
        <f t="shared" si="13"/>
        <v>0.14889472771817369</v>
      </c>
      <c r="G47">
        <f>STDEV(G36:G45)</f>
        <v>0.2003457942453159</v>
      </c>
      <c r="H47">
        <f t="shared" si="13"/>
        <v>0.12605114327609332</v>
      </c>
      <c r="I47">
        <f t="shared" si="13"/>
        <v>8.6989299604188719E-2</v>
      </c>
      <c r="J47">
        <f t="shared" ref="J47" si="14">STDEV(J36:J45)</f>
        <v>0.14901651893583165</v>
      </c>
    </row>
    <row r="48" spans="1:10" x14ac:dyDescent="0.25">
      <c r="B48" t="s">
        <v>37</v>
      </c>
      <c r="C48">
        <f>C47/SQRT(COUNT(C36:C45))</f>
        <v>9.3434836687811454E-2</v>
      </c>
      <c r="D48">
        <f>D47/SQRT(COUNT(D36:D45))</f>
        <v>4.7311993712437758E-2</v>
      </c>
      <c r="E48">
        <f t="shared" ref="E48:I48" si="15">E47/SQRT(COUNT(E36:E45))</f>
        <v>5.0217833761207177E-2</v>
      </c>
      <c r="F48">
        <f t="shared" si="15"/>
        <v>4.708464711800342E-2</v>
      </c>
      <c r="G48">
        <f t="shared" si="15"/>
        <v>6.3354902945065308E-2</v>
      </c>
      <c r="H48">
        <f t="shared" si="15"/>
        <v>3.9860871442067347E-2</v>
      </c>
      <c r="I48">
        <f t="shared" si="15"/>
        <v>2.7508431881202E-2</v>
      </c>
      <c r="J48">
        <f t="shared" ref="J48" si="16">J47/SQRT(COUNT(J36:J45))</f>
        <v>4.7123160882683868E-2</v>
      </c>
    </row>
    <row r="49" spans="2:10" x14ac:dyDescent="0.25">
      <c r="B49" t="s">
        <v>16</v>
      </c>
      <c r="C49">
        <f>C46-15765*I$12-(99+136)*L$12</f>
        <v>1.5097847374922821</v>
      </c>
      <c r="D49">
        <f>D46-15763*$I$12-(99+136)*$L$12</f>
        <v>4.1889964794968364</v>
      </c>
      <c r="E49">
        <f t="shared" ref="E49:I49" si="17">E46-15763*$I$12-(99+136)*$L$12</f>
        <v>4.7100204794837737</v>
      </c>
      <c r="F49">
        <f>F46-15763*$I$12-(99+136)*$L$12</f>
        <v>4.6918004794856643</v>
      </c>
      <c r="G49">
        <f>G46-15763*$I$12-(99+136)*$L$12</f>
        <v>4.7212354794751263</v>
      </c>
      <c r="H49">
        <f t="shared" si="17"/>
        <v>4.7749704794837271</v>
      </c>
      <c r="I49">
        <f t="shared" si="17"/>
        <v>4.7485464794731342</v>
      </c>
      <c r="J49">
        <f t="shared" ref="J49" si="18">J46-15763*$I$12-(99+136)*$L$12</f>
        <v>4.8235954794940881</v>
      </c>
    </row>
    <row r="50" spans="2:10" x14ac:dyDescent="0.25">
      <c r="B50" t="s">
        <v>35</v>
      </c>
      <c r="D50">
        <f>D49-$C$49</f>
        <v>2.6792117420045543</v>
      </c>
      <c r="E50">
        <f t="shared" ref="E50:I50" si="19">E49-$C$49</f>
        <v>3.2002357419914915</v>
      </c>
      <c r="F50">
        <f t="shared" si="19"/>
        <v>3.1820157419933821</v>
      </c>
      <c r="G50">
        <f t="shared" si="19"/>
        <v>3.2114507419828442</v>
      </c>
      <c r="H50">
        <f t="shared" si="19"/>
        <v>3.265185741991445</v>
      </c>
      <c r="I50">
        <f t="shared" si="19"/>
        <v>3.2387617419808521</v>
      </c>
      <c r="J50">
        <f>J49-$C$49</f>
        <v>3.3138107420018059</v>
      </c>
    </row>
  </sheetData>
  <sortState ref="J18:J27">
    <sortCondition ref="J18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13" zoomScale="70" zoomScaleNormal="70" workbookViewId="0">
      <selection activeCell="H71" sqref="H71"/>
    </sheetView>
  </sheetViews>
  <sheetFormatPr defaultColWidth="11.140625" defaultRowHeight="15" x14ac:dyDescent="0.25"/>
  <sheetData>
    <row r="1" spans="1:15" x14ac:dyDescent="0.25">
      <c r="H1" t="s">
        <v>13</v>
      </c>
      <c r="K1" t="s">
        <v>14</v>
      </c>
      <c r="N1" t="s">
        <v>41</v>
      </c>
    </row>
    <row r="2" spans="1:15" x14ac:dyDescent="0.25">
      <c r="A2" t="s">
        <v>0</v>
      </c>
      <c r="D2" t="s">
        <v>2</v>
      </c>
      <c r="E2" t="s">
        <v>3</v>
      </c>
      <c r="G2" t="s">
        <v>15</v>
      </c>
      <c r="H2">
        <v>-8218.2069300000003</v>
      </c>
      <c r="I2">
        <f>H2/2000</f>
        <v>-4.1091034650000005</v>
      </c>
      <c r="K2">
        <v>-8995.8364799999999</v>
      </c>
      <c r="L2">
        <f>K2/2000</f>
        <v>-4.4979182399999997</v>
      </c>
      <c r="N2" t="s">
        <v>42</v>
      </c>
      <c r="O2">
        <v>-8212.4487300000001</v>
      </c>
    </row>
    <row r="3" spans="1:15" x14ac:dyDescent="0.25">
      <c r="D3" t="s">
        <v>4</v>
      </c>
      <c r="E3" t="s">
        <v>5</v>
      </c>
      <c r="H3" s="1">
        <v>-8218.2216900000003</v>
      </c>
      <c r="I3">
        <f t="shared" ref="I3:I11" si="0">H3/2000</f>
        <v>-4.109110845</v>
      </c>
      <c r="K3">
        <v>-8995.8444299999992</v>
      </c>
      <c r="L3">
        <f t="shared" ref="L3:L11" si="1">K3/2000</f>
        <v>-4.497922215</v>
      </c>
      <c r="O3">
        <v>-8212.4647399999994</v>
      </c>
    </row>
    <row r="4" spans="1:15" x14ac:dyDescent="0.25">
      <c r="H4" s="1">
        <v>-8218.3680600000007</v>
      </c>
      <c r="I4">
        <f t="shared" si="0"/>
        <v>-4.1091840300000007</v>
      </c>
      <c r="K4">
        <v>-8995.7758699999995</v>
      </c>
      <c r="L4">
        <f t="shared" si="1"/>
        <v>-4.4978879349999996</v>
      </c>
      <c r="O4">
        <v>-8212.2816000000003</v>
      </c>
    </row>
    <row r="5" spans="1:15" x14ac:dyDescent="0.25">
      <c r="H5" s="1">
        <v>-8218.3024700000005</v>
      </c>
      <c r="I5">
        <f t="shared" si="0"/>
        <v>-4.1091512350000006</v>
      </c>
      <c r="K5">
        <v>-8995.7577299999994</v>
      </c>
      <c r="L5">
        <f t="shared" si="1"/>
        <v>-4.4978788649999997</v>
      </c>
      <c r="O5">
        <v>-8212.5903899999994</v>
      </c>
    </row>
    <row r="6" spans="1:15" x14ac:dyDescent="0.25">
      <c r="H6" s="1">
        <v>-8218.3916399999998</v>
      </c>
      <c r="I6">
        <f t="shared" si="0"/>
        <v>-4.1091958200000001</v>
      </c>
      <c r="K6">
        <v>-8995.8961600000002</v>
      </c>
      <c r="L6">
        <f t="shared" si="1"/>
        <v>-4.4979480800000005</v>
      </c>
      <c r="O6">
        <v>-8212.4526700000006</v>
      </c>
    </row>
    <row r="7" spans="1:15" x14ac:dyDescent="0.25">
      <c r="H7" s="1">
        <v>-8218.3439299999991</v>
      </c>
      <c r="I7">
        <f t="shared" si="0"/>
        <v>-4.1091719649999998</v>
      </c>
      <c r="K7">
        <v>-8995.7593500000003</v>
      </c>
      <c r="L7">
        <f t="shared" si="1"/>
        <v>-4.4978796750000001</v>
      </c>
      <c r="O7">
        <v>-8212.4829399999999</v>
      </c>
    </row>
    <row r="8" spans="1:15" x14ac:dyDescent="0.25">
      <c r="H8" s="1">
        <v>-8218.3630799999992</v>
      </c>
      <c r="I8">
        <f t="shared" si="0"/>
        <v>-4.1091815399999998</v>
      </c>
      <c r="K8">
        <v>-8995.8936599999997</v>
      </c>
      <c r="L8">
        <f t="shared" si="1"/>
        <v>-4.4979468300000001</v>
      </c>
      <c r="O8">
        <v>-8212.5146800000002</v>
      </c>
    </row>
    <row r="9" spans="1:15" x14ac:dyDescent="0.25">
      <c r="H9" s="1">
        <v>-8218.2374799999998</v>
      </c>
      <c r="I9">
        <f t="shared" si="0"/>
        <v>-4.1091187399999995</v>
      </c>
      <c r="K9">
        <v>-8995.8053199999995</v>
      </c>
      <c r="L9">
        <f t="shared" si="1"/>
        <v>-4.4979026599999994</v>
      </c>
      <c r="O9">
        <v>-8212.5403499999993</v>
      </c>
    </row>
    <row r="10" spans="1:15" x14ac:dyDescent="0.25">
      <c r="H10" s="1">
        <v>-8218.2250600000007</v>
      </c>
      <c r="I10">
        <f t="shared" si="0"/>
        <v>-4.10911253</v>
      </c>
      <c r="K10">
        <v>-8995.8001899999999</v>
      </c>
      <c r="L10">
        <f t="shared" si="1"/>
        <v>-4.4979000950000003</v>
      </c>
      <c r="O10">
        <v>-8212.4710799999993</v>
      </c>
    </row>
    <row r="11" spans="1:15" x14ac:dyDescent="0.25">
      <c r="H11" s="1">
        <v>-8218.1622399999997</v>
      </c>
      <c r="I11">
        <f t="shared" si="0"/>
        <v>-4.1090811199999999</v>
      </c>
      <c r="K11">
        <v>-8995.88724</v>
      </c>
      <c r="L11">
        <f t="shared" si="1"/>
        <v>-4.49794362</v>
      </c>
      <c r="O11">
        <v>-8212.6022900000007</v>
      </c>
    </row>
    <row r="12" spans="1:15" x14ac:dyDescent="0.25">
      <c r="H12" s="1">
        <f>AVERAGE(H2:H11)</f>
        <v>-8218.2822579999993</v>
      </c>
      <c r="I12" s="2">
        <f>AVERAGE(I2:I11)</f>
        <v>-4.1091411289999993</v>
      </c>
      <c r="K12" s="1">
        <f>AVERAGE(K2:K11)</f>
        <v>-8995.8256429999983</v>
      </c>
      <c r="L12" s="2">
        <f>AVERAGE(L2:L11)</f>
        <v>-4.4979128214999999</v>
      </c>
      <c r="O12" s="1">
        <f>AVERAGE(O2:O11)</f>
        <v>-8212.4849470000008</v>
      </c>
    </row>
    <row r="13" spans="1:15" x14ac:dyDescent="0.25">
      <c r="H13">
        <f>STDEV(H2:H11)</f>
        <v>8.1031099900527287E-2</v>
      </c>
      <c r="I13">
        <f>STDEV(I2:I11)</f>
        <v>4.0515549950388188E-5</v>
      </c>
      <c r="K13">
        <f>STDEV(K2:K11)</f>
        <v>5.4169190105420553E-2</v>
      </c>
      <c r="L13">
        <f>STDEV(L2:L11)</f>
        <v>2.7084595052818492E-5</v>
      </c>
      <c r="O13">
        <f>STDEV(O2:O11)/SQRT(COUNT(O2:O11))</f>
        <v>2.8509115970914135E-2</v>
      </c>
    </row>
    <row r="14" spans="1:15" x14ac:dyDescent="0.25">
      <c r="H14">
        <f>H13/SQRT(COUNT(H2:H11))</f>
        <v>2.5624283699430962E-2</v>
      </c>
      <c r="I14">
        <f>I13/SQRT(COUNT(I2:I11))</f>
        <v>1.2812141849754865E-5</v>
      </c>
      <c r="K14">
        <f>K13/SQRT(COUNT(K2:K11))</f>
        <v>1.7129801973978544E-2</v>
      </c>
      <c r="L14">
        <f>L13/SQRT(COUNT(L2:L11))</f>
        <v>8.5649009870234918E-6</v>
      </c>
      <c r="N14" t="s">
        <v>16</v>
      </c>
      <c r="O14">
        <f>O12-1999*I12</f>
        <v>1.6881698709985358</v>
      </c>
    </row>
    <row r="16" spans="1:15" x14ac:dyDescent="0.25">
      <c r="A16" t="s">
        <v>15</v>
      </c>
      <c r="B16" t="s">
        <v>40</v>
      </c>
      <c r="C16" t="s">
        <v>6</v>
      </c>
      <c r="D16" t="s">
        <v>50</v>
      </c>
      <c r="F16" t="s">
        <v>51</v>
      </c>
      <c r="H16" t="s">
        <v>52</v>
      </c>
    </row>
    <row r="17" spans="2:9" x14ac:dyDescent="0.25">
      <c r="B17" t="s">
        <v>19</v>
      </c>
      <c r="D17" t="s">
        <v>60</v>
      </c>
      <c r="E17" t="s">
        <v>56</v>
      </c>
      <c r="F17" t="s">
        <v>60</v>
      </c>
      <c r="G17" t="s">
        <v>61</v>
      </c>
      <c r="H17" t="s">
        <v>60</v>
      </c>
      <c r="I17" t="s">
        <v>64</v>
      </c>
    </row>
    <row r="18" spans="2:9" x14ac:dyDescent="0.25">
      <c r="B18">
        <v>1</v>
      </c>
      <c r="C18" s="1">
        <v>-65822.805699999997</v>
      </c>
      <c r="D18" s="1">
        <v>-65825.081229999996</v>
      </c>
      <c r="E18" t="s">
        <v>54</v>
      </c>
      <c r="F18" s="1">
        <v>-65825.741160000005</v>
      </c>
      <c r="G18" t="s">
        <v>55</v>
      </c>
      <c r="H18" s="1">
        <v>-65823.375329999995</v>
      </c>
      <c r="I18" t="s">
        <v>62</v>
      </c>
    </row>
    <row r="19" spans="2:9" x14ac:dyDescent="0.25">
      <c r="B19">
        <v>2</v>
      </c>
      <c r="C19" s="1">
        <v>-65822.338390000004</v>
      </c>
      <c r="D19">
        <v>-65825.466289999997</v>
      </c>
      <c r="E19" t="s">
        <v>54</v>
      </c>
      <c r="F19" s="1">
        <v>-65824.441219999993</v>
      </c>
      <c r="G19" t="s">
        <v>54</v>
      </c>
      <c r="H19">
        <v>-65823.447289999996</v>
      </c>
      <c r="I19" t="s">
        <v>62</v>
      </c>
    </row>
    <row r="20" spans="2:9" x14ac:dyDescent="0.25">
      <c r="B20">
        <v>3</v>
      </c>
      <c r="C20" s="1">
        <v>-65823.000010000003</v>
      </c>
      <c r="D20" s="1">
        <v>-65825.051890000002</v>
      </c>
      <c r="E20" t="s">
        <v>54</v>
      </c>
      <c r="F20" s="1">
        <v>-65824.141340000002</v>
      </c>
      <c r="G20" t="s">
        <v>62</v>
      </c>
      <c r="H20" s="1">
        <v>-65823.561990000002</v>
      </c>
      <c r="I20" t="s">
        <v>62</v>
      </c>
    </row>
    <row r="21" spans="2:9" x14ac:dyDescent="0.25">
      <c r="B21">
        <v>4</v>
      </c>
      <c r="C21" s="1">
        <v>-65822.436109999995</v>
      </c>
      <c r="D21" s="1">
        <v>-65824.807750000007</v>
      </c>
      <c r="E21" t="s">
        <v>57</v>
      </c>
      <c r="F21" s="1">
        <v>-65825.039860000004</v>
      </c>
      <c r="G21" t="s">
        <v>63</v>
      </c>
      <c r="H21" s="1">
        <v>-65823.475080000004</v>
      </c>
      <c r="I21" t="s">
        <v>62</v>
      </c>
    </row>
    <row r="22" spans="2:9" x14ac:dyDescent="0.25">
      <c r="B22">
        <v>5</v>
      </c>
      <c r="C22" s="1">
        <v>-65822.537100000001</v>
      </c>
      <c r="D22" s="1">
        <v>-65824.983259999994</v>
      </c>
      <c r="E22" t="s">
        <v>58</v>
      </c>
      <c r="F22" s="1">
        <v>-65824.909899999999</v>
      </c>
      <c r="G22" t="s">
        <v>58</v>
      </c>
      <c r="H22" s="1">
        <v>-65823.667279999994</v>
      </c>
      <c r="I22" t="s">
        <v>62</v>
      </c>
    </row>
    <row r="23" spans="2:9" x14ac:dyDescent="0.25">
      <c r="B23">
        <v>6</v>
      </c>
      <c r="C23" s="1">
        <v>-65822.963489999995</v>
      </c>
      <c r="D23" s="1">
        <v>-65825.465450000003</v>
      </c>
      <c r="E23" t="s">
        <v>54</v>
      </c>
      <c r="F23" s="1">
        <v>-65823.790489999999</v>
      </c>
      <c r="G23" t="s">
        <v>62</v>
      </c>
      <c r="H23" s="1">
        <v>-65823.630290000001</v>
      </c>
      <c r="I23" t="s">
        <v>62</v>
      </c>
    </row>
    <row r="24" spans="2:9" x14ac:dyDescent="0.25">
      <c r="B24">
        <v>7</v>
      </c>
      <c r="C24" s="1">
        <v>-65822.617700000003</v>
      </c>
      <c r="D24" s="1">
        <v>-65824.981929999994</v>
      </c>
      <c r="E24" t="s">
        <v>54</v>
      </c>
      <c r="F24" s="1">
        <v>-65825.042549999998</v>
      </c>
      <c r="G24" t="s">
        <v>54</v>
      </c>
      <c r="H24" s="1">
        <v>-65823.832150000002</v>
      </c>
      <c r="I24" t="s">
        <v>62</v>
      </c>
    </row>
    <row r="25" spans="2:9" x14ac:dyDescent="0.25">
      <c r="B25">
        <v>8</v>
      </c>
      <c r="C25" s="1">
        <v>-65822.510899999994</v>
      </c>
      <c r="D25" s="1">
        <v>-65825.415420000005</v>
      </c>
      <c r="E25" t="s">
        <v>54</v>
      </c>
      <c r="F25" s="1">
        <v>-65825.647530000002</v>
      </c>
      <c r="G25" t="s">
        <v>55</v>
      </c>
      <c r="H25" s="1">
        <v>-65823.310060000003</v>
      </c>
      <c r="I25" t="s">
        <v>62</v>
      </c>
    </row>
    <row r="26" spans="2:9" x14ac:dyDescent="0.25">
      <c r="B26">
        <v>9</v>
      </c>
      <c r="C26" s="1">
        <v>-65822.623720000003</v>
      </c>
      <c r="D26" s="1">
        <v>-65825.324829999998</v>
      </c>
      <c r="E26" t="s">
        <v>54</v>
      </c>
      <c r="F26" s="1">
        <v>-65823.820829999997</v>
      </c>
      <c r="G26" t="s">
        <v>62</v>
      </c>
      <c r="H26" s="1">
        <v>-65823.589689999993</v>
      </c>
      <c r="I26" t="s">
        <v>62</v>
      </c>
    </row>
    <row r="27" spans="2:9" x14ac:dyDescent="0.25">
      <c r="B27">
        <v>10</v>
      </c>
      <c r="C27" s="1">
        <v>-65822.602700000003</v>
      </c>
      <c r="D27" s="1">
        <v>-65825.229420000003</v>
      </c>
      <c r="E27" t="s">
        <v>54</v>
      </c>
      <c r="F27" s="1">
        <v>-65823.912620000003</v>
      </c>
      <c r="G27" t="s">
        <v>62</v>
      </c>
      <c r="H27" s="1">
        <v>-65823.660319999995</v>
      </c>
      <c r="I27" t="s">
        <v>62</v>
      </c>
    </row>
    <row r="28" spans="2:9" x14ac:dyDescent="0.25">
      <c r="B28">
        <v>11</v>
      </c>
      <c r="C28" s="1">
        <v>-65822.950230000002</v>
      </c>
      <c r="D28" s="1">
        <v>-65826.054390000005</v>
      </c>
      <c r="E28" t="s">
        <v>54</v>
      </c>
      <c r="F28" s="1">
        <v>-65825.956709999999</v>
      </c>
      <c r="G28" t="s">
        <v>54</v>
      </c>
      <c r="H28" s="1">
        <v>-65824.204989999998</v>
      </c>
      <c r="I28" t="s">
        <v>62</v>
      </c>
    </row>
    <row r="29" spans="2:9" x14ac:dyDescent="0.25">
      <c r="B29">
        <v>12</v>
      </c>
      <c r="C29" s="1">
        <v>-65822.780239999993</v>
      </c>
      <c r="D29" s="1">
        <v>-65825.429740000007</v>
      </c>
      <c r="E29" t="s">
        <v>54</v>
      </c>
      <c r="F29" s="1">
        <v>-65825.936780000004</v>
      </c>
      <c r="G29" t="s">
        <v>54</v>
      </c>
      <c r="H29" s="1">
        <v>-65823.985029999996</v>
      </c>
      <c r="I29" t="s">
        <v>62</v>
      </c>
    </row>
    <row r="30" spans="2:9" x14ac:dyDescent="0.25">
      <c r="B30">
        <v>13</v>
      </c>
      <c r="C30" s="1">
        <v>-65822.774940000003</v>
      </c>
      <c r="D30" s="1">
        <v>-65825.499110000004</v>
      </c>
      <c r="E30" t="s">
        <v>59</v>
      </c>
      <c r="F30" s="1">
        <v>-65825.707939999993</v>
      </c>
      <c r="G30" t="s">
        <v>54</v>
      </c>
      <c r="H30" s="1">
        <v>-65823.448439999993</v>
      </c>
      <c r="I30" t="s">
        <v>62</v>
      </c>
    </row>
    <row r="31" spans="2:9" x14ac:dyDescent="0.25">
      <c r="B31">
        <v>14</v>
      </c>
      <c r="C31" s="1">
        <v>-65822.706059999997</v>
      </c>
      <c r="D31" s="1">
        <v>-65825.676420000003</v>
      </c>
      <c r="E31" t="s">
        <v>55</v>
      </c>
      <c r="F31" s="1">
        <v>-65825.783970000004</v>
      </c>
      <c r="G31" t="s">
        <v>54</v>
      </c>
      <c r="H31" s="1">
        <v>-65823.767089999994</v>
      </c>
      <c r="I31" t="s">
        <v>62</v>
      </c>
    </row>
    <row r="32" spans="2:9" x14ac:dyDescent="0.25">
      <c r="B32">
        <v>15</v>
      </c>
      <c r="C32" s="1">
        <v>-65822.928010000003</v>
      </c>
      <c r="D32" s="1">
        <v>-65825.77562</v>
      </c>
      <c r="E32" t="s">
        <v>54</v>
      </c>
      <c r="F32" s="1">
        <v>-65826.022519999999</v>
      </c>
      <c r="G32" t="s">
        <v>54</v>
      </c>
      <c r="H32" s="1">
        <v>-65823.676479999995</v>
      </c>
      <c r="I32" t="s">
        <v>62</v>
      </c>
    </row>
    <row r="33" spans="1:11" x14ac:dyDescent="0.25">
      <c r="B33">
        <v>16</v>
      </c>
      <c r="C33" s="1">
        <v>-65822.70766</v>
      </c>
      <c r="D33" s="1">
        <v>-65825.587839999993</v>
      </c>
      <c r="E33" t="s">
        <v>55</v>
      </c>
      <c r="F33" s="1">
        <v>-65825.565730000002</v>
      </c>
      <c r="G33" t="s">
        <v>54</v>
      </c>
      <c r="H33" s="1">
        <v>-65823.736640000003</v>
      </c>
      <c r="I33" t="s">
        <v>62</v>
      </c>
    </row>
    <row r="34" spans="1:11" x14ac:dyDescent="0.25">
      <c r="B34">
        <v>17</v>
      </c>
      <c r="C34" s="1">
        <v>-65822.413960000005</v>
      </c>
      <c r="D34" s="1">
        <v>-65825.914149999997</v>
      </c>
      <c r="E34" t="s">
        <v>55</v>
      </c>
      <c r="F34" s="1">
        <v>-65825.705360000007</v>
      </c>
      <c r="G34" t="s">
        <v>54</v>
      </c>
      <c r="H34" s="1">
        <v>-65823.733670000001</v>
      </c>
      <c r="I34" t="s">
        <v>62</v>
      </c>
    </row>
    <row r="35" spans="1:11" x14ac:dyDescent="0.25">
      <c r="B35">
        <v>18</v>
      </c>
      <c r="C35" s="1">
        <v>-65822.618300000002</v>
      </c>
      <c r="D35" s="1">
        <v>-65825.772079999995</v>
      </c>
      <c r="E35" t="s">
        <v>54</v>
      </c>
      <c r="F35" s="1">
        <v>-65825.901119999995</v>
      </c>
      <c r="G35" t="s">
        <v>54</v>
      </c>
      <c r="H35" s="1">
        <v>-65823.876730000004</v>
      </c>
      <c r="I35" t="s">
        <v>62</v>
      </c>
    </row>
    <row r="36" spans="1:11" x14ac:dyDescent="0.25">
      <c r="B36">
        <v>19</v>
      </c>
      <c r="C36" s="1">
        <v>-65822.438649999996</v>
      </c>
      <c r="D36" s="1">
        <v>-65825.584619999994</v>
      </c>
      <c r="E36" t="s">
        <v>54</v>
      </c>
      <c r="F36" s="1">
        <v>-65825.197849999997</v>
      </c>
      <c r="G36" t="s">
        <v>54</v>
      </c>
      <c r="H36" s="1">
        <v>-65823.649669999999</v>
      </c>
      <c r="I36" t="s">
        <v>62</v>
      </c>
    </row>
    <row r="37" spans="1:11" x14ac:dyDescent="0.25">
      <c r="B37">
        <v>20</v>
      </c>
      <c r="C37" s="1">
        <v>-65822.562590000001</v>
      </c>
      <c r="D37" s="1">
        <v>-65825.808189999996</v>
      </c>
      <c r="E37" t="s">
        <v>59</v>
      </c>
      <c r="F37" s="1">
        <v>-65825.919290000005</v>
      </c>
      <c r="G37" t="s">
        <v>54</v>
      </c>
      <c r="H37" s="1">
        <v>-65823.472380000007</v>
      </c>
      <c r="I37" t="s">
        <v>62</v>
      </c>
    </row>
    <row r="38" spans="1:11" x14ac:dyDescent="0.25">
      <c r="B38" t="s">
        <v>34</v>
      </c>
      <c r="C38" s="1">
        <f>AVERAGE(C18:C37)</f>
        <v>-65822.665823000003</v>
      </c>
      <c r="D38" s="1">
        <f>AVERAGE(D18:D20,D23:D29,D30,D32,D35:D37)</f>
        <v>-65825.462680666664</v>
      </c>
      <c r="E38" s="1">
        <f>AVERAGE(D31,D33,D34)</f>
        <v>-65825.726136666664</v>
      </c>
      <c r="F38" s="1">
        <f>AVERAGE(F20,F23,F26:F27)</f>
        <v>-65823.916320000004</v>
      </c>
      <c r="G38" s="1">
        <f>AVERAGE(F28:F37)</f>
        <v>-65825.769726999992</v>
      </c>
      <c r="H38" s="1">
        <f>AVERAGE(H18:H37)</f>
        <v>-65823.655029999994</v>
      </c>
      <c r="I38" s="1" t="e">
        <f>AVERAGE(I18:I27)</f>
        <v>#DIV/0!</v>
      </c>
      <c r="J38" s="1" t="e">
        <f>AVERAGE(J18:J27)</f>
        <v>#DIV/0!</v>
      </c>
      <c r="K38" s="1" t="e">
        <f>AVERAGE(K18:K27)</f>
        <v>#DIV/0!</v>
      </c>
    </row>
    <row r="39" spans="1:11" x14ac:dyDescent="0.25">
      <c r="B39" t="s">
        <v>36</v>
      </c>
      <c r="C39">
        <f>STDEV(C18:C27)</f>
        <v>0.21693053818067426</v>
      </c>
      <c r="D39">
        <f t="shared" ref="D39" si="2">STDEV(D18:D27)</f>
        <v>0.23212899388328562</v>
      </c>
      <c r="E39" s="1">
        <f>STDEV(D31,D33,D34)</f>
        <v>0.16874052338891038</v>
      </c>
      <c r="F39">
        <f t="shared" ref="F39:K39" si="3">STDEV(F18:F27)</f>
        <v>0.73270038070894161</v>
      </c>
      <c r="G39">
        <f>STDEV(F28:F37)</f>
        <v>0.24568013206269187</v>
      </c>
      <c r="H39">
        <f>STDEV(H18:H37)</f>
        <v>0.21524768186272841</v>
      </c>
      <c r="I39" t="e">
        <f t="shared" si="3"/>
        <v>#DIV/0!</v>
      </c>
      <c r="J39" t="e">
        <f t="shared" si="3"/>
        <v>#DIV/0!</v>
      </c>
      <c r="K39" t="e">
        <f t="shared" si="3"/>
        <v>#DIV/0!</v>
      </c>
    </row>
    <row r="40" spans="1:11" x14ac:dyDescent="0.25">
      <c r="B40" t="s">
        <v>37</v>
      </c>
      <c r="C40">
        <f>C39/SQRT(COUNT(C18:C27))</f>
        <v>6.8599459469704985E-2</v>
      </c>
      <c r="D40">
        <f>D39/SQRT(COUNT(D18:D27))</f>
        <v>7.3405633163447642E-2</v>
      </c>
      <c r="E40">
        <f>E39/SQRT(3)</f>
        <v>9.742238660178576E-2</v>
      </c>
      <c r="F40">
        <f t="shared" ref="F40" si="4">F39/SQRT(COUNT(F18:F27))</f>
        <v>0.23170020455127524</v>
      </c>
      <c r="G40">
        <f>G39/SQRT(COUNT(F28:F37))</f>
        <v>7.7690879316906769E-2</v>
      </c>
      <c r="H40">
        <f>H39/SQRT(COUNT(H18:H37))</f>
        <v>4.8130844864430929E-2</v>
      </c>
      <c r="I40" t="e">
        <f>I39/SQRT(COUNT(I18:I27))</f>
        <v>#DIV/0!</v>
      </c>
      <c r="J40" t="e">
        <f>J39/SQRT(COUNT(J18:J27))</f>
        <v>#DIV/0!</v>
      </c>
      <c r="K40" t="e">
        <f>K39/SQRT(COUNT(K18:K27))</f>
        <v>#DIV/0!</v>
      </c>
    </row>
    <row r="41" spans="1:11" x14ac:dyDescent="0.25">
      <c r="B41" t="s">
        <v>16</v>
      </c>
      <c r="C41">
        <f>C38-15765*I$12-(99+136)*L$12</f>
        <v>14.95358873748728</v>
      </c>
      <c r="D41">
        <f>D38-15766*$I$12-(99+136)*$L$12</f>
        <v>16.265872199822752</v>
      </c>
      <c r="E41">
        <f>E38-15766*$I$12-(99+136)*$L$12</f>
        <v>16.002416199822164</v>
      </c>
      <c r="F41">
        <f>F38-15766*$I$12-(99+136)*$L$12</f>
        <v>17.812232866482645</v>
      </c>
      <c r="G41">
        <f>G38-15766*$I$12-(99+136)*$L$12</f>
        <v>15.958825866494863</v>
      </c>
      <c r="H41">
        <f>H38-15766*$I$12-(99+136)*$L$12</f>
        <v>18.073522866492112</v>
      </c>
      <c r="I41" t="e">
        <f>I38-15764*$I$12-(99+136)*$L$12</f>
        <v>#DIV/0!</v>
      </c>
      <c r="J41" t="e">
        <f>J38-15764*$I$12-(99+136)*$L$12</f>
        <v>#DIV/0!</v>
      </c>
      <c r="K41" t="e">
        <f>K38-15764*$I$12-(99+136)*$L$12</f>
        <v>#DIV/0!</v>
      </c>
    </row>
    <row r="42" spans="1:11" x14ac:dyDescent="0.25">
      <c r="B42" t="s">
        <v>65</v>
      </c>
      <c r="D42">
        <f>D41-$C$41</f>
        <v>1.312283462335472</v>
      </c>
      <c r="E42">
        <f>E41-$C$41</f>
        <v>1.0488274623348843</v>
      </c>
      <c r="F42">
        <f t="shared" ref="F42:K42" si="5">F41-$C$41</f>
        <v>2.8586441289953655</v>
      </c>
      <c r="G42">
        <f>G41-$C$41</f>
        <v>1.0052371290075826</v>
      </c>
      <c r="H42">
        <f>H41-$C$41</f>
        <v>3.1199341290048324</v>
      </c>
      <c r="I42" t="e">
        <f t="shared" si="5"/>
        <v>#DIV/0!</v>
      </c>
      <c r="J42" t="e">
        <f t="shared" si="5"/>
        <v>#DIV/0!</v>
      </c>
      <c r="K42" t="e">
        <f t="shared" si="5"/>
        <v>#DIV/0!</v>
      </c>
    </row>
    <row r="44" spans="1:11" x14ac:dyDescent="0.25">
      <c r="A44" t="s">
        <v>15</v>
      </c>
      <c r="B44" t="s">
        <v>39</v>
      </c>
      <c r="C44" t="s">
        <v>6</v>
      </c>
      <c r="D44" t="s">
        <v>50</v>
      </c>
      <c r="F44" t="s">
        <v>51</v>
      </c>
      <c r="H44" t="s">
        <v>52</v>
      </c>
    </row>
    <row r="45" spans="1:11" x14ac:dyDescent="0.25">
      <c r="B45" t="s">
        <v>19</v>
      </c>
      <c r="D45" t="s">
        <v>60</v>
      </c>
      <c r="E45" t="s">
        <v>56</v>
      </c>
      <c r="F45" t="s">
        <v>60</v>
      </c>
      <c r="G45" t="s">
        <v>61</v>
      </c>
      <c r="H45" t="s">
        <v>60</v>
      </c>
      <c r="I45" t="s">
        <v>64</v>
      </c>
    </row>
    <row r="46" spans="1:11" x14ac:dyDescent="0.25">
      <c r="B46">
        <v>1</v>
      </c>
      <c r="C46" s="1">
        <v>-65835.606530000005</v>
      </c>
      <c r="D46" s="1">
        <v>-65838.071649999998</v>
      </c>
      <c r="E46" t="s">
        <v>67</v>
      </c>
      <c r="F46">
        <v>-65837.171340000001</v>
      </c>
      <c r="G46" t="s">
        <v>54</v>
      </c>
      <c r="H46">
        <v>-65836.501409999997</v>
      </c>
      <c r="I46" t="s">
        <v>62</v>
      </c>
    </row>
    <row r="47" spans="1:11" x14ac:dyDescent="0.25">
      <c r="B47">
        <v>2</v>
      </c>
      <c r="C47" s="1">
        <v>-65835.292189999993</v>
      </c>
      <c r="D47" s="1">
        <v>-65838.152820000003</v>
      </c>
      <c r="E47" t="s">
        <v>67</v>
      </c>
      <c r="F47">
        <v>-65837.641600000003</v>
      </c>
      <c r="G47" t="s">
        <v>54</v>
      </c>
      <c r="H47">
        <v>-65836.496079999997</v>
      </c>
      <c r="I47" t="s">
        <v>62</v>
      </c>
    </row>
    <row r="48" spans="1:11" x14ac:dyDescent="0.25">
      <c r="B48">
        <v>3</v>
      </c>
      <c r="C48" s="1">
        <v>-65835.93131</v>
      </c>
      <c r="D48" s="1">
        <v>-65837.971099999995</v>
      </c>
      <c r="E48" t="s">
        <v>66</v>
      </c>
      <c r="F48">
        <v>-65838.290290000004</v>
      </c>
      <c r="G48" t="s">
        <v>68</v>
      </c>
      <c r="H48">
        <v>-65836.267940000005</v>
      </c>
      <c r="I48" t="s">
        <v>62</v>
      </c>
    </row>
    <row r="49" spans="2:9" x14ac:dyDescent="0.25">
      <c r="B49">
        <v>4</v>
      </c>
      <c r="C49" s="1">
        <v>-65835.265790000005</v>
      </c>
      <c r="D49" s="1">
        <v>-65838.036540000001</v>
      </c>
      <c r="E49" t="s">
        <v>67</v>
      </c>
      <c r="F49">
        <v>-65838.282819999993</v>
      </c>
      <c r="G49" t="s">
        <v>68</v>
      </c>
      <c r="H49">
        <v>-65836.542289999998</v>
      </c>
      <c r="I49" t="s">
        <v>62</v>
      </c>
    </row>
    <row r="50" spans="2:9" x14ac:dyDescent="0.25">
      <c r="B50">
        <v>5</v>
      </c>
      <c r="C50" s="1">
        <v>-65835.435530000002</v>
      </c>
      <c r="D50" s="1">
        <v>-65838.218890000004</v>
      </c>
      <c r="E50" t="s">
        <v>66</v>
      </c>
      <c r="F50">
        <v>-65838.417010000005</v>
      </c>
      <c r="G50" t="s">
        <v>69</v>
      </c>
      <c r="H50">
        <v>-65836.215330000006</v>
      </c>
      <c r="I50" t="s">
        <v>62</v>
      </c>
    </row>
    <row r="51" spans="2:9" x14ac:dyDescent="0.25">
      <c r="B51">
        <v>6</v>
      </c>
      <c r="C51" s="1">
        <v>-65835.696209999995</v>
      </c>
      <c r="D51" s="1">
        <v>-65838.507039999997</v>
      </c>
      <c r="E51" t="s">
        <v>67</v>
      </c>
      <c r="F51">
        <v>-65837.856320000006</v>
      </c>
      <c r="G51" t="s">
        <v>55</v>
      </c>
      <c r="H51">
        <v>-65836.880879999997</v>
      </c>
      <c r="I51" t="s">
        <v>62</v>
      </c>
    </row>
    <row r="52" spans="2:9" x14ac:dyDescent="0.25">
      <c r="B52">
        <v>7</v>
      </c>
      <c r="C52" s="1">
        <v>-65835.471699999995</v>
      </c>
      <c r="D52" s="1">
        <v>-65838.229430000007</v>
      </c>
      <c r="E52" t="s">
        <v>66</v>
      </c>
      <c r="F52">
        <v>-65838.351630000005</v>
      </c>
      <c r="G52" t="s">
        <v>67</v>
      </c>
      <c r="H52">
        <v>-65836.212400000004</v>
      </c>
      <c r="I52" t="s">
        <v>62</v>
      </c>
    </row>
    <row r="53" spans="2:9" x14ac:dyDescent="0.25">
      <c r="B53">
        <v>8</v>
      </c>
      <c r="C53" s="1">
        <v>-65835.433149999997</v>
      </c>
      <c r="D53" s="1">
        <v>-65837.984880000004</v>
      </c>
      <c r="E53" t="s">
        <v>66</v>
      </c>
      <c r="F53">
        <v>-65838.18144</v>
      </c>
      <c r="G53" t="s">
        <v>67</v>
      </c>
      <c r="H53">
        <v>-65836.131259999995</v>
      </c>
      <c r="I53" t="s">
        <v>62</v>
      </c>
    </row>
    <row r="54" spans="2:9" x14ac:dyDescent="0.25">
      <c r="B54">
        <v>9</v>
      </c>
      <c r="C54" s="1">
        <v>-65835.515499999994</v>
      </c>
      <c r="D54" s="1">
        <v>-65837.976429999995</v>
      </c>
      <c r="E54" t="s">
        <v>54</v>
      </c>
      <c r="F54">
        <v>-65838.872399999993</v>
      </c>
      <c r="G54" t="s">
        <v>66</v>
      </c>
      <c r="H54">
        <v>-65837.090710000004</v>
      </c>
      <c r="I54" t="s">
        <v>62</v>
      </c>
    </row>
    <row r="55" spans="2:9" x14ac:dyDescent="0.25">
      <c r="B55">
        <v>10</v>
      </c>
      <c r="C55" s="1">
        <v>-65835.575370000006</v>
      </c>
      <c r="D55" s="1">
        <v>-65838.296050000004</v>
      </c>
      <c r="E55" t="s">
        <v>66</v>
      </c>
      <c r="F55">
        <v>-65837.790410000001</v>
      </c>
      <c r="G55" t="s">
        <v>67</v>
      </c>
      <c r="H55">
        <v>-65836.54264</v>
      </c>
      <c r="I55" t="s">
        <v>62</v>
      </c>
    </row>
    <row r="56" spans="2:9" x14ac:dyDescent="0.25">
      <c r="B56">
        <v>11</v>
      </c>
      <c r="C56" s="1">
        <v>-65835.845889999997</v>
      </c>
      <c r="D56" s="1">
        <v>-65838.215259999997</v>
      </c>
      <c r="E56" t="s">
        <v>67</v>
      </c>
      <c r="F56">
        <v>-65837.724000000002</v>
      </c>
      <c r="G56" t="s">
        <v>54</v>
      </c>
    </row>
    <row r="57" spans="2:9" x14ac:dyDescent="0.25">
      <c r="B57">
        <v>12</v>
      </c>
      <c r="C57" s="1">
        <v>-65835.604240000001</v>
      </c>
      <c r="D57" s="1">
        <v>-65837.928109999993</v>
      </c>
      <c r="E57" t="s">
        <v>68</v>
      </c>
      <c r="F57">
        <v>-65838.231320000006</v>
      </c>
      <c r="G57" t="s">
        <v>55</v>
      </c>
    </row>
    <row r="58" spans="2:9" x14ac:dyDescent="0.25">
      <c r="B58">
        <v>13</v>
      </c>
      <c r="C58" s="1">
        <v>-65835.744709999999</v>
      </c>
      <c r="D58" s="1">
        <v>-65838.459199999998</v>
      </c>
      <c r="E58" t="s">
        <v>68</v>
      </c>
      <c r="F58">
        <v>-65838.193150000006</v>
      </c>
      <c r="G58" t="s">
        <v>55</v>
      </c>
    </row>
    <row r="59" spans="2:9" x14ac:dyDescent="0.25">
      <c r="B59">
        <v>14</v>
      </c>
      <c r="C59" s="1">
        <v>-65835.561109999995</v>
      </c>
      <c r="D59" s="1">
        <v>-65838.128479999999</v>
      </c>
      <c r="E59" t="s">
        <v>67</v>
      </c>
      <c r="F59">
        <v>-65838.504889999997</v>
      </c>
      <c r="G59" t="s">
        <v>67</v>
      </c>
    </row>
    <row r="60" spans="2:9" x14ac:dyDescent="0.25">
      <c r="B60">
        <v>15</v>
      </c>
      <c r="C60" s="1">
        <v>-65835.776459999994</v>
      </c>
      <c r="D60" s="1">
        <v>-65838.287890000007</v>
      </c>
      <c r="E60" t="s">
        <v>66</v>
      </c>
      <c r="F60">
        <v>-65838.016870000007</v>
      </c>
      <c r="G60" t="s">
        <v>66</v>
      </c>
    </row>
    <row r="61" spans="2:9" x14ac:dyDescent="0.25">
      <c r="B61">
        <v>16</v>
      </c>
      <c r="C61" s="1">
        <v>-65835.549029999995</v>
      </c>
      <c r="D61" s="1">
        <v>-65837.956860000006</v>
      </c>
      <c r="E61" t="s">
        <v>54</v>
      </c>
      <c r="F61">
        <v>-65838.208859999999</v>
      </c>
      <c r="G61" t="s">
        <v>68</v>
      </c>
    </row>
    <row r="62" spans="2:9" x14ac:dyDescent="0.25">
      <c r="B62">
        <v>17</v>
      </c>
      <c r="C62" s="1">
        <v>-65835.245980000007</v>
      </c>
      <c r="D62" s="1">
        <v>-65838.332420000006</v>
      </c>
      <c r="E62" t="s">
        <v>67</v>
      </c>
      <c r="F62">
        <v>-65838.411349999995</v>
      </c>
      <c r="G62" t="s">
        <v>69</v>
      </c>
    </row>
    <row r="63" spans="2:9" x14ac:dyDescent="0.25">
      <c r="B63">
        <v>18</v>
      </c>
      <c r="C63" s="1">
        <v>-65835.544039999993</v>
      </c>
      <c r="D63" s="1">
        <v>-65838.200119999994</v>
      </c>
      <c r="E63" t="s">
        <v>67</v>
      </c>
      <c r="F63">
        <v>-65837.770860000004</v>
      </c>
      <c r="G63" t="s">
        <v>67</v>
      </c>
    </row>
    <row r="64" spans="2:9" x14ac:dyDescent="0.25">
      <c r="B64">
        <v>19</v>
      </c>
      <c r="C64" s="1">
        <v>-65835.255749999997</v>
      </c>
      <c r="D64" s="1">
        <v>-65838.156270000007</v>
      </c>
      <c r="E64" t="s">
        <v>66</v>
      </c>
      <c r="F64">
        <v>-65838.411259999993</v>
      </c>
      <c r="G64" t="s">
        <v>69</v>
      </c>
    </row>
    <row r="65" spans="2:9" x14ac:dyDescent="0.25">
      <c r="B65">
        <v>20</v>
      </c>
      <c r="C65" s="1">
        <v>-65835.337889999995</v>
      </c>
      <c r="D65" s="1">
        <v>-65837.997210000001</v>
      </c>
      <c r="E65" t="s">
        <v>66</v>
      </c>
      <c r="F65">
        <v>-65838.442120000007</v>
      </c>
      <c r="G65" t="s">
        <v>66</v>
      </c>
    </row>
    <row r="66" spans="2:9" x14ac:dyDescent="0.25">
      <c r="B66" t="s">
        <v>34</v>
      </c>
      <c r="C66" s="1">
        <f>AVERAGE(C46:C65)</f>
        <v>-65835.534419000003</v>
      </c>
      <c r="D66" s="1">
        <f>AVERAGE(D46:D47,D49,D51,D56,D59,D62,D63)</f>
        <v>-65838.205541250005</v>
      </c>
      <c r="E66" s="1" t="e">
        <f>AVERAGE(E46:E55)</f>
        <v>#DIV/0!</v>
      </c>
      <c r="F66" s="1">
        <f>AVERAGE(F48:F49,F52:F53,F55)</f>
        <v>-65838.17931800001</v>
      </c>
      <c r="G66" s="1" t="e">
        <f t="shared" ref="G66:I66" si="6">AVERAGE(G46:G55)</f>
        <v>#DIV/0!</v>
      </c>
      <c r="H66" s="1">
        <f>AVERAGE(H46:H55)</f>
        <v>-65836.488094</v>
      </c>
      <c r="I66" s="1" t="e">
        <f t="shared" si="6"/>
        <v>#DIV/0!</v>
      </c>
    </row>
    <row r="67" spans="2:9" x14ac:dyDescent="0.25">
      <c r="B67" t="s">
        <v>36</v>
      </c>
      <c r="C67">
        <f>STDEV(C46:C65)</f>
        <v>0.19880288113116912</v>
      </c>
      <c r="D67">
        <f t="shared" ref="D67:I67" si="7">STDEV(D46:D55)</f>
        <v>0.1725543276809984</v>
      </c>
      <c r="E67" t="e">
        <f t="shared" si="7"/>
        <v>#DIV/0!</v>
      </c>
      <c r="F67">
        <f t="shared" si="7"/>
        <v>0.4786963275891557</v>
      </c>
      <c r="G67" t="e">
        <f t="shared" si="7"/>
        <v>#DIV/0!</v>
      </c>
      <c r="H67">
        <f t="shared" si="7"/>
        <v>0.30727948162289942</v>
      </c>
      <c r="I67" t="e">
        <f t="shared" si="7"/>
        <v>#DIV/0!</v>
      </c>
    </row>
    <row r="68" spans="2:9" x14ac:dyDescent="0.25">
      <c r="B68" t="s">
        <v>37</v>
      </c>
      <c r="C68">
        <f>C67/SQRT(COUNT(C46:C65))</f>
        <v>4.445367563321044E-2</v>
      </c>
      <c r="D68">
        <f>D67/SQRT(COUNT(D46:D55))</f>
        <v>5.4566469559099544E-2</v>
      </c>
      <c r="E68" t="e">
        <f t="shared" ref="E68:I68" si="8">E67/SQRT(COUNT(E46:E55))</f>
        <v>#DIV/0!</v>
      </c>
      <c r="F68">
        <f t="shared" si="8"/>
        <v>0.15137707027398312</v>
      </c>
      <c r="G68" t="e">
        <f t="shared" si="8"/>
        <v>#DIV/0!</v>
      </c>
      <c r="H68">
        <f t="shared" si="8"/>
        <v>9.7170304016421488E-2</v>
      </c>
      <c r="I68" t="e">
        <f t="shared" si="8"/>
        <v>#DIV/0!</v>
      </c>
    </row>
    <row r="69" spans="2:9" x14ac:dyDescent="0.25">
      <c r="B69" t="s">
        <v>16</v>
      </c>
      <c r="C69">
        <f>C66-15765*I$12-(99+136)*L$12</f>
        <v>2.0849927374870276</v>
      </c>
      <c r="D69">
        <f>D66-15766*$I$12-(99+136)*$L$12</f>
        <v>3.5230116164816536</v>
      </c>
      <c r="E69" t="e">
        <f t="shared" ref="E69:I69" si="9">E66-15766*$I$12-(99+136)*$L$12</f>
        <v>#DIV/0!</v>
      </c>
      <c r="F69">
        <f t="shared" si="9"/>
        <v>3.5492348664770361</v>
      </c>
      <c r="G69" t="e">
        <f t="shared" si="9"/>
        <v>#DIV/0!</v>
      </c>
      <c r="H69">
        <f>H66-15766*$I$12-(99+136)*$L$12</f>
        <v>5.2404588664862786</v>
      </c>
      <c r="I69" t="e">
        <f t="shared" si="9"/>
        <v>#DIV/0!</v>
      </c>
    </row>
    <row r="70" spans="2:9" x14ac:dyDescent="0.25">
      <c r="B70" t="s">
        <v>35</v>
      </c>
      <c r="D70">
        <f>D69-$C$69</f>
        <v>1.438018878994626</v>
      </c>
      <c r="E70" t="e">
        <f t="shared" ref="E70:I70" si="10">E69-$C$69</f>
        <v>#DIV/0!</v>
      </c>
      <c r="F70">
        <f t="shared" si="10"/>
        <v>1.4642421289900085</v>
      </c>
      <c r="G70" t="e">
        <f t="shared" si="10"/>
        <v>#DIV/0!</v>
      </c>
      <c r="H70">
        <f>H69-$C$69</f>
        <v>3.1554661289992509</v>
      </c>
      <c r="I70" t="e">
        <f t="shared" si="10"/>
        <v>#DIV/0!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300 K</vt:lpstr>
      <vt:lpstr>100 K</vt:lpstr>
      <vt:lpstr>100 K divac</vt:lpstr>
      <vt:lpstr>100 K 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2015-07-28T22:18:15Z</dcterms:created>
  <dcterms:modified xsi:type="dcterms:W3CDTF">2015-09-21T22:49:56Z</dcterms:modified>
</cp:coreProperties>
</file>