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jamin\Documents\davis_work\"/>
    </mc:Choice>
  </mc:AlternateContent>
  <bookViews>
    <workbookView xWindow="0" yWindow="0" windowWidth="14610" windowHeight="6435" activeTab="1"/>
  </bookViews>
  <sheets>
    <sheet name="110" sheetId="1" r:id="rId1"/>
    <sheet name="111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1" l="1"/>
  <c r="P9" i="1"/>
  <c r="S10" i="1"/>
  <c r="S11" i="1"/>
  <c r="S12" i="1"/>
  <c r="S13" i="1"/>
  <c r="S14" i="1"/>
  <c r="S16" i="1"/>
  <c r="S17" i="1"/>
  <c r="S18" i="1"/>
  <c r="S19" i="1"/>
  <c r="S20" i="1"/>
  <c r="S21" i="1"/>
  <c r="S22" i="1"/>
  <c r="S9" i="1"/>
  <c r="M9" i="2"/>
  <c r="P9" i="2"/>
  <c r="O9" i="2"/>
  <c r="O14" i="1"/>
  <c r="P14" i="1"/>
  <c r="R12" i="2"/>
  <c r="S12" i="2"/>
  <c r="R15" i="2"/>
  <c r="S15" i="2"/>
  <c r="R18" i="2"/>
  <c r="S18" i="2"/>
  <c r="R10" i="2"/>
  <c r="S10" i="2"/>
  <c r="R13" i="2"/>
  <c r="S13" i="2"/>
  <c r="R16" i="2"/>
  <c r="S16" i="2"/>
  <c r="R11" i="2"/>
  <c r="S11" i="2"/>
  <c r="R14" i="2"/>
  <c r="S14" i="2"/>
  <c r="R17" i="2"/>
  <c r="S17" i="2"/>
  <c r="R20" i="2"/>
  <c r="S20" i="2"/>
  <c r="R22" i="2"/>
  <c r="S22" i="2"/>
  <c r="R24" i="2"/>
  <c r="S24" i="2"/>
  <c r="R25" i="2"/>
  <c r="S25" i="2"/>
  <c r="R21" i="2"/>
  <c r="S21" i="2"/>
  <c r="R23" i="2"/>
  <c r="S23" i="2"/>
  <c r="R9" i="2"/>
  <c r="S9" i="2"/>
  <c r="O9" i="1"/>
  <c r="D5" i="2"/>
  <c r="D10" i="2"/>
  <c r="M17" i="2"/>
  <c r="M6" i="2"/>
  <c r="N6" i="2"/>
  <c r="P17" i="2"/>
  <c r="L6" i="2"/>
  <c r="O17" i="2"/>
  <c r="L17" i="2"/>
  <c r="M14" i="2"/>
  <c r="P14" i="2"/>
  <c r="O14" i="2"/>
  <c r="L14" i="2"/>
  <c r="M11" i="2"/>
  <c r="P11" i="2"/>
  <c r="O11" i="2"/>
  <c r="L11" i="2"/>
  <c r="M16" i="2"/>
  <c r="P16" i="2"/>
  <c r="O16" i="2"/>
  <c r="L16" i="2"/>
  <c r="R22" i="1"/>
  <c r="R21" i="1"/>
  <c r="R20" i="1"/>
  <c r="R19" i="1"/>
  <c r="R18" i="1"/>
  <c r="R17" i="1"/>
  <c r="R16" i="1"/>
  <c r="R10" i="1"/>
  <c r="R11" i="1"/>
  <c r="R12" i="1"/>
  <c r="R13" i="1"/>
  <c r="R14" i="1"/>
  <c r="R9" i="1"/>
  <c r="M22" i="1"/>
  <c r="L22" i="1"/>
  <c r="O22" i="1"/>
  <c r="P22" i="1"/>
  <c r="M20" i="2"/>
  <c r="P20" i="2"/>
  <c r="O20" i="2"/>
  <c r="O22" i="2"/>
  <c r="M22" i="2"/>
  <c r="P22" i="2"/>
  <c r="O24" i="2"/>
  <c r="M24" i="2"/>
  <c r="P24" i="2"/>
  <c r="O25" i="2"/>
  <c r="M25" i="2"/>
  <c r="P25" i="2"/>
  <c r="O21" i="2"/>
  <c r="M21" i="2"/>
  <c r="P21" i="2"/>
  <c r="O23" i="2"/>
  <c r="M23" i="2"/>
  <c r="P23" i="2"/>
  <c r="O12" i="2"/>
  <c r="M12" i="2"/>
  <c r="P12" i="2"/>
  <c r="O15" i="2"/>
  <c r="M15" i="2"/>
  <c r="P15" i="2"/>
  <c r="O18" i="2"/>
  <c r="M18" i="2"/>
  <c r="P18" i="2"/>
  <c r="O10" i="2"/>
  <c r="M10" i="2"/>
  <c r="P10" i="2"/>
  <c r="O13" i="2"/>
  <c r="M13" i="2"/>
  <c r="P13" i="2"/>
  <c r="L22" i="2"/>
  <c r="L24" i="2"/>
  <c r="L25" i="2"/>
  <c r="L21" i="2"/>
  <c r="L23" i="2"/>
  <c r="L20" i="2"/>
  <c r="L12" i="2"/>
  <c r="L15" i="2"/>
  <c r="L18" i="2"/>
  <c r="L10" i="2"/>
  <c r="L13" i="2"/>
  <c r="L9" i="2"/>
  <c r="L5" i="2"/>
  <c r="M5" i="2"/>
  <c r="N5" i="2"/>
  <c r="D7" i="2"/>
  <c r="D8" i="2"/>
  <c r="G11" i="2"/>
  <c r="D11" i="2"/>
  <c r="G10" i="2"/>
  <c r="G9" i="2"/>
  <c r="F9" i="2"/>
  <c r="D9" i="2"/>
  <c r="F8" i="2"/>
  <c r="F7" i="2"/>
  <c r="F5" i="2"/>
  <c r="F6" i="2"/>
  <c r="D6" i="2"/>
  <c r="M21" i="1"/>
  <c r="P21" i="1"/>
  <c r="O21" i="1"/>
  <c r="L21" i="1"/>
  <c r="L19" i="1"/>
  <c r="M19" i="1"/>
  <c r="O19" i="1"/>
  <c r="P19" i="1"/>
  <c r="L20" i="1"/>
  <c r="M20" i="1"/>
  <c r="O20" i="1"/>
  <c r="P20" i="1"/>
  <c r="M18" i="1"/>
  <c r="P18" i="1"/>
  <c r="O18" i="1"/>
  <c r="L18" i="1"/>
  <c r="L17" i="1"/>
  <c r="M17" i="1"/>
  <c r="O17" i="1"/>
  <c r="P17" i="1"/>
  <c r="M16" i="1"/>
  <c r="P16" i="1"/>
  <c r="O16" i="1"/>
  <c r="L16" i="1"/>
  <c r="M14" i="1"/>
  <c r="L14" i="1"/>
  <c r="M13" i="1"/>
  <c r="P13" i="1"/>
  <c r="O13" i="1"/>
  <c r="L13" i="1"/>
  <c r="M12" i="1"/>
  <c r="P12" i="1"/>
  <c r="O12" i="1"/>
  <c r="L12" i="1"/>
  <c r="M11" i="1"/>
  <c r="P11" i="1"/>
  <c r="O11" i="1"/>
  <c r="L11" i="1"/>
  <c r="M10" i="1"/>
  <c r="P10" i="1"/>
  <c r="M9" i="1"/>
  <c r="O10" i="1"/>
  <c r="L10" i="1"/>
  <c r="L9" i="1"/>
  <c r="L6" i="1"/>
  <c r="N6" i="1"/>
  <c r="N5" i="1"/>
  <c r="M5" i="1"/>
  <c r="L5" i="1"/>
  <c r="D6" i="1"/>
  <c r="G11" i="1"/>
  <c r="D11" i="1"/>
  <c r="F6" i="1"/>
  <c r="G10" i="1"/>
  <c r="G9" i="1"/>
  <c r="D10" i="1"/>
  <c r="D7" i="1"/>
  <c r="D8" i="1"/>
  <c r="F9" i="1"/>
  <c r="F5" i="1"/>
  <c r="D9" i="1"/>
  <c r="F8" i="1"/>
  <c r="F7" i="1"/>
  <c r="D5" i="1"/>
</calcChain>
</file>

<file path=xl/sharedStrings.xml><?xml version="1.0" encoding="utf-8"?>
<sst xmlns="http://schemas.openxmlformats.org/spreadsheetml/2006/main" count="79" uniqueCount="39">
  <si>
    <t>110 interface</t>
  </si>
  <si>
    <t>0 K</t>
  </si>
  <si>
    <t>a</t>
  </si>
  <si>
    <t>bcc fe</t>
  </si>
  <si>
    <t>fcc ni</t>
  </si>
  <si>
    <t>fcc al</t>
  </si>
  <si>
    <t>T</t>
  </si>
  <si>
    <t>E</t>
  </si>
  <si>
    <t>E/at</t>
  </si>
  <si>
    <t>V</t>
  </si>
  <si>
    <t>a0</t>
  </si>
  <si>
    <t>B2 nial</t>
  </si>
  <si>
    <t>Ef</t>
  </si>
  <si>
    <t>B2nial</t>
  </si>
  <si>
    <t>avg a0</t>
  </si>
  <si>
    <t>Ef/at</t>
  </si>
  <si>
    <t>vaca</t>
  </si>
  <si>
    <t>a1</t>
  </si>
  <si>
    <t>Ef 1</t>
  </si>
  <si>
    <t>Ef 2</t>
  </si>
  <si>
    <t>x</t>
  </si>
  <si>
    <t>all on 8 processors</t>
  </si>
  <si>
    <t>vac b</t>
  </si>
  <si>
    <t>vac c</t>
  </si>
  <si>
    <t>vac d</t>
  </si>
  <si>
    <t>vac e</t>
  </si>
  <si>
    <t>vac f</t>
  </si>
  <si>
    <t>int a</t>
  </si>
  <si>
    <t>int b</t>
  </si>
  <si>
    <t>int c</t>
  </si>
  <si>
    <t>int d</t>
  </si>
  <si>
    <t>int e</t>
  </si>
  <si>
    <t>int f</t>
  </si>
  <si>
    <t>111 interface</t>
  </si>
  <si>
    <t>int a1</t>
  </si>
  <si>
    <t>vac g</t>
  </si>
  <si>
    <t>vac h</t>
  </si>
  <si>
    <t>vac i</t>
  </si>
  <si>
    <t>vac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</si>
</sst>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'110'!$S$9:$S$13</c:f>
              <c:numCache>
                <c:formatCode>General</c:formatCode>
                <c:ptCount val="5"/>
                <c:pt idx="0">
                  <c:v>0.80754800000000015</c:v>
                </c:pt>
                <c:pt idx="1">
                  <c:v>2.8264179999999999</c:v>
                </c:pt>
                <c:pt idx="2">
                  <c:v>4.845288</c:v>
                </c:pt>
                <c:pt idx="3">
                  <c:v>6.8641580000000006</c:v>
                </c:pt>
                <c:pt idx="4">
                  <c:v>8.8830280000000013</c:v>
                </c:pt>
              </c:numCache>
            </c:numRef>
          </c:xVal>
          <c:yVal>
            <c:numRef>
              <c:f>'110'!$P$9:$P$13</c:f>
              <c:numCache>
                <c:formatCode>General</c:formatCode>
                <c:ptCount val="5"/>
                <c:pt idx="0">
                  <c:v>1.5558426791597348</c:v>
                </c:pt>
                <c:pt idx="1">
                  <c:v>1.7294426791598134</c:v>
                </c:pt>
                <c:pt idx="2">
                  <c:v>1.6547426791606021</c:v>
                </c:pt>
                <c:pt idx="3">
                  <c:v>1.6581426791602034</c:v>
                </c:pt>
                <c:pt idx="4">
                  <c:v>1.6594426791601045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24024"/>
        <c:axId val="316825200"/>
      </c:scatterChart>
      <c:valAx>
        <c:axId val="31682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Depth from Interface (Å)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6825200"/>
        <c:crosses val="autoZero"/>
        <c:crossBetween val="midCat"/>
      </c:valAx>
      <c:valAx>
        <c:axId val="316825200"/>
        <c:scaling>
          <c:orientation val="minMax"/>
          <c:max val="2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6824024"/>
        <c:crosses val="autoZero"/>
        <c:crossBetween val="midCat"/>
        <c:majorUnit val="0.2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'110'!$S$16:$S$21</c:f>
              <c:numCache>
                <c:formatCode>General</c:formatCode>
                <c:ptCount val="6"/>
                <c:pt idx="0">
                  <c:v>0</c:v>
                </c:pt>
                <c:pt idx="1">
                  <c:v>0.80754800000000015</c:v>
                </c:pt>
                <c:pt idx="2">
                  <c:v>2.8264179999999999</c:v>
                </c:pt>
                <c:pt idx="3">
                  <c:v>4.845288</c:v>
                </c:pt>
                <c:pt idx="4">
                  <c:v>6.8641580000000006</c:v>
                </c:pt>
                <c:pt idx="5">
                  <c:v>8.8830280000000013</c:v>
                </c:pt>
              </c:numCache>
            </c:numRef>
          </c:xVal>
          <c:yVal>
            <c:numRef>
              <c:f>'110'!$P$16:$P$21</c:f>
              <c:numCache>
                <c:formatCode>General</c:formatCode>
                <c:ptCount val="6"/>
                <c:pt idx="0">
                  <c:v>1.9604571408396687</c:v>
                </c:pt>
                <c:pt idx="1">
                  <c:v>2.2030571408392525</c:v>
                </c:pt>
                <c:pt idx="2">
                  <c:v>2.7847571408380709</c:v>
                </c:pt>
                <c:pt idx="3">
                  <c:v>3.0317571408392787</c:v>
                </c:pt>
                <c:pt idx="4">
                  <c:v>3.1189571408392176</c:v>
                </c:pt>
                <c:pt idx="5">
                  <c:v>3.1355571408382339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823240"/>
        <c:axId val="316823632"/>
      </c:scatterChart>
      <c:valAx>
        <c:axId val="316823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Depth from Interface (Å)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6823632"/>
        <c:crosses val="autoZero"/>
        <c:crossBetween val="midCat"/>
      </c:valAx>
      <c:valAx>
        <c:axId val="316823632"/>
        <c:scaling>
          <c:orientation val="minMax"/>
          <c:max val="3.5"/>
          <c:min val="1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6823240"/>
        <c:crosses val="autoZero"/>
        <c:crossBetween val="midCat"/>
        <c:majorUnit val="0.5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'111'!$S$9:$S$18</c:f>
              <c:numCache>
                <c:formatCode>General</c:formatCode>
                <c:ptCount val="10"/>
                <c:pt idx="0">
                  <c:v>0.24725000000000003</c:v>
                </c:pt>
                <c:pt idx="1">
                  <c:v>1.0384500000000001</c:v>
                </c:pt>
                <c:pt idx="2">
                  <c:v>1.8791000000000002</c:v>
                </c:pt>
                <c:pt idx="3">
                  <c:v>2.7197500000000003</c:v>
                </c:pt>
                <c:pt idx="4">
                  <c:v>3.5109500000000002</c:v>
                </c:pt>
                <c:pt idx="5">
                  <c:v>4.3516000000000004</c:v>
                </c:pt>
                <c:pt idx="6">
                  <c:v>5.1922500000000005</c:v>
                </c:pt>
                <c:pt idx="7">
                  <c:v>5.9834500000000004</c:v>
                </c:pt>
                <c:pt idx="8">
                  <c:v>6.8240999999999996</c:v>
                </c:pt>
                <c:pt idx="9">
                  <c:v>7.6647500000000006</c:v>
                </c:pt>
              </c:numCache>
            </c:numRef>
          </c:xVal>
          <c:yVal>
            <c:numRef>
              <c:f>'111'!$P$9:$P$18</c:f>
              <c:numCache>
                <c:formatCode>General</c:formatCode>
                <c:ptCount val="10"/>
                <c:pt idx="0">
                  <c:v>1.5926272157564463</c:v>
                </c:pt>
                <c:pt idx="1">
                  <c:v>1.5916272157562426</c:v>
                </c:pt>
                <c:pt idx="2">
                  <c:v>1.7836272157553403</c:v>
                </c:pt>
                <c:pt idx="3">
                  <c:v>1.7876272157561552</c:v>
                </c:pt>
                <c:pt idx="4">
                  <c:v>1.7566272157571157</c:v>
                </c:pt>
                <c:pt idx="5">
                  <c:v>1.7166272157562426</c:v>
                </c:pt>
                <c:pt idx="6">
                  <c:v>1.729627215755253</c:v>
                </c:pt>
                <c:pt idx="7">
                  <c:v>1.7306272157554567</c:v>
                </c:pt>
                <c:pt idx="8">
                  <c:v>1.7266272157546418</c:v>
                </c:pt>
                <c:pt idx="9">
                  <c:v>1.7306272157554567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908192"/>
        <c:axId val="312911720"/>
      </c:scatterChart>
      <c:valAx>
        <c:axId val="31290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11720"/>
        <c:crosses val="autoZero"/>
        <c:crossBetween val="midCat"/>
      </c:valAx>
      <c:valAx>
        <c:axId val="312911720"/>
        <c:scaling>
          <c:orientation val="minMax"/>
          <c:max val="2"/>
          <c:min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08192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'111'!$S$20:$S$25</c:f>
              <c:numCache>
                <c:formatCode>General</c:formatCode>
                <c:ptCount val="6"/>
                <c:pt idx="0">
                  <c:v>0.24725000000000003</c:v>
                </c:pt>
                <c:pt idx="1">
                  <c:v>1.0384500000000001</c:v>
                </c:pt>
                <c:pt idx="2">
                  <c:v>2.7197500000000003</c:v>
                </c:pt>
                <c:pt idx="3">
                  <c:v>3.5109500000000002</c:v>
                </c:pt>
                <c:pt idx="4">
                  <c:v>5.1922500000000005</c:v>
                </c:pt>
                <c:pt idx="5">
                  <c:v>7.6647500000000006</c:v>
                </c:pt>
              </c:numCache>
            </c:numRef>
          </c:xVal>
          <c:yVal>
            <c:numRef>
              <c:f>'111'!$P$20:$P$25</c:f>
              <c:numCache>
                <c:formatCode>General</c:formatCode>
                <c:ptCount val="6"/>
                <c:pt idx="0">
                  <c:v>1.8900987842419188</c:v>
                </c:pt>
                <c:pt idx="1">
                  <c:v>2.5460987842409581</c:v>
                </c:pt>
                <c:pt idx="2">
                  <c:v>2.7690987842427335</c:v>
                </c:pt>
                <c:pt idx="3">
                  <c:v>2.8470987842404343</c:v>
                </c:pt>
                <c:pt idx="4">
                  <c:v>2.9770987842414529</c:v>
                </c:pt>
                <c:pt idx="5">
                  <c:v>3.0970987842404343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912112"/>
        <c:axId val="312908976"/>
      </c:scatterChart>
      <c:valAx>
        <c:axId val="31291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08976"/>
        <c:crosses val="autoZero"/>
        <c:crossBetween val="midCat"/>
      </c:valAx>
      <c:valAx>
        <c:axId val="312908976"/>
        <c:scaling>
          <c:orientation val="minMax"/>
          <c:min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1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'111'!$S$9:$S$18</c:f>
              <c:numCache>
                <c:formatCode>General</c:formatCode>
                <c:ptCount val="10"/>
                <c:pt idx="0">
                  <c:v>0.24725000000000003</c:v>
                </c:pt>
                <c:pt idx="1">
                  <c:v>1.0384500000000001</c:v>
                </c:pt>
                <c:pt idx="2">
                  <c:v>1.8791000000000002</c:v>
                </c:pt>
                <c:pt idx="3">
                  <c:v>2.7197500000000003</c:v>
                </c:pt>
                <c:pt idx="4">
                  <c:v>3.5109500000000002</c:v>
                </c:pt>
                <c:pt idx="5">
                  <c:v>4.3516000000000004</c:v>
                </c:pt>
                <c:pt idx="6">
                  <c:v>5.1922500000000005</c:v>
                </c:pt>
                <c:pt idx="7">
                  <c:v>5.9834500000000004</c:v>
                </c:pt>
                <c:pt idx="8">
                  <c:v>6.8240999999999996</c:v>
                </c:pt>
                <c:pt idx="9">
                  <c:v>7.6647500000000006</c:v>
                </c:pt>
              </c:numCache>
            </c:numRef>
          </c:xVal>
          <c:yVal>
            <c:numRef>
              <c:f>'111'!$P$9:$P$18</c:f>
              <c:numCache>
                <c:formatCode>General</c:formatCode>
                <c:ptCount val="10"/>
                <c:pt idx="0">
                  <c:v>1.5926272157564463</c:v>
                </c:pt>
                <c:pt idx="1">
                  <c:v>1.5916272157562426</c:v>
                </c:pt>
                <c:pt idx="2">
                  <c:v>1.7836272157553403</c:v>
                </c:pt>
                <c:pt idx="3">
                  <c:v>1.7876272157561552</c:v>
                </c:pt>
                <c:pt idx="4">
                  <c:v>1.7566272157571157</c:v>
                </c:pt>
                <c:pt idx="5">
                  <c:v>1.7166272157562426</c:v>
                </c:pt>
                <c:pt idx="6">
                  <c:v>1.729627215755253</c:v>
                </c:pt>
                <c:pt idx="7">
                  <c:v>1.7306272157554567</c:v>
                </c:pt>
                <c:pt idx="8">
                  <c:v>1.7266272157546418</c:v>
                </c:pt>
                <c:pt idx="9">
                  <c:v>1.7306272157554567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909368"/>
        <c:axId val="312910936"/>
      </c:scatterChart>
      <c:valAx>
        <c:axId val="312909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Depth from Interface (Å)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2910936"/>
        <c:crosses val="autoZero"/>
        <c:crossBetween val="midCat"/>
      </c:valAx>
      <c:valAx>
        <c:axId val="312910936"/>
        <c:scaling>
          <c:orientation val="minMax"/>
          <c:max val="2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2909368"/>
        <c:crosses val="autoZero"/>
        <c:crossBetween val="midCat"/>
        <c:majorUnit val="0.2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'111'!$S$20:$S$25</c:f>
              <c:numCache>
                <c:formatCode>General</c:formatCode>
                <c:ptCount val="6"/>
                <c:pt idx="0">
                  <c:v>0.24725000000000003</c:v>
                </c:pt>
                <c:pt idx="1">
                  <c:v>1.0384500000000001</c:v>
                </c:pt>
                <c:pt idx="2">
                  <c:v>2.7197500000000003</c:v>
                </c:pt>
                <c:pt idx="3">
                  <c:v>3.5109500000000002</c:v>
                </c:pt>
                <c:pt idx="4">
                  <c:v>5.1922500000000005</c:v>
                </c:pt>
                <c:pt idx="5">
                  <c:v>7.6647500000000006</c:v>
                </c:pt>
              </c:numCache>
            </c:numRef>
          </c:xVal>
          <c:yVal>
            <c:numRef>
              <c:f>'111'!$P$20:$P$25</c:f>
              <c:numCache>
                <c:formatCode>General</c:formatCode>
                <c:ptCount val="6"/>
                <c:pt idx="0">
                  <c:v>1.8900987842419188</c:v>
                </c:pt>
                <c:pt idx="1">
                  <c:v>2.5460987842409581</c:v>
                </c:pt>
                <c:pt idx="2">
                  <c:v>2.7690987842427335</c:v>
                </c:pt>
                <c:pt idx="3">
                  <c:v>2.8470987842404343</c:v>
                </c:pt>
                <c:pt idx="4">
                  <c:v>2.9770987842414529</c:v>
                </c:pt>
                <c:pt idx="5">
                  <c:v>3.0970987842404343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912504"/>
        <c:axId val="292800768"/>
      </c:scatterChart>
      <c:valAx>
        <c:axId val="312912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Depth from Interface (Å)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92800768"/>
        <c:crosses val="autoZero"/>
        <c:crossBetween val="midCat"/>
      </c:valAx>
      <c:valAx>
        <c:axId val="292800768"/>
        <c:scaling>
          <c:orientation val="minMax"/>
          <c:max val="4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12912504"/>
        <c:crosses val="autoZero"/>
        <c:crossBetween val="midCat"/>
        <c:majorUnit val="0.5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122465</xdr:colOff>
      <xdr:row>12</xdr:row>
      <xdr:rowOff>36737</xdr:rowOff>
    </xdr:from>
    <xdr:to>
      <xdr:col>6</xdr:col>
      <xdr:colOff>636815</xdr:colOff>
      <xdr:row>24</xdr:row>
      <xdr:rowOff>36737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312964</xdr:colOff>
      <xdr:row>24</xdr:row>
      <xdr:rowOff>40821</xdr:rowOff>
    </xdr:from>
    <xdr:to>
      <xdr:col>13</xdr:col>
      <xdr:colOff>65314</xdr:colOff>
      <xdr:row>36</xdr:row>
      <xdr:rowOff>40821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122465</xdr:colOff>
      <xdr:row>12</xdr:row>
      <xdr:rowOff>36738</xdr:rowOff>
    </xdr:from>
    <xdr:to>
      <xdr:col>7</xdr:col>
      <xdr:colOff>0</xdr:colOff>
      <xdr:row>22</xdr:row>
      <xdr:rowOff>108857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530679</xdr:colOff>
      <xdr:row>24</xdr:row>
      <xdr:rowOff>40821</xdr:rowOff>
    </xdr:from>
    <xdr:to>
      <xdr:col>6</xdr:col>
      <xdr:colOff>557894</xdr:colOff>
      <xdr:row>34</xdr:row>
      <xdr:rowOff>112940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15</xdr:col>
      <xdr:colOff>541564</xdr:colOff>
      <xdr:row>40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28</xdr:row>
      <xdr:rowOff>0</xdr:rowOff>
    </xdr:from>
    <xdr:to>
      <xdr:col>21</xdr:col>
      <xdr:colOff>595992</xdr:colOff>
      <xdr:row>40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B1" zoomScale="70" zoomScaleNormal="70" workbookViewId="0">
      <selection activeCell="R22" sqref="R22"/>
    </sheetView>
  </sheetViews>
  <sheetFormatPr defaultRowHeight="15" x14ac:dyDescent="0.25"/>
  <cols>
    <col min="6" max="6" width="10.42578125" customWidth="1"/>
    <col min="7" max="7" width="10.28515625" customWidth="1"/>
    <col min="10" max="10" width="11.85546875" customWidth="1"/>
    <col min="11" max="11" width="10" customWidth="1"/>
  </cols>
  <sheetData>
    <row r="2" spans="1:19" x14ac:dyDescent="0.25">
      <c r="A2" t="s">
        <v>0</v>
      </c>
      <c r="D2" t="s">
        <v>21</v>
      </c>
    </row>
    <row r="3" spans="1:19" x14ac:dyDescent="0.25">
      <c r="A3" t="s">
        <v>1</v>
      </c>
    </row>
    <row r="4" spans="1:19" x14ac:dyDescent="0.25">
      <c r="B4" t="s">
        <v>6</v>
      </c>
      <c r="C4" t="s">
        <v>7</v>
      </c>
      <c r="D4" t="s">
        <v>8</v>
      </c>
      <c r="E4" t="s">
        <v>9</v>
      </c>
      <c r="F4" t="s">
        <v>10</v>
      </c>
      <c r="K4" t="s">
        <v>10</v>
      </c>
      <c r="L4" t="s">
        <v>8</v>
      </c>
      <c r="M4" t="s">
        <v>12</v>
      </c>
      <c r="N4" t="s">
        <v>15</v>
      </c>
    </row>
    <row r="5" spans="1:19" x14ac:dyDescent="0.25">
      <c r="A5" t="s">
        <v>3</v>
      </c>
      <c r="B5">
        <v>0</v>
      </c>
      <c r="C5">
        <v>-8244.8712527099997</v>
      </c>
      <c r="D5">
        <f>C5/2000</f>
        <v>-4.1224356263550002</v>
      </c>
      <c r="E5">
        <v>23269.753000000001</v>
      </c>
      <c r="F5">
        <f>(E5^(1/3))/10</f>
        <v>2.8549417903874623</v>
      </c>
      <c r="I5" t="s">
        <v>2</v>
      </c>
      <c r="J5">
        <v>-66286.718913000004</v>
      </c>
      <c r="K5">
        <v>2.85494</v>
      </c>
      <c r="L5">
        <f>J5/15360</f>
        <v>-4.3155415958984378</v>
      </c>
      <c r="M5">
        <f>J5-D5*7680-D10*7680</f>
        <v>-7.6551585935958428</v>
      </c>
      <c r="N5">
        <f>M5/15360</f>
        <v>-4.9838272093722931E-4</v>
      </c>
    </row>
    <row r="6" spans="1:19" x14ac:dyDescent="0.25">
      <c r="A6" t="s">
        <v>3</v>
      </c>
      <c r="B6">
        <v>0</v>
      </c>
      <c r="C6">
        <v>-8242.9732139700009</v>
      </c>
      <c r="D6">
        <f>C6/2000</f>
        <v>-4.121486606985</v>
      </c>
      <c r="F6">
        <f>(F5+F9)/2</f>
        <v>2.8434644630031412</v>
      </c>
      <c r="G6" t="s">
        <v>14</v>
      </c>
      <c r="I6" t="s">
        <v>17</v>
      </c>
      <c r="J6">
        <v>-8290.2044499099993</v>
      </c>
      <c r="K6">
        <v>2.85494</v>
      </c>
      <c r="L6">
        <f>J6/1920</f>
        <v>-4.3178148176614579</v>
      </c>
      <c r="M6">
        <f>J6-$D$5*960-$D$10*960</f>
        <v>-5.3214806091982609</v>
      </c>
      <c r="N6">
        <f>M6/1920</f>
        <v>-2.7716044839574275E-3</v>
      </c>
    </row>
    <row r="7" spans="1:19" x14ac:dyDescent="0.25">
      <c r="A7" t="s">
        <v>4</v>
      </c>
      <c r="B7">
        <v>0</v>
      </c>
      <c r="C7">
        <v>-17799.9996637</v>
      </c>
      <c r="D7">
        <f>C7/4000</f>
        <v>-4.4499999159249999</v>
      </c>
      <c r="E7">
        <v>43618.855000000003</v>
      </c>
      <c r="F7">
        <f>(E7^(1/3))/10</f>
        <v>3.5201250117017246</v>
      </c>
    </row>
    <row r="8" spans="1:19" x14ac:dyDescent="0.25">
      <c r="A8" t="s">
        <v>5</v>
      </c>
      <c r="B8">
        <v>0</v>
      </c>
      <c r="C8">
        <v>-13439.999951399999</v>
      </c>
      <c r="D8">
        <f>C8/4000</f>
        <v>-3.3599999878499998</v>
      </c>
      <c r="E8">
        <v>66430.125</v>
      </c>
      <c r="F8">
        <f>(E8^(1/3))/10</f>
        <v>4.0499999999999989</v>
      </c>
      <c r="O8" t="s">
        <v>18</v>
      </c>
      <c r="P8" t="s">
        <v>19</v>
      </c>
      <c r="Q8" t="s">
        <v>20</v>
      </c>
    </row>
    <row r="9" spans="1:19" x14ac:dyDescent="0.25">
      <c r="A9" t="s">
        <v>11</v>
      </c>
      <c r="B9">
        <v>0</v>
      </c>
      <c r="C9">
        <v>-4619.1319000000003</v>
      </c>
      <c r="D9">
        <f>C9/1024</f>
        <v>-4.5108709960937503</v>
      </c>
      <c r="E9">
        <v>11629.038</v>
      </c>
      <c r="F9">
        <f>(E9^(1/3))/8</f>
        <v>2.83198713561882</v>
      </c>
      <c r="G9">
        <f>(C9-512*D$7-512*D$8)/1024</f>
        <v>-0.60587104420625049</v>
      </c>
      <c r="I9" t="s">
        <v>16</v>
      </c>
      <c r="J9">
        <v>-8284.5234</v>
      </c>
      <c r="K9">
        <v>2.85494</v>
      </c>
      <c r="L9">
        <f t="shared" ref="L9:L14" si="0">J9/1919</f>
        <v>-4.3171044293903078</v>
      </c>
      <c r="M9">
        <f t="shared" ref="M9:M14" si="1">J9-$D$5*959-$D$10*960</f>
        <v>-3.7628663255545689</v>
      </c>
      <c r="O9">
        <f>J9-1919*L$6</f>
        <v>1.3632350923380727</v>
      </c>
      <c r="P9">
        <f>M9-1919*N$6</f>
        <v>1.5558426791597348</v>
      </c>
      <c r="Q9">
        <v>-0.2</v>
      </c>
      <c r="R9">
        <f>Q9*4.03774</f>
        <v>-0.80754800000000015</v>
      </c>
      <c r="S9">
        <f>R9*-1</f>
        <v>0.80754800000000015</v>
      </c>
    </row>
    <row r="10" spans="1:19" x14ac:dyDescent="0.25">
      <c r="A10" t="s">
        <v>13</v>
      </c>
      <c r="B10">
        <v>0</v>
      </c>
      <c r="C10">
        <v>-9015.3016000000007</v>
      </c>
      <c r="D10">
        <f>C10/2000</f>
        <v>-4.5076508000000004</v>
      </c>
      <c r="E10">
        <v>23269.708999999999</v>
      </c>
      <c r="F10">
        <v>2.85494</v>
      </c>
      <c r="G10">
        <f>(C10-1000*D$7-1000*D$8)/2000</f>
        <v>-0.60265084811250036</v>
      </c>
      <c r="I10" t="s">
        <v>22</v>
      </c>
      <c r="J10">
        <v>-8284.3498</v>
      </c>
      <c r="K10">
        <v>2.85494</v>
      </c>
      <c r="L10">
        <f t="shared" si="0"/>
        <v>-4.3170139656070869</v>
      </c>
      <c r="M10">
        <f t="shared" si="1"/>
        <v>-3.5892663255544903</v>
      </c>
      <c r="O10">
        <f t="shared" ref="O10:O13" si="2">J10-1919*L$6</f>
        <v>1.5368350923381513</v>
      </c>
      <c r="P10">
        <f t="shared" ref="P10:P13" si="3">M10-1919*N$6</f>
        <v>1.7294426791598134</v>
      </c>
      <c r="Q10">
        <v>-0.7</v>
      </c>
      <c r="R10">
        <f t="shared" ref="R10:R14" si="4">Q10*4.03774</f>
        <v>-2.8264179999999999</v>
      </c>
      <c r="S10">
        <f t="shared" ref="S10:S22" si="5">R10*-1</f>
        <v>2.8264179999999999</v>
      </c>
    </row>
    <row r="11" spans="1:19" x14ac:dyDescent="0.25">
      <c r="A11" t="s">
        <v>11</v>
      </c>
      <c r="B11">
        <v>0</v>
      </c>
      <c r="C11">
        <v>-9020.1113195399994</v>
      </c>
      <c r="D11">
        <f>C11/2000</f>
        <v>-4.5100556597699999</v>
      </c>
      <c r="E11">
        <v>22990.127</v>
      </c>
      <c r="F11">
        <v>2.8434599999999999</v>
      </c>
      <c r="G11">
        <f>(C11-1000*D$7-1000*D$8)/2000</f>
        <v>-0.60505570788249974</v>
      </c>
      <c r="I11" t="s">
        <v>23</v>
      </c>
      <c r="J11">
        <v>-8284.4244999999992</v>
      </c>
      <c r="K11">
        <v>2.85494</v>
      </c>
      <c r="L11">
        <f t="shared" si="0"/>
        <v>-4.3170528921313176</v>
      </c>
      <c r="M11">
        <f t="shared" si="1"/>
        <v>-3.6639663255537016</v>
      </c>
      <c r="O11">
        <f t="shared" si="2"/>
        <v>1.46213509233894</v>
      </c>
      <c r="P11">
        <f t="shared" si="3"/>
        <v>1.6547426791606021</v>
      </c>
      <c r="Q11">
        <v>-1.2</v>
      </c>
      <c r="R11">
        <f t="shared" si="4"/>
        <v>-4.845288</v>
      </c>
      <c r="S11">
        <f t="shared" si="5"/>
        <v>4.845288</v>
      </c>
    </row>
    <row r="12" spans="1:19" x14ac:dyDescent="0.25">
      <c r="I12" t="s">
        <v>24</v>
      </c>
      <c r="J12">
        <v>-8284.4210999999996</v>
      </c>
      <c r="K12">
        <v>2.85494</v>
      </c>
      <c r="L12">
        <f t="shared" si="0"/>
        <v>-4.3170511203751953</v>
      </c>
      <c r="M12">
        <f t="shared" si="1"/>
        <v>-3.6605663255541003</v>
      </c>
      <c r="O12">
        <f t="shared" si="2"/>
        <v>1.4655350923385413</v>
      </c>
      <c r="P12">
        <f t="shared" si="3"/>
        <v>1.6581426791602034</v>
      </c>
      <c r="Q12">
        <v>-1.7</v>
      </c>
      <c r="R12">
        <f t="shared" si="4"/>
        <v>-6.8641580000000006</v>
      </c>
      <c r="S12">
        <f t="shared" si="5"/>
        <v>6.8641580000000006</v>
      </c>
    </row>
    <row r="13" spans="1:19" x14ac:dyDescent="0.25">
      <c r="I13" t="s">
        <v>25</v>
      </c>
      <c r="J13">
        <v>-8284.4197999999997</v>
      </c>
      <c r="K13">
        <v>2.85494</v>
      </c>
      <c r="L13">
        <f t="shared" si="0"/>
        <v>-4.3170504429390304</v>
      </c>
      <c r="M13">
        <f t="shared" si="1"/>
        <v>-3.6592663255541993</v>
      </c>
      <c r="O13">
        <f t="shared" si="2"/>
        <v>1.4668350923384423</v>
      </c>
      <c r="P13">
        <f t="shared" si="3"/>
        <v>1.6594426791601045</v>
      </c>
      <c r="Q13">
        <v>-2.2000000000000002</v>
      </c>
      <c r="R13">
        <f t="shared" si="4"/>
        <v>-8.8830280000000013</v>
      </c>
      <c r="S13">
        <f t="shared" si="5"/>
        <v>8.8830280000000013</v>
      </c>
    </row>
    <row r="14" spans="1:19" x14ac:dyDescent="0.25">
      <c r="I14" t="s">
        <v>26</v>
      </c>
      <c r="J14">
        <v>-8284.4187999999995</v>
      </c>
      <c r="K14">
        <v>2.85494</v>
      </c>
      <c r="L14">
        <f t="shared" si="0"/>
        <v>-4.3170499218342888</v>
      </c>
      <c r="M14">
        <f t="shared" si="1"/>
        <v>-3.6582663255539956</v>
      </c>
      <c r="O14">
        <f>J14-1919*L$6</f>
        <v>1.4678350923386461</v>
      </c>
      <c r="P14">
        <f>M14-1919*N$6</f>
        <v>1.6604426791603082</v>
      </c>
      <c r="Q14">
        <v>-3.2</v>
      </c>
      <c r="R14">
        <f t="shared" si="4"/>
        <v>-12.920768000000002</v>
      </c>
      <c r="S14">
        <f t="shared" si="5"/>
        <v>12.920768000000002</v>
      </c>
    </row>
    <row r="16" spans="1:19" x14ac:dyDescent="0.25">
      <c r="I16" t="s">
        <v>27</v>
      </c>
      <c r="J16">
        <v>-8292.3691999999992</v>
      </c>
      <c r="K16">
        <v>2.85494</v>
      </c>
      <c r="L16">
        <f>J16/1921</f>
        <v>-4.316694013534617</v>
      </c>
      <c r="M16">
        <f>J16-$D$5*961-$D$10*960</f>
        <v>-3.3637950728425494</v>
      </c>
      <c r="O16">
        <f>J16-1921*L$6</f>
        <v>2.1530647276613308</v>
      </c>
      <c r="P16">
        <f>M16-1921*N$6</f>
        <v>1.9604571408396687</v>
      </c>
      <c r="Q16">
        <v>0</v>
      </c>
      <c r="R16">
        <f>Q16*4.03774</f>
        <v>0</v>
      </c>
      <c r="S16">
        <f t="shared" si="5"/>
        <v>0</v>
      </c>
    </row>
    <row r="17" spans="9:19" x14ac:dyDescent="0.25">
      <c r="I17" t="s">
        <v>34</v>
      </c>
      <c r="J17">
        <v>-8292.1265999999996</v>
      </c>
      <c r="K17">
        <v>2.85494</v>
      </c>
      <c r="L17">
        <f>J17/1921</f>
        <v>-4.3165677251431545</v>
      </c>
      <c r="M17">
        <f>J17-$D$5*961-$D$10*960</f>
        <v>-3.1211950728429656</v>
      </c>
      <c r="O17">
        <f>J17-1921*L$6</f>
        <v>2.3956647276609147</v>
      </c>
      <c r="P17">
        <f>M17-1921*N$6</f>
        <v>2.2030571408392525</v>
      </c>
      <c r="Q17">
        <v>-0.2</v>
      </c>
      <c r="R17">
        <f t="shared" ref="R17:R21" si="6">Q17*4.03774</f>
        <v>-0.80754800000000015</v>
      </c>
      <c r="S17">
        <f t="shared" si="5"/>
        <v>0.80754800000000015</v>
      </c>
    </row>
    <row r="18" spans="9:19" x14ac:dyDescent="0.25">
      <c r="I18" t="s">
        <v>28</v>
      </c>
      <c r="J18">
        <v>-8291.5449000000008</v>
      </c>
      <c r="K18">
        <v>2.85494</v>
      </c>
      <c r="L18">
        <f>J18/1921</f>
        <v>-4.3162649141072365</v>
      </c>
      <c r="M18">
        <f>J18-$D$5*961-$D$10*960</f>
        <v>-2.5394950728441472</v>
      </c>
      <c r="O18">
        <f>J18-1921*L$6</f>
        <v>2.977364727659733</v>
      </c>
      <c r="P18">
        <f>M18-1921*N$6</f>
        <v>2.7847571408380709</v>
      </c>
      <c r="Q18">
        <v>-0.7</v>
      </c>
      <c r="R18">
        <f t="shared" si="6"/>
        <v>-2.8264179999999999</v>
      </c>
      <c r="S18">
        <f t="shared" si="5"/>
        <v>2.8264179999999999</v>
      </c>
    </row>
    <row r="19" spans="9:19" x14ac:dyDescent="0.25">
      <c r="I19" t="s">
        <v>29</v>
      </c>
      <c r="J19">
        <v>-8291.2978999999996</v>
      </c>
      <c r="K19">
        <v>2.85494</v>
      </c>
      <c r="L19">
        <f t="shared" ref="L19:L20" si="7">J19/1921</f>
        <v>-4.316136335242061</v>
      </c>
      <c r="M19">
        <f t="shared" ref="M19:M20" si="8">J19-$D$5*961-$D$10*960</f>
        <v>-2.2924950728429394</v>
      </c>
      <c r="O19">
        <f t="shared" ref="O19:O20" si="9">J19-1921*L$6</f>
        <v>3.2243647276609408</v>
      </c>
      <c r="P19">
        <f t="shared" ref="P19:P20" si="10">M19-1921*N$6</f>
        <v>3.0317571408392787</v>
      </c>
      <c r="Q19">
        <v>-1.2</v>
      </c>
      <c r="R19">
        <f t="shared" si="6"/>
        <v>-4.845288</v>
      </c>
      <c r="S19">
        <f t="shared" si="5"/>
        <v>4.845288</v>
      </c>
    </row>
    <row r="20" spans="9:19" x14ac:dyDescent="0.25">
      <c r="I20" t="s">
        <v>30</v>
      </c>
      <c r="J20">
        <v>-8291.2106999999996</v>
      </c>
      <c r="K20">
        <v>2.85494</v>
      </c>
      <c r="L20">
        <f t="shared" si="7"/>
        <v>-4.3160909422175946</v>
      </c>
      <c r="M20">
        <f t="shared" si="8"/>
        <v>-2.2052950728430005</v>
      </c>
      <c r="O20">
        <f t="shared" si="9"/>
        <v>3.3115647276608797</v>
      </c>
      <c r="P20">
        <f t="shared" si="10"/>
        <v>3.1189571408392176</v>
      </c>
      <c r="Q20">
        <v>-1.7</v>
      </c>
      <c r="R20">
        <f t="shared" si="6"/>
        <v>-6.8641580000000006</v>
      </c>
      <c r="S20">
        <f t="shared" si="5"/>
        <v>6.8641580000000006</v>
      </c>
    </row>
    <row r="21" spans="9:19" x14ac:dyDescent="0.25">
      <c r="I21" t="s">
        <v>31</v>
      </c>
      <c r="J21">
        <v>-8291.1941000000006</v>
      </c>
      <c r="K21">
        <v>2.85494</v>
      </c>
      <c r="L21">
        <f t="shared" ref="L21" si="11">J21/1921</f>
        <v>-4.3160823008849558</v>
      </c>
      <c r="M21">
        <f t="shared" ref="M21" si="12">J21-$D$5*961-$D$10*960</f>
        <v>-2.1886950728439842</v>
      </c>
      <c r="O21">
        <f t="shared" ref="O21" si="13">J21-1921*L$6</f>
        <v>3.328164727659896</v>
      </c>
      <c r="P21">
        <f t="shared" ref="P21" si="14">M21-1921*N$6</f>
        <v>3.1355571408382339</v>
      </c>
      <c r="Q21">
        <v>-2.2000000000000002</v>
      </c>
      <c r="R21">
        <f t="shared" si="6"/>
        <v>-8.8830280000000013</v>
      </c>
      <c r="S21">
        <f t="shared" si="5"/>
        <v>8.8830280000000013</v>
      </c>
    </row>
    <row r="22" spans="9:19" x14ac:dyDescent="0.25">
      <c r="I22" t="s">
        <v>32</v>
      </c>
      <c r="J22">
        <v>-8291.1924999999992</v>
      </c>
      <c r="K22">
        <v>2.85494</v>
      </c>
      <c r="L22">
        <f t="shared" ref="L22" si="15">J22/1921</f>
        <v>-4.3160814679854242</v>
      </c>
      <c r="M22">
        <f t="shared" ref="M22" si="16">J22-$D$5*961-$D$10*960</f>
        <v>-2.1870950728425669</v>
      </c>
      <c r="O22">
        <f t="shared" ref="O22" si="17">J22-1921*L$6</f>
        <v>3.3297647276613134</v>
      </c>
      <c r="P22">
        <f t="shared" ref="P22" si="18">M22-1921*N$6</f>
        <v>3.1371571408396512</v>
      </c>
      <c r="Q22">
        <v>-3.2</v>
      </c>
      <c r="R22">
        <f>Q22*4.03774</f>
        <v>-12.920768000000002</v>
      </c>
      <c r="S22">
        <f t="shared" si="5"/>
        <v>12.920768000000002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7"/>
  <sheetViews>
    <sheetView tabSelected="1" topLeftCell="E13" zoomScale="70" zoomScaleNormal="70" workbookViewId="0">
      <selection activeCell="R23" sqref="R23"/>
    </sheetView>
  </sheetViews>
  <sheetFormatPr defaultRowHeight="15" x14ac:dyDescent="0.25"/>
  <cols>
    <col min="2" max="2" width="12.42578125" customWidth="1"/>
    <col min="3" max="3" width="11.42578125" customWidth="1"/>
    <col min="4" max="4" width="11.7109375" customWidth="1"/>
    <col min="6" max="6" width="10.42578125" customWidth="1"/>
    <col min="7" max="7" width="10.28515625" customWidth="1"/>
    <col min="10" max="10" width="11.85546875" customWidth="1"/>
    <col min="11" max="11" width="10" customWidth="1"/>
  </cols>
  <sheetData>
    <row r="2" spans="1:19" x14ac:dyDescent="0.25">
      <c r="A2" t="s">
        <v>33</v>
      </c>
      <c r="D2" t="s">
        <v>21</v>
      </c>
    </row>
    <row r="3" spans="1:19" x14ac:dyDescent="0.25">
      <c r="A3" t="s">
        <v>1</v>
      </c>
    </row>
    <row r="4" spans="1:19" x14ac:dyDescent="0.25">
      <c r="B4" t="s">
        <v>6</v>
      </c>
      <c r="C4" t="s">
        <v>7</v>
      </c>
      <c r="D4" t="s">
        <v>8</v>
      </c>
      <c r="E4" t="s">
        <v>9</v>
      </c>
      <c r="F4" t="s">
        <v>10</v>
      </c>
      <c r="K4" t="s">
        <v>10</v>
      </c>
      <c r="L4" t="s">
        <v>8</v>
      </c>
      <c r="M4" t="s">
        <v>12</v>
      </c>
      <c r="N4" t="s">
        <v>15</v>
      </c>
    </row>
    <row r="5" spans="1:19" x14ac:dyDescent="0.25">
      <c r="A5" t="s">
        <v>3</v>
      </c>
      <c r="B5">
        <v>0</v>
      </c>
      <c r="C5">
        <v>-8244.8712527099997</v>
      </c>
      <c r="D5">
        <f>C5/2000</f>
        <v>-4.1224356263550002</v>
      </c>
      <c r="E5">
        <v>23269.753000000001</v>
      </c>
      <c r="F5">
        <f>(E5^(1/3))/10</f>
        <v>2.8549417903874623</v>
      </c>
      <c r="I5" t="s">
        <v>2</v>
      </c>
      <c r="J5">
        <v>-152258.30290400001</v>
      </c>
      <c r="K5">
        <v>2.85494</v>
      </c>
      <c r="L5">
        <f>J5/35280</f>
        <v>-4.3157115335600906</v>
      </c>
      <c r="M5">
        <f>J5-D5*17640-D10*17640</f>
        <v>-23.578343097804463</v>
      </c>
      <c r="N5">
        <f>M5/35280</f>
        <v>-6.6832038259082949E-4</v>
      </c>
    </row>
    <row r="6" spans="1:19" x14ac:dyDescent="0.25">
      <c r="A6" t="s">
        <v>3</v>
      </c>
      <c r="B6">
        <v>0</v>
      </c>
      <c r="C6">
        <v>-8242.9732139700009</v>
      </c>
      <c r="D6">
        <f>C6/2000</f>
        <v>-4.121486606985</v>
      </c>
      <c r="F6">
        <f>(F5+F9)/2</f>
        <v>2.8434644630031412</v>
      </c>
      <c r="G6" t="s">
        <v>14</v>
      </c>
      <c r="I6" t="s">
        <v>17</v>
      </c>
      <c r="J6">
        <v>-18642.283362999999</v>
      </c>
      <c r="K6">
        <v>2.85494</v>
      </c>
      <c r="L6">
        <f>J6/4320</f>
        <v>-4.3153433710648148</v>
      </c>
      <c r="M6">
        <f>J6-$D$5*2160-$D$10*2160</f>
        <v>-1.2966820731980988</v>
      </c>
      <c r="N6">
        <f>M6/4320</f>
        <v>-3.0015788731437471E-4</v>
      </c>
    </row>
    <row r="7" spans="1:19" x14ac:dyDescent="0.25">
      <c r="A7" t="s">
        <v>4</v>
      </c>
      <c r="B7">
        <v>0</v>
      </c>
      <c r="C7">
        <v>-17799.9996637</v>
      </c>
      <c r="D7">
        <f>C7/4000</f>
        <v>-4.4499999159249999</v>
      </c>
      <c r="E7">
        <v>43618.855000000003</v>
      </c>
      <c r="F7">
        <f>(E7^(1/3))/10</f>
        <v>3.5201250117017246</v>
      </c>
    </row>
    <row r="8" spans="1:19" x14ac:dyDescent="0.25">
      <c r="A8" t="s">
        <v>5</v>
      </c>
      <c r="B8">
        <v>0</v>
      </c>
      <c r="C8">
        <v>-13439.999951399999</v>
      </c>
      <c r="D8">
        <f>C8/4000</f>
        <v>-3.3599999878499998</v>
      </c>
      <c r="E8">
        <v>66430.125</v>
      </c>
      <c r="F8">
        <f>(E8^(1/3))/10</f>
        <v>4.0499999999999989</v>
      </c>
      <c r="O8" t="s">
        <v>18</v>
      </c>
      <c r="P8" t="s">
        <v>19</v>
      </c>
      <c r="Q8" t="s">
        <v>20</v>
      </c>
    </row>
    <row r="9" spans="1:19" x14ac:dyDescent="0.25">
      <c r="A9" t="s">
        <v>11</v>
      </c>
      <c r="B9">
        <v>0</v>
      </c>
      <c r="C9">
        <v>-4619.1319000000003</v>
      </c>
      <c r="D9">
        <f>C9/1024</f>
        <v>-4.5108709960937503</v>
      </c>
      <c r="E9">
        <v>11629.038</v>
      </c>
      <c r="F9">
        <f>(E9^(1/3))/8</f>
        <v>2.83198713561882</v>
      </c>
      <c r="G9">
        <f>(C9-512*D$7-512*D$8)/1024</f>
        <v>-0.60587104420625049</v>
      </c>
      <c r="I9" t="s">
        <v>16</v>
      </c>
      <c r="J9">
        <v>-18636.567999999999</v>
      </c>
      <c r="K9">
        <v>2.85494</v>
      </c>
      <c r="L9">
        <f>J9/4319</f>
        <v>-4.3150192174114377</v>
      </c>
      <c r="M9">
        <f>J9-$D$5*2159-$D$10*2160</f>
        <v>0.296245300445662</v>
      </c>
      <c r="O9">
        <f>J9-4319*L$6</f>
        <v>1.4000196289343876</v>
      </c>
      <c r="P9">
        <f>M9-4319*N$6</f>
        <v>1.5926272157564463</v>
      </c>
      <c r="Q9">
        <v>-0.05</v>
      </c>
      <c r="R9">
        <f>Q9*4.945</f>
        <v>-0.24725000000000003</v>
      </c>
      <c r="S9">
        <f>R9*-1</f>
        <v>0.24725000000000003</v>
      </c>
    </row>
    <row r="10" spans="1:19" x14ac:dyDescent="0.25">
      <c r="A10" t="s">
        <v>13</v>
      </c>
      <c r="B10">
        <v>0</v>
      </c>
      <c r="C10">
        <v>-9015.3016000000007</v>
      </c>
      <c r="D10">
        <f>C10/2000</f>
        <v>-4.5076508000000004</v>
      </c>
      <c r="E10">
        <v>23269.708999999999</v>
      </c>
      <c r="F10">
        <v>2.85494</v>
      </c>
      <c r="G10">
        <f>(C10-1000*D$7-1000*D$8)/2000</f>
        <v>-0.60265084811250036</v>
      </c>
      <c r="I10" t="s">
        <v>25</v>
      </c>
      <c r="J10">
        <v>-18636.569</v>
      </c>
      <c r="K10">
        <v>2.85494</v>
      </c>
      <c r="L10">
        <f>J10/4319</f>
        <v>-4.315019448946515</v>
      </c>
      <c r="M10">
        <f>J10-$D$5*2159-$D$10*2160</f>
        <v>0.29524530044545827</v>
      </c>
      <c r="O10">
        <f>J10-4319*L$6</f>
        <v>1.3990196289341839</v>
      </c>
      <c r="P10">
        <f>M10-4319*N$6</f>
        <v>1.5916272157562426</v>
      </c>
      <c r="Q10">
        <v>-0.21</v>
      </c>
      <c r="R10">
        <f>Q10*4.945</f>
        <v>-1.0384500000000001</v>
      </c>
      <c r="S10">
        <f>R10*-1</f>
        <v>1.0384500000000001</v>
      </c>
    </row>
    <row r="11" spans="1:19" x14ac:dyDescent="0.25">
      <c r="A11" t="s">
        <v>11</v>
      </c>
      <c r="B11">
        <v>0</v>
      </c>
      <c r="C11">
        <v>-9020.1113195399994</v>
      </c>
      <c r="D11">
        <f>C11/2000</f>
        <v>-4.5100556597699999</v>
      </c>
      <c r="E11">
        <v>22990.127</v>
      </c>
      <c r="F11">
        <v>2.8434599999999999</v>
      </c>
      <c r="G11">
        <f>(C11-1000*D$7-1000*D$8)/2000</f>
        <v>-0.60505570788249974</v>
      </c>
      <c r="I11" t="s">
        <v>36</v>
      </c>
      <c r="J11">
        <v>-18636.377</v>
      </c>
      <c r="K11">
        <v>2.85494</v>
      </c>
      <c r="L11">
        <f>J11/4319</f>
        <v>-4.3149749942116236</v>
      </c>
      <c r="M11">
        <f>J11-$D$5*2159-$D$10*2160</f>
        <v>0.48724530044455605</v>
      </c>
      <c r="O11">
        <f>J11-4319*L$6</f>
        <v>1.5910196289332816</v>
      </c>
      <c r="P11">
        <f>M11-4319*N$6</f>
        <v>1.7836272157553403</v>
      </c>
      <c r="Q11">
        <v>-0.38</v>
      </c>
      <c r="R11">
        <f>Q11*4.945</f>
        <v>-1.8791000000000002</v>
      </c>
      <c r="S11">
        <f>R11*-1</f>
        <v>1.8791000000000002</v>
      </c>
    </row>
    <row r="12" spans="1:19" x14ac:dyDescent="0.25">
      <c r="I12" t="s">
        <v>22</v>
      </c>
      <c r="J12">
        <v>-18636.373</v>
      </c>
      <c r="K12">
        <v>2.85494</v>
      </c>
      <c r="L12">
        <f>J12/4319</f>
        <v>-4.3149740680713125</v>
      </c>
      <c r="M12">
        <f>J12-$D$5*2159-$D$10*2160</f>
        <v>0.49124530044537096</v>
      </c>
      <c r="O12">
        <f>J12-4319*L$6</f>
        <v>1.5950196289340965</v>
      </c>
      <c r="P12">
        <f>M12-4319*N$6</f>
        <v>1.7876272157561552</v>
      </c>
      <c r="Q12">
        <v>-0.55000000000000004</v>
      </c>
      <c r="R12">
        <f>Q12*4.945</f>
        <v>-2.7197500000000003</v>
      </c>
      <c r="S12">
        <f>R12*-1</f>
        <v>2.7197500000000003</v>
      </c>
    </row>
    <row r="13" spans="1:19" x14ac:dyDescent="0.25">
      <c r="I13" t="s">
        <v>26</v>
      </c>
      <c r="J13">
        <v>-18636.403999999999</v>
      </c>
      <c r="K13">
        <v>2.85494</v>
      </c>
      <c r="L13">
        <f>J13/4319</f>
        <v>-4.3149812456587169</v>
      </c>
      <c r="M13">
        <f>J13-$D$5*2159-$D$10*2160</f>
        <v>0.46024530044633138</v>
      </c>
      <c r="O13">
        <f>J13-4319*L$6</f>
        <v>1.564019628935057</v>
      </c>
      <c r="P13">
        <f>M13-4319*N$6</f>
        <v>1.7566272157571157</v>
      </c>
      <c r="Q13">
        <v>-0.71</v>
      </c>
      <c r="R13">
        <f>Q13*4.945</f>
        <v>-3.5109500000000002</v>
      </c>
      <c r="S13">
        <f>R13*-1</f>
        <v>3.5109500000000002</v>
      </c>
    </row>
    <row r="14" spans="1:19" x14ac:dyDescent="0.25">
      <c r="I14" t="s">
        <v>37</v>
      </c>
      <c r="J14">
        <v>-18636.444</v>
      </c>
      <c r="K14">
        <v>2.85494</v>
      </c>
      <c r="L14">
        <f>J14/4319</f>
        <v>-4.31499050706182</v>
      </c>
      <c r="M14">
        <f>J14-$D$5*2159-$D$10*2160</f>
        <v>0.42024530044545827</v>
      </c>
      <c r="O14">
        <f>J14-4319*L$6</f>
        <v>1.5240196289341839</v>
      </c>
      <c r="P14">
        <f>M14-4319*N$6</f>
        <v>1.7166272157562426</v>
      </c>
      <c r="Q14">
        <v>-0.88</v>
      </c>
      <c r="R14">
        <f>Q14*4.945</f>
        <v>-4.3516000000000004</v>
      </c>
      <c r="S14">
        <f>R14*-1</f>
        <v>4.3516000000000004</v>
      </c>
    </row>
    <row r="15" spans="1:19" x14ac:dyDescent="0.25">
      <c r="I15" t="s">
        <v>23</v>
      </c>
      <c r="J15">
        <v>-18636.431</v>
      </c>
      <c r="K15">
        <v>2.85494</v>
      </c>
      <c r="L15">
        <f>J15/4319</f>
        <v>-4.314987497105812</v>
      </c>
      <c r="M15">
        <f>J15-$D$5*2159-$D$10*2160</f>
        <v>0.43324530044446874</v>
      </c>
      <c r="O15">
        <f>J15-4319*L$6</f>
        <v>1.5370196289331943</v>
      </c>
      <c r="P15">
        <f>M15-4319*N$6</f>
        <v>1.729627215755253</v>
      </c>
      <c r="Q15">
        <v>-1.05</v>
      </c>
      <c r="R15">
        <f>Q15*4.945</f>
        <v>-5.1922500000000005</v>
      </c>
      <c r="S15">
        <f>R15*-1</f>
        <v>5.1922500000000005</v>
      </c>
    </row>
    <row r="16" spans="1:19" x14ac:dyDescent="0.25">
      <c r="I16" t="s">
        <v>35</v>
      </c>
      <c r="J16">
        <v>-18636.43</v>
      </c>
      <c r="K16">
        <v>2.85494</v>
      </c>
      <c r="L16">
        <f>J16/4319</f>
        <v>-4.3149872655707338</v>
      </c>
      <c r="M16">
        <f>J16-$D$5*2159-$D$10*2160</f>
        <v>0.43424530044467247</v>
      </c>
      <c r="O16">
        <f>J16-4319*L$6</f>
        <v>1.5380196289333981</v>
      </c>
      <c r="P16">
        <f>M16-4319*N$6</f>
        <v>1.7306272157554567</v>
      </c>
      <c r="Q16">
        <v>-1.21</v>
      </c>
      <c r="R16">
        <f>Q16*4.945</f>
        <v>-5.9834500000000004</v>
      </c>
      <c r="S16">
        <f>R16*-1</f>
        <v>5.9834500000000004</v>
      </c>
    </row>
    <row r="17" spans="2:19" x14ac:dyDescent="0.25">
      <c r="I17" t="s">
        <v>38</v>
      </c>
      <c r="J17">
        <v>-18636.434000000001</v>
      </c>
      <c r="K17">
        <v>2.85494</v>
      </c>
      <c r="L17">
        <f>J17/4319</f>
        <v>-4.3149881917110449</v>
      </c>
      <c r="M17">
        <f>J17-$D$5*2159-$D$10*2160</f>
        <v>0.43024530044385756</v>
      </c>
      <c r="O17">
        <f>J17-4319*L$6</f>
        <v>1.5340196289325831</v>
      </c>
      <c r="P17">
        <f>M17-4319*N$6</f>
        <v>1.7266272157546418</v>
      </c>
      <c r="Q17">
        <v>-1.38</v>
      </c>
      <c r="R17">
        <f>Q17*4.945</f>
        <v>-6.8240999999999996</v>
      </c>
      <c r="S17">
        <f>R17*-1</f>
        <v>6.8240999999999996</v>
      </c>
    </row>
    <row r="18" spans="2:19" x14ac:dyDescent="0.25">
      <c r="I18" t="s">
        <v>24</v>
      </c>
      <c r="J18">
        <v>-18636.43</v>
      </c>
      <c r="K18">
        <v>2.85494</v>
      </c>
      <c r="L18">
        <f>J18/4319</f>
        <v>-4.3149872655707338</v>
      </c>
      <c r="M18">
        <f>J18-$D$5*2159-$D$10*2160</f>
        <v>0.43424530044467247</v>
      </c>
      <c r="O18">
        <f>J18-4319*L$6</f>
        <v>1.5380196289333981</v>
      </c>
      <c r="P18">
        <f>M18-4319*N$6</f>
        <v>1.7306272157554567</v>
      </c>
      <c r="Q18">
        <v>-1.55</v>
      </c>
      <c r="R18">
        <f>Q18*4.945</f>
        <v>-7.6647500000000006</v>
      </c>
      <c r="S18">
        <f>R18*-1</f>
        <v>7.6647500000000006</v>
      </c>
    </row>
    <row r="20" spans="2:19" x14ac:dyDescent="0.25">
      <c r="I20" t="s">
        <v>27</v>
      </c>
      <c r="J20">
        <v>-18644.516</v>
      </c>
      <c r="K20">
        <v>2.85494</v>
      </c>
      <c r="L20">
        <f>J20/4321</f>
        <v>-4.3148613746817865</v>
      </c>
      <c r="M20">
        <f>J20-$D$5*2161-$D$10*2160</f>
        <v>0.59311655315650569</v>
      </c>
      <c r="O20">
        <f>J20-4321*L$6</f>
        <v>2.0827063710639777</v>
      </c>
      <c r="P20">
        <f>M20-4321*N$6</f>
        <v>1.8900987842419188</v>
      </c>
      <c r="Q20">
        <v>-0.05</v>
      </c>
      <c r="R20">
        <f>Q20*4.945</f>
        <v>-0.24725000000000003</v>
      </c>
      <c r="S20">
        <f>R20*-1</f>
        <v>0.24725000000000003</v>
      </c>
    </row>
    <row r="21" spans="2:19" x14ac:dyDescent="0.25">
      <c r="I21" t="s">
        <v>31</v>
      </c>
      <c r="J21">
        <v>-18643.86</v>
      </c>
      <c r="K21">
        <v>2.85494</v>
      </c>
      <c r="L21">
        <f>J21/4321</f>
        <v>-4.3147095579726917</v>
      </c>
      <c r="M21">
        <f>J21-$D$5*2161-$D$10*2160</f>
        <v>1.2491165531555453</v>
      </c>
      <c r="O21">
        <f>J21-4321*L$6</f>
        <v>2.7387063710630173</v>
      </c>
      <c r="P21">
        <f>M21-4321*N$6</f>
        <v>2.5460987842409581</v>
      </c>
      <c r="Q21">
        <v>-0.21</v>
      </c>
      <c r="R21">
        <f>Q21*4.945</f>
        <v>-1.0384500000000001</v>
      </c>
      <c r="S21">
        <f>R21*-1</f>
        <v>1.0384500000000001</v>
      </c>
    </row>
    <row r="22" spans="2:19" x14ac:dyDescent="0.25">
      <c r="I22" t="s">
        <v>28</v>
      </c>
      <c r="J22">
        <v>-18643.636999999999</v>
      </c>
      <c r="K22">
        <v>2.85494</v>
      </c>
      <c r="L22">
        <f>J22/4321</f>
        <v>-4.3146579495487156</v>
      </c>
      <c r="M22">
        <f>J22-$D$5*2161-$D$10*2160</f>
        <v>1.4721165531573206</v>
      </c>
      <c r="O22">
        <f>J22-4321*L$6</f>
        <v>2.9617063710647926</v>
      </c>
      <c r="P22">
        <f>M22-4321*N$6</f>
        <v>2.7690987842427335</v>
      </c>
      <c r="Q22">
        <v>-0.55000000000000004</v>
      </c>
      <c r="R22">
        <f>Q22*4.945</f>
        <v>-2.7197500000000003</v>
      </c>
      <c r="S22">
        <f>R22*-1</f>
        <v>2.7197500000000003</v>
      </c>
    </row>
    <row r="23" spans="2:19" x14ac:dyDescent="0.25">
      <c r="I23" t="s">
        <v>32</v>
      </c>
      <c r="J23">
        <v>-18643.559000000001</v>
      </c>
      <c r="K23">
        <v>2.85494</v>
      </c>
      <c r="L23">
        <f>J23/4321</f>
        <v>-4.3146398981717198</v>
      </c>
      <c r="M23">
        <f>J23-$D$5*2161-$D$10*2160</f>
        <v>1.5501165531550214</v>
      </c>
      <c r="O23">
        <f>J23-4321*L$6</f>
        <v>3.0397063710624934</v>
      </c>
      <c r="P23">
        <f>M23-4321*N$6</f>
        <v>2.8470987842404343</v>
      </c>
      <c r="Q23">
        <v>-0.71</v>
      </c>
      <c r="R23">
        <f>Q23*4.945</f>
        <v>-3.5109500000000002</v>
      </c>
      <c r="S23">
        <f>R23*-1</f>
        <v>3.5109500000000002</v>
      </c>
    </row>
    <row r="24" spans="2:19" x14ac:dyDescent="0.25">
      <c r="I24" t="s">
        <v>29</v>
      </c>
      <c r="J24">
        <v>-18643.429</v>
      </c>
      <c r="K24">
        <v>2.85494</v>
      </c>
      <c r="L24">
        <f>J24/4321</f>
        <v>-4.3146098125433925</v>
      </c>
      <c r="M24">
        <f>J24-$D$5*2161-$D$10*2160</f>
        <v>1.68011655315604</v>
      </c>
      <c r="O24">
        <f>J24-4321*L$6</f>
        <v>3.1697063710635121</v>
      </c>
      <c r="P24">
        <f>M24-4321*N$6</f>
        <v>2.9770987842414529</v>
      </c>
      <c r="Q24">
        <v>-1.05</v>
      </c>
      <c r="R24">
        <f>Q24*4.945</f>
        <v>-5.1922500000000005</v>
      </c>
      <c r="S24">
        <f>R24*-1</f>
        <v>5.1922500000000005</v>
      </c>
    </row>
    <row r="25" spans="2:19" x14ac:dyDescent="0.25">
      <c r="I25" t="s">
        <v>30</v>
      </c>
      <c r="J25">
        <v>-18643.309000000001</v>
      </c>
      <c r="K25">
        <v>2.85494</v>
      </c>
      <c r="L25">
        <f>J25/4321</f>
        <v>-4.3145820411941687</v>
      </c>
      <c r="M25">
        <f>J25-$D$5*2161-$D$10*2160</f>
        <v>1.8001165531550214</v>
      </c>
      <c r="O25">
        <f>J25-4321*L$6</f>
        <v>3.2897063710624934</v>
      </c>
      <c r="P25">
        <f>M25-4321*N$6</f>
        <v>3.0970987842404343</v>
      </c>
      <c r="Q25">
        <v>-1.55</v>
      </c>
      <c r="R25">
        <f>Q25*4.945</f>
        <v>-7.6647500000000006</v>
      </c>
      <c r="S25">
        <f>R25*-1</f>
        <v>7.6647500000000006</v>
      </c>
    </row>
    <row r="26" spans="2:19" x14ac:dyDescent="0.25">
      <c r="B26" s="1"/>
      <c r="C26" s="1"/>
      <c r="D26" s="1"/>
    </row>
    <row r="27" spans="2:19" x14ac:dyDescent="0.25">
      <c r="B27" s="1"/>
      <c r="C27" s="1"/>
      <c r="D27" s="1"/>
    </row>
  </sheetData>
  <sortState ref="I20:S25">
    <sortCondition descending="1" ref="R20:R2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</vt:lpstr>
      <vt:lpstr>111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2015-07-13T19:20:09Z</dcterms:created>
  <dcterms:modified xsi:type="dcterms:W3CDTF">2015-09-21T22:50:17Z</dcterms:modified>
</cp:coreProperties>
</file>