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1400" yWindow="620" windowWidth="25760" windowHeight="19520" tabRatio="790" activeTab="5"/>
  </bookViews>
  <sheets>
    <sheet name="15k" sheetId="1" r:id="rId1"/>
    <sheet name="10K gjf" sheetId="2" r:id="rId2"/>
    <sheet name="7.5K gjf" sheetId="3" r:id="rId3"/>
    <sheet name="10Kgjf rand1" sheetId="5" r:id="rId4"/>
    <sheet name="7.5K gjf rand1" sheetId="4" r:id="rId5"/>
    <sheet name="5k gjf rand1" sheetId="7" r:id="rId6"/>
    <sheet name="2.5k gjf rand1" sheetId="6" r:id="rId7"/>
    <sheet name="1.25k gjf rand1" sheetId="8" r:id="rId8"/>
    <sheet name="15kgjf rand1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5" i="9" l="1"/>
  <c r="D36" i="9"/>
  <c r="J35" i="9"/>
  <c r="J36" i="9"/>
  <c r="E114" i="4"/>
  <c r="E119" i="4"/>
  <c r="D115" i="4"/>
  <c r="D120" i="4"/>
  <c r="E115" i="4"/>
  <c r="E120" i="4"/>
  <c r="F115" i="4"/>
  <c r="F120" i="4"/>
  <c r="G115" i="4"/>
  <c r="G120" i="4"/>
  <c r="H115" i="4"/>
  <c r="H120" i="4"/>
  <c r="I115" i="4"/>
  <c r="I120" i="4"/>
  <c r="J115" i="4"/>
  <c r="J120" i="4"/>
  <c r="K115" i="4"/>
  <c r="K120" i="4"/>
  <c r="M115" i="4"/>
  <c r="M120" i="4"/>
  <c r="N115" i="4"/>
  <c r="N120" i="4"/>
  <c r="O115" i="4"/>
  <c r="O120" i="4"/>
  <c r="P115" i="4"/>
  <c r="P120" i="4"/>
  <c r="L115" i="4"/>
  <c r="L120" i="4"/>
  <c r="P35" i="5"/>
  <c r="P36" i="5"/>
  <c r="P35" i="9"/>
  <c r="P36" i="9"/>
  <c r="O36" i="9"/>
  <c r="N36" i="9"/>
  <c r="M36" i="9"/>
  <c r="L36" i="9"/>
  <c r="K36" i="9"/>
  <c r="I36" i="9"/>
  <c r="H36" i="9"/>
  <c r="G36" i="9"/>
  <c r="F36" i="9"/>
  <c r="E36" i="9"/>
  <c r="C36" i="9"/>
  <c r="B36" i="9"/>
  <c r="O35" i="9"/>
  <c r="N35" i="9"/>
  <c r="M35" i="9"/>
  <c r="L35" i="9"/>
  <c r="K35" i="9"/>
  <c r="I35" i="9"/>
  <c r="H35" i="9"/>
  <c r="G35" i="9"/>
  <c r="F35" i="9"/>
  <c r="E35" i="9"/>
  <c r="C35" i="9"/>
  <c r="B35" i="9"/>
  <c r="F114" i="4"/>
  <c r="F119" i="4"/>
  <c r="Q35" i="7"/>
  <c r="Q36" i="7"/>
  <c r="J49" i="6"/>
  <c r="J48" i="6"/>
  <c r="J47" i="6"/>
  <c r="J46" i="6"/>
  <c r="J45" i="6"/>
  <c r="J44" i="6"/>
  <c r="J43" i="6"/>
  <c r="D59" i="6"/>
  <c r="E59" i="6"/>
  <c r="F59" i="6"/>
  <c r="G59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9" i="6"/>
  <c r="J42" i="6"/>
  <c r="J59" i="6"/>
  <c r="K59" i="6"/>
  <c r="L59" i="6"/>
  <c r="M59" i="6"/>
  <c r="N59" i="6"/>
  <c r="O59" i="6"/>
  <c r="H42" i="6"/>
  <c r="H43" i="6"/>
  <c r="H44" i="6"/>
  <c r="H45" i="6"/>
  <c r="H46" i="6"/>
  <c r="H47" i="6"/>
  <c r="H48" i="6"/>
  <c r="H49" i="6"/>
  <c r="H59" i="6"/>
  <c r="I58" i="6"/>
  <c r="D58" i="6"/>
  <c r="E58" i="6"/>
  <c r="F58" i="6"/>
  <c r="G58" i="6"/>
  <c r="J58" i="6"/>
  <c r="K58" i="6"/>
  <c r="L58" i="6"/>
  <c r="M58" i="6"/>
  <c r="N58" i="6"/>
  <c r="O58" i="6"/>
  <c r="H58" i="6"/>
  <c r="D35" i="5"/>
  <c r="D36" i="5"/>
  <c r="G61" i="4"/>
  <c r="G62" i="4"/>
  <c r="G63" i="4"/>
  <c r="G64" i="4"/>
  <c r="G65" i="4"/>
  <c r="G66" i="4"/>
  <c r="G67" i="4"/>
  <c r="G68" i="4"/>
  <c r="G77" i="4"/>
  <c r="G80" i="4"/>
  <c r="H61" i="4"/>
  <c r="H62" i="4"/>
  <c r="H63" i="4"/>
  <c r="H64" i="4"/>
  <c r="H65" i="4"/>
  <c r="H66" i="4"/>
  <c r="H67" i="4"/>
  <c r="H68" i="4"/>
  <c r="H77" i="4"/>
  <c r="H80" i="4"/>
  <c r="I61" i="4"/>
  <c r="I62" i="4"/>
  <c r="I63" i="4"/>
  <c r="I64" i="4"/>
  <c r="I65" i="4"/>
  <c r="I66" i="4"/>
  <c r="I67" i="4"/>
  <c r="I68" i="4"/>
  <c r="I77" i="4"/>
  <c r="I8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8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80" i="4"/>
  <c r="L61" i="4"/>
  <c r="L62" i="4"/>
  <c r="L63" i="4"/>
  <c r="L64" i="4"/>
  <c r="L65" i="4"/>
  <c r="L66" i="4"/>
  <c r="L67" i="4"/>
  <c r="L68" i="4"/>
  <c r="L77" i="4"/>
  <c r="L8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8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80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80" i="4"/>
  <c r="P61" i="4"/>
  <c r="P62" i="4"/>
  <c r="P63" i="4"/>
  <c r="P64" i="4"/>
  <c r="P66" i="4"/>
  <c r="P67" i="4"/>
  <c r="P68" i="4"/>
  <c r="P69" i="4"/>
  <c r="P70" i="4"/>
  <c r="P71" i="4"/>
  <c r="P72" i="4"/>
  <c r="P73" i="4"/>
  <c r="P74" i="4"/>
  <c r="P75" i="4"/>
  <c r="P76" i="4"/>
  <c r="P77" i="4"/>
  <c r="P80" i="4"/>
  <c r="D61" i="4"/>
  <c r="D62" i="4"/>
  <c r="D63" i="4"/>
  <c r="D64" i="4"/>
  <c r="D65" i="4"/>
  <c r="D66" i="4"/>
  <c r="D67" i="4"/>
  <c r="D68" i="4"/>
  <c r="D77" i="4"/>
  <c r="D80" i="4"/>
  <c r="F61" i="4"/>
  <c r="F62" i="4"/>
  <c r="F63" i="4"/>
  <c r="F64" i="4"/>
  <c r="F65" i="4"/>
  <c r="F66" i="4"/>
  <c r="F67" i="4"/>
  <c r="F68" i="4"/>
  <c r="F77" i="4"/>
  <c r="F80" i="4"/>
  <c r="C39" i="8"/>
  <c r="C40" i="8"/>
  <c r="C41" i="8"/>
  <c r="C42" i="8"/>
  <c r="C43" i="8"/>
  <c r="C44" i="8"/>
  <c r="C45" i="8"/>
  <c r="C46" i="8"/>
  <c r="C49" i="8"/>
  <c r="D39" i="8"/>
  <c r="D40" i="8"/>
  <c r="D41" i="8"/>
  <c r="D42" i="8"/>
  <c r="D43" i="8"/>
  <c r="D44" i="8"/>
  <c r="D45" i="8"/>
  <c r="D46" i="8"/>
  <c r="D49" i="8"/>
  <c r="E39" i="8"/>
  <c r="E40" i="8"/>
  <c r="E41" i="8"/>
  <c r="E42" i="8"/>
  <c r="E43" i="8"/>
  <c r="E44" i="8"/>
  <c r="E45" i="8"/>
  <c r="E46" i="8"/>
  <c r="E49" i="8"/>
  <c r="F39" i="8"/>
  <c r="F40" i="8"/>
  <c r="F41" i="8"/>
  <c r="F42" i="8"/>
  <c r="F43" i="8"/>
  <c r="F44" i="8"/>
  <c r="F45" i="8"/>
  <c r="F46" i="8"/>
  <c r="F49" i="8"/>
  <c r="G39" i="8"/>
  <c r="G40" i="8"/>
  <c r="G41" i="8"/>
  <c r="G42" i="8"/>
  <c r="G43" i="8"/>
  <c r="G44" i="8"/>
  <c r="G45" i="8"/>
  <c r="G46" i="8"/>
  <c r="G49" i="8"/>
  <c r="H39" i="8"/>
  <c r="H40" i="8"/>
  <c r="H41" i="8"/>
  <c r="H42" i="8"/>
  <c r="H43" i="8"/>
  <c r="H44" i="8"/>
  <c r="H45" i="8"/>
  <c r="H46" i="8"/>
  <c r="H49" i="8"/>
  <c r="C48" i="8"/>
  <c r="C50" i="8"/>
  <c r="D48" i="8"/>
  <c r="D50" i="8"/>
  <c r="E48" i="8"/>
  <c r="E50" i="8"/>
  <c r="F48" i="8"/>
  <c r="F50" i="8"/>
  <c r="G48" i="8"/>
  <c r="G50" i="8"/>
  <c r="H48" i="8"/>
  <c r="H50" i="8"/>
  <c r="C51" i="8"/>
  <c r="D51" i="8"/>
  <c r="E51" i="8"/>
  <c r="F51" i="8"/>
  <c r="G51" i="8"/>
  <c r="H51" i="8"/>
  <c r="B39" i="8"/>
  <c r="B40" i="8"/>
  <c r="B41" i="8"/>
  <c r="B42" i="8"/>
  <c r="B43" i="8"/>
  <c r="B44" i="8"/>
  <c r="B45" i="8"/>
  <c r="B46" i="8"/>
  <c r="B48" i="8"/>
  <c r="B50" i="8"/>
  <c r="B49" i="8"/>
  <c r="B51" i="8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C56" i="7"/>
  <c r="D56" i="7"/>
  <c r="E56" i="7"/>
  <c r="F56" i="7"/>
  <c r="C57" i="7"/>
  <c r="D57" i="7"/>
  <c r="E57" i="7"/>
  <c r="F57" i="7"/>
  <c r="H56" i="7"/>
  <c r="I56" i="7"/>
  <c r="J56" i="7"/>
  <c r="K56" i="7"/>
  <c r="L56" i="7"/>
  <c r="M56" i="7"/>
  <c r="N56" i="7"/>
  <c r="H57" i="7"/>
  <c r="I57" i="7"/>
  <c r="J57" i="7"/>
  <c r="K57" i="7"/>
  <c r="L57" i="7"/>
  <c r="M57" i="7"/>
  <c r="N57" i="7"/>
  <c r="C58" i="7"/>
  <c r="D58" i="7"/>
  <c r="E58" i="7"/>
  <c r="F58" i="7"/>
  <c r="C59" i="7"/>
  <c r="D59" i="7"/>
  <c r="E59" i="7"/>
  <c r="F59" i="7"/>
  <c r="H58" i="7"/>
  <c r="I58" i="7"/>
  <c r="J58" i="7"/>
  <c r="K58" i="7"/>
  <c r="L58" i="7"/>
  <c r="M58" i="7"/>
  <c r="N58" i="7"/>
  <c r="H59" i="7"/>
  <c r="I59" i="7"/>
  <c r="J59" i="7"/>
  <c r="K59" i="7"/>
  <c r="L59" i="7"/>
  <c r="M59" i="7"/>
  <c r="N5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8" i="7"/>
  <c r="G57" i="7"/>
  <c r="G59" i="7"/>
  <c r="D79" i="7"/>
  <c r="D82" i="7"/>
  <c r="E79" i="7"/>
  <c r="E82" i="7"/>
  <c r="F79" i="7"/>
  <c r="F82" i="7"/>
  <c r="G79" i="7"/>
  <c r="G82" i="7"/>
  <c r="H79" i="7"/>
  <c r="H82" i="7"/>
  <c r="I79" i="7"/>
  <c r="I82" i="7"/>
  <c r="J79" i="7"/>
  <c r="J82" i="7"/>
  <c r="K79" i="7"/>
  <c r="K82" i="7"/>
  <c r="L79" i="7"/>
  <c r="L82" i="7"/>
  <c r="M79" i="7"/>
  <c r="M82" i="7"/>
  <c r="N79" i="7"/>
  <c r="N82" i="7"/>
  <c r="C79" i="7"/>
  <c r="C82" i="7"/>
  <c r="D78" i="7"/>
  <c r="D81" i="7"/>
  <c r="E78" i="7"/>
  <c r="E81" i="7"/>
  <c r="F78" i="7"/>
  <c r="F81" i="7"/>
  <c r="G78" i="7"/>
  <c r="G81" i="7"/>
  <c r="H78" i="7"/>
  <c r="H81" i="7"/>
  <c r="I78" i="7"/>
  <c r="I81" i="7"/>
  <c r="J78" i="7"/>
  <c r="J81" i="7"/>
  <c r="K78" i="7"/>
  <c r="K81" i="7"/>
  <c r="L78" i="7"/>
  <c r="L81" i="7"/>
  <c r="M78" i="7"/>
  <c r="M81" i="7"/>
  <c r="N78" i="7"/>
  <c r="N81" i="7"/>
  <c r="C78" i="7"/>
  <c r="C81" i="7"/>
  <c r="O78" i="4"/>
  <c r="N78" i="4"/>
  <c r="K78" i="4"/>
  <c r="D78" i="4"/>
  <c r="F78" i="4"/>
  <c r="G78" i="4"/>
  <c r="H78" i="4"/>
  <c r="I78" i="4"/>
  <c r="L78" i="4"/>
  <c r="M78" i="4"/>
  <c r="P78" i="4"/>
  <c r="J79" i="4"/>
  <c r="J78" i="4"/>
  <c r="B35" i="5"/>
  <c r="C35" i="5"/>
  <c r="E35" i="5"/>
  <c r="F35" i="5"/>
  <c r="G35" i="5"/>
  <c r="H35" i="5"/>
  <c r="I35" i="5"/>
  <c r="J35" i="5"/>
  <c r="K35" i="5"/>
  <c r="L35" i="5"/>
  <c r="B36" i="5"/>
  <c r="C36" i="5"/>
  <c r="E36" i="5"/>
  <c r="F36" i="5"/>
  <c r="G36" i="5"/>
  <c r="H36" i="5"/>
  <c r="I36" i="5"/>
  <c r="J36" i="5"/>
  <c r="K36" i="5"/>
  <c r="L36" i="5"/>
  <c r="N35" i="5"/>
  <c r="O35" i="5"/>
  <c r="N36" i="5"/>
  <c r="O36" i="5"/>
  <c r="M36" i="5"/>
  <c r="M35" i="5"/>
  <c r="Q19" i="5"/>
  <c r="G114" i="4"/>
  <c r="G119" i="4"/>
  <c r="H114" i="4"/>
  <c r="H119" i="4"/>
  <c r="I114" i="4"/>
  <c r="I119" i="4"/>
  <c r="J114" i="4"/>
  <c r="J119" i="4"/>
  <c r="K114" i="4"/>
  <c r="K119" i="4"/>
  <c r="L114" i="4"/>
  <c r="L119" i="4"/>
  <c r="M114" i="4"/>
  <c r="M119" i="4"/>
  <c r="N114" i="4"/>
  <c r="N119" i="4"/>
  <c r="O114" i="4"/>
  <c r="O119" i="4"/>
  <c r="P114" i="4"/>
  <c r="P119" i="4"/>
  <c r="D114" i="4"/>
  <c r="D119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D117" i="4"/>
  <c r="G79" i="4"/>
  <c r="H79" i="4"/>
  <c r="I79" i="4"/>
  <c r="K79" i="4"/>
  <c r="L79" i="4"/>
  <c r="M79" i="4"/>
  <c r="N79" i="4"/>
  <c r="O79" i="4"/>
  <c r="P79" i="4"/>
  <c r="D79" i="4"/>
  <c r="F79" i="4"/>
  <c r="AC49" i="7"/>
  <c r="AC48" i="7"/>
  <c r="AC47" i="7"/>
  <c r="AC46" i="7"/>
  <c r="AB49" i="7"/>
  <c r="AB48" i="7"/>
  <c r="AB47" i="7"/>
  <c r="AB46" i="7"/>
  <c r="AA49" i="7"/>
  <c r="AA48" i="7"/>
  <c r="AA47" i="7"/>
  <c r="AA46" i="7"/>
  <c r="Z49" i="7"/>
  <c r="Z48" i="7"/>
  <c r="Z47" i="7"/>
  <c r="Z46" i="7"/>
  <c r="Z50" i="7"/>
  <c r="Y49" i="7"/>
  <c r="Y48" i="7"/>
  <c r="Y47" i="7"/>
  <c r="Y46" i="7"/>
  <c r="X49" i="7"/>
  <c r="X48" i="7"/>
  <c r="X47" i="7"/>
  <c r="X46" i="7"/>
  <c r="X50" i="7"/>
  <c r="Y50" i="7"/>
  <c r="AA50" i="7"/>
  <c r="AB50" i="7"/>
  <c r="AC50" i="7"/>
  <c r="X51" i="7"/>
  <c r="Y51" i="7"/>
  <c r="Z51" i="7"/>
  <c r="AA51" i="7"/>
  <c r="AB51" i="7"/>
  <c r="AC51" i="7"/>
  <c r="X52" i="7"/>
  <c r="Y52" i="7"/>
  <c r="Z52" i="7"/>
  <c r="AA52" i="7"/>
  <c r="AB52" i="7"/>
  <c r="AC52" i="7"/>
  <c r="X53" i="7"/>
  <c r="Y53" i="7"/>
  <c r="Z53" i="7"/>
  <c r="AA53" i="7"/>
  <c r="AB53" i="7"/>
  <c r="AC53" i="7"/>
  <c r="W47" i="7"/>
  <c r="W51" i="7"/>
  <c r="W46" i="7"/>
  <c r="W50" i="7"/>
  <c r="W48" i="7"/>
  <c r="W52" i="7"/>
  <c r="W49" i="7"/>
  <c r="W53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C36" i="7"/>
  <c r="AA37" i="8"/>
  <c r="AA36" i="8"/>
  <c r="AA35" i="8"/>
  <c r="Z39" i="8"/>
  <c r="Z38" i="8"/>
  <c r="Z37" i="8"/>
  <c r="Z36" i="8"/>
  <c r="Z35" i="8"/>
  <c r="Y39" i="8"/>
  <c r="Y38" i="8"/>
  <c r="Y36" i="8"/>
  <c r="Y37" i="8"/>
  <c r="Y35" i="8"/>
  <c r="X39" i="8"/>
  <c r="X38" i="8"/>
  <c r="X37" i="8"/>
  <c r="X36" i="8"/>
  <c r="X35" i="8"/>
  <c r="W39" i="8"/>
  <c r="W38" i="8"/>
  <c r="W37" i="8"/>
  <c r="W36" i="8"/>
  <c r="W35" i="8"/>
  <c r="AA44" i="8"/>
  <c r="Z44" i="8"/>
  <c r="Y44" i="8"/>
  <c r="X44" i="8"/>
  <c r="W44" i="8"/>
  <c r="AA43" i="8"/>
  <c r="Z43" i="8"/>
  <c r="Y43" i="8"/>
  <c r="X43" i="8"/>
  <c r="W43" i="8"/>
  <c r="AA42" i="8"/>
  <c r="Z42" i="8"/>
  <c r="Y42" i="8"/>
  <c r="X42" i="8"/>
  <c r="W42" i="8"/>
  <c r="AA41" i="8"/>
  <c r="Z41" i="8"/>
  <c r="Y41" i="8"/>
  <c r="X41" i="8"/>
  <c r="W41" i="8"/>
  <c r="AA40" i="8"/>
  <c r="Z40" i="8"/>
  <c r="Y40" i="8"/>
  <c r="X40" i="8"/>
  <c r="W40" i="8"/>
  <c r="AD39" i="6"/>
  <c r="AD38" i="6"/>
  <c r="AD37" i="6"/>
  <c r="AD36" i="6"/>
  <c r="AD35" i="6"/>
  <c r="AC39" i="6"/>
  <c r="AC38" i="6"/>
  <c r="AC37" i="6"/>
  <c r="AC36" i="6"/>
  <c r="AC35" i="6"/>
  <c r="AB39" i="6"/>
  <c r="AB38" i="6"/>
  <c r="AB37" i="6"/>
  <c r="AB36" i="6"/>
  <c r="AB35" i="6"/>
  <c r="AA39" i="6"/>
  <c r="AA38" i="6"/>
  <c r="AA37" i="6"/>
  <c r="AA36" i="6"/>
  <c r="AA35" i="6"/>
  <c r="Z39" i="6"/>
  <c r="Z38" i="6"/>
  <c r="Z37" i="6"/>
  <c r="Z36" i="6"/>
  <c r="Z35" i="6"/>
  <c r="Y39" i="6"/>
  <c r="Y38" i="6"/>
  <c r="Y37" i="6"/>
  <c r="Y36" i="6"/>
  <c r="Y35" i="6"/>
  <c r="AD44" i="6"/>
  <c r="AC44" i="6"/>
  <c r="AB44" i="6"/>
  <c r="AA44" i="6"/>
  <c r="Z44" i="6"/>
  <c r="Y44" i="6"/>
  <c r="AD43" i="6"/>
  <c r="AC43" i="6"/>
  <c r="AB43" i="6"/>
  <c r="AA43" i="6"/>
  <c r="Z43" i="6"/>
  <c r="Y43" i="6"/>
  <c r="AD42" i="6"/>
  <c r="AC42" i="6"/>
  <c r="AB42" i="6"/>
  <c r="AA42" i="6"/>
  <c r="Z42" i="6"/>
  <c r="Y42" i="6"/>
  <c r="AD41" i="6"/>
  <c r="AC41" i="6"/>
  <c r="AB41" i="6"/>
  <c r="AA41" i="6"/>
  <c r="Z41" i="6"/>
  <c r="Y41" i="6"/>
  <c r="AD40" i="6"/>
  <c r="AC40" i="6"/>
  <c r="AB40" i="6"/>
  <c r="AA40" i="6"/>
  <c r="Z40" i="6"/>
  <c r="Y40" i="6"/>
  <c r="AC39" i="7"/>
  <c r="AC38" i="7"/>
  <c r="AC37" i="7"/>
  <c r="AC36" i="7"/>
  <c r="AC35" i="7"/>
  <c r="AB39" i="7"/>
  <c r="AB38" i="7"/>
  <c r="AB37" i="7"/>
  <c r="AB36" i="7"/>
  <c r="AB35" i="7"/>
  <c r="AA39" i="7"/>
  <c r="AA38" i="7"/>
  <c r="AA37" i="7"/>
  <c r="AA36" i="7"/>
  <c r="AA35" i="7"/>
  <c r="Z39" i="7"/>
  <c r="Z38" i="7"/>
  <c r="Z37" i="7"/>
  <c r="Z36" i="7"/>
  <c r="Z35" i="7"/>
  <c r="Y39" i="7"/>
  <c r="Y38" i="7"/>
  <c r="Y37" i="7"/>
  <c r="Y36" i="7"/>
  <c r="Y35" i="7"/>
  <c r="X39" i="7"/>
  <c r="X38" i="7"/>
  <c r="X37" i="7"/>
  <c r="X36" i="7"/>
  <c r="X35" i="7"/>
  <c r="W39" i="7"/>
  <c r="W38" i="7"/>
  <c r="W37" i="7"/>
  <c r="W36" i="7"/>
  <c r="W35" i="7"/>
  <c r="X40" i="7"/>
  <c r="Y40" i="7"/>
  <c r="Z40" i="7"/>
  <c r="AA40" i="7"/>
  <c r="AB40" i="7"/>
  <c r="AC40" i="7"/>
  <c r="X41" i="7"/>
  <c r="Y41" i="7"/>
  <c r="Z41" i="7"/>
  <c r="AA41" i="7"/>
  <c r="AB41" i="7"/>
  <c r="AC41" i="7"/>
  <c r="X42" i="7"/>
  <c r="Y42" i="7"/>
  <c r="Z42" i="7"/>
  <c r="AA42" i="7"/>
  <c r="AB42" i="7"/>
  <c r="AC42" i="7"/>
  <c r="X43" i="7"/>
  <c r="Y43" i="7"/>
  <c r="Z43" i="7"/>
  <c r="AA43" i="7"/>
  <c r="AB43" i="7"/>
  <c r="AC43" i="7"/>
  <c r="X44" i="7"/>
  <c r="Y44" i="7"/>
  <c r="Z44" i="7"/>
  <c r="AA44" i="7"/>
  <c r="AB44" i="7"/>
  <c r="AC44" i="7"/>
  <c r="W41" i="7"/>
  <c r="W42" i="7"/>
  <c r="W43" i="7"/>
  <c r="W44" i="7"/>
  <c r="W40" i="7"/>
  <c r="AE55" i="4"/>
  <c r="AE60" i="4"/>
  <c r="AF55" i="4"/>
  <c r="AF60" i="4"/>
  <c r="AG55" i="4"/>
  <c r="AG60" i="4"/>
  <c r="AH55" i="4"/>
  <c r="AH60" i="4"/>
  <c r="AI55" i="4"/>
  <c r="AI60" i="4"/>
  <c r="AJ55" i="4"/>
  <c r="AJ60" i="4"/>
  <c r="AK55" i="4"/>
  <c r="AK60" i="4"/>
  <c r="AL55" i="4"/>
  <c r="AL60" i="4"/>
  <c r="AM55" i="4"/>
  <c r="AM60" i="4"/>
  <c r="AN55" i="4"/>
  <c r="AN60" i="4"/>
  <c r="AE56" i="4"/>
  <c r="AE61" i="4"/>
  <c r="AF56" i="4"/>
  <c r="AF61" i="4"/>
  <c r="AG56" i="4"/>
  <c r="AG61" i="4"/>
  <c r="AH56" i="4"/>
  <c r="AH61" i="4"/>
  <c r="AI56" i="4"/>
  <c r="AI61" i="4"/>
  <c r="AJ56" i="4"/>
  <c r="AJ61" i="4"/>
  <c r="AK56" i="4"/>
  <c r="AK61" i="4"/>
  <c r="AL56" i="4"/>
  <c r="AL61" i="4"/>
  <c r="AM56" i="4"/>
  <c r="AM61" i="4"/>
  <c r="AN56" i="4"/>
  <c r="AN61" i="4"/>
  <c r="AE57" i="4"/>
  <c r="AE62" i="4"/>
  <c r="AF57" i="4"/>
  <c r="AF62" i="4"/>
  <c r="AG57" i="4"/>
  <c r="AG62" i="4"/>
  <c r="AH57" i="4"/>
  <c r="AH62" i="4"/>
  <c r="AI57" i="4"/>
  <c r="AI62" i="4"/>
  <c r="AJ57" i="4"/>
  <c r="AJ62" i="4"/>
  <c r="AK57" i="4"/>
  <c r="AK62" i="4"/>
  <c r="AL57" i="4"/>
  <c r="AL62" i="4"/>
  <c r="AM57" i="4"/>
  <c r="AM62" i="4"/>
  <c r="AN57" i="4"/>
  <c r="AN62" i="4"/>
  <c r="AE58" i="4"/>
  <c r="AE63" i="4"/>
  <c r="AF58" i="4"/>
  <c r="AF63" i="4"/>
  <c r="AG58" i="4"/>
  <c r="AG63" i="4"/>
  <c r="AH58" i="4"/>
  <c r="AH63" i="4"/>
  <c r="AI63" i="4"/>
  <c r="AJ58" i="4"/>
  <c r="AJ63" i="4"/>
  <c r="AK58" i="4"/>
  <c r="AK63" i="4"/>
  <c r="AL63" i="4"/>
  <c r="AM63" i="4"/>
  <c r="AN63" i="4"/>
  <c r="AE59" i="4"/>
  <c r="AE64" i="4"/>
  <c r="AF59" i="4"/>
  <c r="AF64" i="4"/>
  <c r="AG59" i="4"/>
  <c r="AG64" i="4"/>
  <c r="AH59" i="4"/>
  <c r="AH64" i="4"/>
  <c r="AI59" i="4"/>
  <c r="AI64" i="4"/>
  <c r="AJ59" i="4"/>
  <c r="AJ64" i="4"/>
  <c r="AK59" i="4"/>
  <c r="AK64" i="4"/>
  <c r="AL59" i="4"/>
  <c r="AL64" i="4"/>
  <c r="AM59" i="4"/>
  <c r="AM64" i="4"/>
  <c r="AN64" i="4"/>
  <c r="AB55" i="4"/>
  <c r="AB60" i="4"/>
  <c r="AC55" i="4"/>
  <c r="AC60" i="4"/>
  <c r="AD55" i="4"/>
  <c r="AD60" i="4"/>
  <c r="AB56" i="4"/>
  <c r="AB61" i="4"/>
  <c r="AC56" i="4"/>
  <c r="AC61" i="4"/>
  <c r="AD56" i="4"/>
  <c r="AD61" i="4"/>
  <c r="AB57" i="4"/>
  <c r="AB62" i="4"/>
  <c r="AC57" i="4"/>
  <c r="AC62" i="4"/>
  <c r="AD57" i="4"/>
  <c r="AD62" i="4"/>
  <c r="AB58" i="4"/>
  <c r="AB63" i="4"/>
  <c r="AC58" i="4"/>
  <c r="AC63" i="4"/>
  <c r="AD58" i="4"/>
  <c r="AD63" i="4"/>
  <c r="AB59" i="4"/>
  <c r="AB64" i="4"/>
  <c r="AC59" i="4"/>
  <c r="AC64" i="4"/>
  <c r="AD59" i="4"/>
  <c r="AD64" i="4"/>
  <c r="AA57" i="4"/>
  <c r="AA56" i="4"/>
  <c r="AA55" i="4"/>
  <c r="AA60" i="4"/>
  <c r="AA61" i="4"/>
  <c r="AA62" i="4"/>
  <c r="AA58" i="4"/>
  <c r="AA63" i="4"/>
  <c r="AA59" i="4"/>
  <c r="AA64" i="4"/>
  <c r="Y55" i="4"/>
  <c r="Y60" i="4"/>
  <c r="Z55" i="4"/>
  <c r="Z60" i="4"/>
  <c r="Y56" i="4"/>
  <c r="Y61" i="4"/>
  <c r="Z56" i="4"/>
  <c r="Z61" i="4"/>
  <c r="Y57" i="4"/>
  <c r="Y62" i="4"/>
  <c r="Z57" i="4"/>
  <c r="Z62" i="4"/>
  <c r="Y58" i="4"/>
  <c r="Y63" i="4"/>
  <c r="Z58" i="4"/>
  <c r="Z63" i="4"/>
  <c r="Y59" i="4"/>
  <c r="Y64" i="4"/>
  <c r="Z59" i="4"/>
  <c r="Z64" i="4"/>
  <c r="X57" i="4"/>
  <c r="X62" i="4"/>
  <c r="X63" i="4"/>
  <c r="X59" i="4"/>
  <c r="X64" i="4"/>
  <c r="X56" i="4"/>
  <c r="X61" i="4"/>
  <c r="X55" i="4"/>
  <c r="X60" i="4"/>
  <c r="C35" i="7"/>
  <c r="D35" i="7"/>
  <c r="E35" i="7"/>
  <c r="F35" i="7"/>
  <c r="G35" i="7"/>
  <c r="H35" i="7"/>
  <c r="I35" i="7"/>
  <c r="J35" i="7"/>
  <c r="K35" i="7"/>
  <c r="L35" i="7"/>
  <c r="R35" i="7"/>
  <c r="B36" i="7"/>
  <c r="D71" i="6"/>
  <c r="E71" i="6"/>
  <c r="F71" i="6"/>
  <c r="G71" i="6"/>
  <c r="H71" i="6"/>
  <c r="J71" i="6"/>
  <c r="K71" i="6"/>
  <c r="L71" i="6"/>
  <c r="M71" i="6"/>
  <c r="N71" i="6"/>
  <c r="O71" i="6"/>
  <c r="I71" i="6"/>
  <c r="A41" i="6"/>
  <c r="A38" i="8"/>
  <c r="A38" i="7"/>
  <c r="A59" i="4"/>
  <c r="M35" i="7"/>
  <c r="O35" i="6"/>
  <c r="O36" i="6"/>
  <c r="B35" i="6"/>
  <c r="B36" i="6"/>
  <c r="B35" i="8"/>
  <c r="B36" i="8"/>
  <c r="C35" i="8"/>
  <c r="C36" i="8"/>
  <c r="C35" i="6"/>
  <c r="C36" i="6"/>
  <c r="P55" i="4"/>
  <c r="Q55" i="4"/>
  <c r="P56" i="4"/>
  <c r="Q56" i="4"/>
  <c r="F58" i="4"/>
  <c r="G58" i="4"/>
  <c r="H58" i="4"/>
  <c r="J58" i="4"/>
  <c r="G35" i="8"/>
  <c r="G36" i="8"/>
  <c r="I58" i="4"/>
  <c r="P35" i="7"/>
  <c r="K58" i="4"/>
  <c r="J35" i="8"/>
  <c r="J36" i="8"/>
  <c r="B55" i="4"/>
  <c r="C55" i="4"/>
  <c r="B56" i="4"/>
  <c r="C56" i="4"/>
  <c r="E55" i="4"/>
  <c r="F55" i="4"/>
  <c r="G55" i="4"/>
  <c r="H55" i="4"/>
  <c r="I55" i="4"/>
  <c r="J55" i="4"/>
  <c r="K55" i="4"/>
  <c r="L55" i="4"/>
  <c r="M55" i="4"/>
  <c r="N55" i="4"/>
  <c r="O55" i="4"/>
  <c r="R55" i="4"/>
  <c r="S55" i="4"/>
  <c r="T55" i="4"/>
  <c r="E56" i="4"/>
  <c r="F56" i="4"/>
  <c r="G56" i="4"/>
  <c r="H56" i="4"/>
  <c r="I56" i="4"/>
  <c r="J56" i="4"/>
  <c r="K56" i="4"/>
  <c r="L56" i="4"/>
  <c r="M56" i="4"/>
  <c r="N56" i="4"/>
  <c r="O56" i="4"/>
  <c r="R56" i="4"/>
  <c r="S56" i="4"/>
  <c r="T56" i="4"/>
  <c r="D56" i="4"/>
  <c r="D55" i="4"/>
  <c r="D35" i="8"/>
  <c r="D36" i="8"/>
  <c r="E35" i="8"/>
  <c r="E36" i="8"/>
  <c r="D35" i="6"/>
  <c r="E35" i="6"/>
  <c r="F35" i="6"/>
  <c r="G35" i="6"/>
  <c r="H35" i="6"/>
  <c r="I35" i="6"/>
  <c r="J35" i="6"/>
  <c r="K35" i="6"/>
  <c r="L35" i="6"/>
  <c r="M35" i="6"/>
  <c r="T35" i="6"/>
  <c r="T36" i="8"/>
  <c r="S36" i="8"/>
  <c r="R36" i="8"/>
  <c r="Q36" i="8"/>
  <c r="P36" i="8"/>
  <c r="O36" i="8"/>
  <c r="N36" i="8"/>
  <c r="M36" i="8"/>
  <c r="L36" i="8"/>
  <c r="K36" i="8"/>
  <c r="I36" i="8"/>
  <c r="H36" i="8"/>
  <c r="F36" i="8"/>
  <c r="T35" i="8"/>
  <c r="S35" i="8"/>
  <c r="R35" i="8"/>
  <c r="Q35" i="8"/>
  <c r="P35" i="8"/>
  <c r="O35" i="8"/>
  <c r="N35" i="8"/>
  <c r="M35" i="8"/>
  <c r="L35" i="8"/>
  <c r="K35" i="8"/>
  <c r="I35" i="8"/>
  <c r="H35" i="8"/>
  <c r="F35" i="8"/>
  <c r="V39" i="4"/>
  <c r="B35" i="7"/>
  <c r="N35" i="7"/>
  <c r="O35" i="7"/>
  <c r="E36" i="6"/>
  <c r="F36" i="6"/>
  <c r="G36" i="6"/>
  <c r="H36" i="6"/>
  <c r="I36" i="6"/>
  <c r="J36" i="6"/>
  <c r="K36" i="6"/>
  <c r="L36" i="6"/>
  <c r="M36" i="6"/>
  <c r="N36" i="6"/>
  <c r="P36" i="6"/>
  <c r="Q36" i="6"/>
  <c r="R36" i="6"/>
  <c r="D36" i="6"/>
  <c r="N35" i="6"/>
  <c r="P35" i="6"/>
  <c r="Q35" i="6"/>
  <c r="R35" i="6"/>
  <c r="L35" i="3"/>
  <c r="L36" i="3"/>
  <c r="J34" i="2"/>
  <c r="C35" i="3"/>
  <c r="D35" i="3"/>
  <c r="E35" i="3"/>
  <c r="F35" i="3"/>
  <c r="G35" i="3"/>
  <c r="H35" i="3"/>
  <c r="I35" i="3"/>
  <c r="J35" i="3"/>
  <c r="K35" i="3"/>
  <c r="B35" i="2"/>
  <c r="D35" i="2"/>
  <c r="E35" i="2"/>
  <c r="F35" i="2"/>
  <c r="G35" i="2"/>
  <c r="H35" i="2"/>
  <c r="I35" i="2"/>
  <c r="J35" i="2"/>
  <c r="C35" i="2"/>
  <c r="N108" i="1"/>
  <c r="O108" i="1"/>
  <c r="P108" i="1"/>
  <c r="Q108" i="1"/>
  <c r="R108" i="1"/>
  <c r="S108" i="1"/>
  <c r="T108" i="1"/>
  <c r="U108" i="1"/>
  <c r="M108" i="1"/>
  <c r="U72" i="1"/>
  <c r="N72" i="1"/>
  <c r="O72" i="1"/>
  <c r="P72" i="1"/>
  <c r="Q72" i="1"/>
  <c r="R72" i="1"/>
  <c r="S72" i="1"/>
  <c r="T72" i="1"/>
  <c r="M72" i="1"/>
  <c r="G37" i="1"/>
  <c r="H37" i="1"/>
  <c r="F37" i="1"/>
  <c r="D37" i="1"/>
  <c r="E37" i="1"/>
  <c r="C37" i="1"/>
  <c r="B35" i="3"/>
  <c r="B36" i="3"/>
  <c r="D36" i="3"/>
  <c r="E36" i="3"/>
  <c r="F36" i="3"/>
  <c r="G36" i="3"/>
  <c r="H36" i="3"/>
  <c r="I36" i="3"/>
  <c r="J36" i="3"/>
  <c r="K36" i="3"/>
  <c r="C36" i="3"/>
  <c r="D34" i="2"/>
  <c r="E34" i="2"/>
  <c r="F34" i="2"/>
  <c r="G34" i="2"/>
  <c r="H34" i="2"/>
  <c r="I34" i="2"/>
  <c r="C34" i="2"/>
  <c r="N110" i="1"/>
  <c r="T147" i="1"/>
  <c r="T146" i="1"/>
  <c r="T145" i="1"/>
  <c r="R147" i="1"/>
  <c r="R146" i="1"/>
  <c r="S148" i="1"/>
  <c r="S147" i="1"/>
  <c r="S146" i="1"/>
  <c r="S145" i="1"/>
  <c r="D19" i="4"/>
  <c r="E19" i="4"/>
  <c r="J19" i="4"/>
  <c r="K19" i="4"/>
  <c r="R148" i="1"/>
  <c r="R145" i="1"/>
  <c r="E20" i="4"/>
  <c r="O149" i="1"/>
  <c r="O148" i="1"/>
  <c r="O147" i="1"/>
  <c r="O146" i="1"/>
  <c r="O145" i="1"/>
  <c r="D20" i="4"/>
  <c r="Q149" i="1"/>
  <c r="Q147" i="1"/>
  <c r="Q146" i="1"/>
  <c r="Q145" i="1"/>
  <c r="N148" i="1"/>
  <c r="N147" i="1"/>
  <c r="N146" i="1"/>
  <c r="N145" i="1"/>
  <c r="Q148" i="1"/>
  <c r="O110" i="1"/>
  <c r="O111" i="1"/>
  <c r="L110" i="1"/>
  <c r="M110" i="1"/>
  <c r="L111" i="1"/>
  <c r="M111" i="1"/>
  <c r="P110" i="1"/>
  <c r="Q110" i="1"/>
  <c r="R110" i="1"/>
  <c r="S110" i="1"/>
  <c r="T110" i="1"/>
  <c r="U110" i="1"/>
  <c r="P111" i="1"/>
  <c r="Q111" i="1"/>
  <c r="R111" i="1"/>
  <c r="S111" i="1"/>
  <c r="T111" i="1"/>
  <c r="U111" i="1"/>
  <c r="N111" i="1"/>
  <c r="L20" i="4"/>
  <c r="K20" i="4"/>
  <c r="J20" i="4"/>
  <c r="I20" i="4"/>
  <c r="H20" i="4"/>
  <c r="G20" i="4"/>
  <c r="F20" i="4"/>
  <c r="C20" i="4"/>
  <c r="B20" i="4"/>
  <c r="L19" i="4"/>
  <c r="I19" i="4"/>
  <c r="H19" i="4"/>
  <c r="G19" i="4"/>
  <c r="F19" i="4"/>
  <c r="C19" i="4"/>
  <c r="B19" i="4"/>
  <c r="AE74" i="1"/>
  <c r="AE73" i="1"/>
  <c r="AE72" i="1"/>
  <c r="AE71" i="1"/>
  <c r="AD74" i="1"/>
  <c r="AD72" i="1"/>
  <c r="AD71" i="1"/>
  <c r="AC75" i="1"/>
  <c r="AC74" i="1"/>
  <c r="AC73" i="1"/>
  <c r="AC72" i="1"/>
  <c r="AC71" i="1"/>
  <c r="AB71" i="1"/>
  <c r="AA75" i="1"/>
  <c r="AA74" i="1"/>
  <c r="AA73" i="1"/>
  <c r="AA72" i="1"/>
  <c r="AA71" i="1"/>
  <c r="Z75" i="1"/>
  <c r="Z74" i="1"/>
  <c r="Z73" i="1"/>
  <c r="Z72" i="1"/>
  <c r="Z71" i="1"/>
  <c r="Y75" i="1"/>
  <c r="Y74" i="1"/>
  <c r="Y73" i="1"/>
  <c r="Y72" i="1"/>
  <c r="Y71" i="1"/>
  <c r="X75" i="1"/>
  <c r="X74" i="1"/>
  <c r="X73" i="1"/>
  <c r="X72" i="1"/>
  <c r="X71" i="1"/>
  <c r="AD73" i="1"/>
  <c r="AB74" i="1"/>
  <c r="AB73" i="1"/>
  <c r="AB72" i="1"/>
  <c r="AB75" i="1"/>
  <c r="P149" i="1"/>
  <c r="P148" i="1"/>
  <c r="P147" i="1"/>
  <c r="P146" i="1"/>
  <c r="P145" i="1"/>
  <c r="L107" i="1"/>
  <c r="M107" i="1"/>
  <c r="N107" i="1"/>
  <c r="O107" i="1"/>
  <c r="L108" i="1"/>
  <c r="Q107" i="1"/>
  <c r="R107" i="1"/>
  <c r="S107" i="1"/>
  <c r="T107" i="1"/>
  <c r="U107" i="1"/>
  <c r="B34" i="2"/>
  <c r="O71" i="1"/>
  <c r="P107" i="1"/>
  <c r="U71" i="1"/>
  <c r="L71" i="1"/>
  <c r="M71" i="1"/>
  <c r="N71" i="1"/>
  <c r="L72" i="1"/>
  <c r="Q71" i="1"/>
  <c r="R71" i="1"/>
  <c r="S71" i="1"/>
  <c r="T71" i="1"/>
  <c r="P71" i="1"/>
  <c r="S36" i="1"/>
  <c r="T36" i="1"/>
  <c r="U36" i="1"/>
  <c r="S37" i="1"/>
  <c r="T37" i="1"/>
  <c r="U37" i="1"/>
  <c r="G36" i="1"/>
  <c r="Q36" i="1"/>
  <c r="Q37" i="1"/>
  <c r="C36" i="1"/>
  <c r="M36" i="1"/>
  <c r="M37" i="1"/>
  <c r="O36" i="1"/>
  <c r="O37" i="1"/>
  <c r="E36" i="1"/>
  <c r="H36" i="1"/>
  <c r="F36" i="1"/>
  <c r="L36" i="1"/>
  <c r="N36" i="1"/>
  <c r="P36" i="1"/>
  <c r="R36" i="1"/>
  <c r="V36" i="1"/>
  <c r="W36" i="1"/>
  <c r="X36" i="1"/>
  <c r="L37" i="1"/>
  <c r="N37" i="1"/>
  <c r="P37" i="1"/>
  <c r="R37" i="1"/>
  <c r="V37" i="1"/>
  <c r="W37" i="1"/>
  <c r="X37" i="1"/>
  <c r="B36" i="1"/>
  <c r="B37" i="1"/>
  <c r="D36" i="1"/>
  <c r="I14" i="1"/>
  <c r="B13" i="1"/>
  <c r="B14" i="1"/>
  <c r="D13" i="1"/>
  <c r="F13" i="1"/>
  <c r="G13" i="1"/>
  <c r="H13" i="1"/>
  <c r="D14" i="1"/>
  <c r="F14" i="1"/>
  <c r="G14" i="1"/>
  <c r="H14" i="1"/>
  <c r="C14" i="1"/>
  <c r="C13" i="1"/>
</calcChain>
</file>

<file path=xl/sharedStrings.xml><?xml version="1.0" encoding="utf-8"?>
<sst xmlns="http://schemas.openxmlformats.org/spreadsheetml/2006/main" count="129" uniqueCount="55">
  <si>
    <t>surface damage in bcc Fe</t>
  </si>
  <si>
    <t>PKA energy</t>
  </si>
  <si>
    <t>135 PKA</t>
  </si>
  <si>
    <t>2lat</t>
  </si>
  <si>
    <t>4lat</t>
  </si>
  <si>
    <t>6lat</t>
  </si>
  <si>
    <t>290.4 keV</t>
  </si>
  <si>
    <t>653.4 keV</t>
  </si>
  <si>
    <t>Adaptive timestep</t>
  </si>
  <si>
    <t>8lat</t>
  </si>
  <si>
    <t>5lat</t>
  </si>
  <si>
    <t>3lat</t>
  </si>
  <si>
    <t>7lat</t>
  </si>
  <si>
    <t>GJF</t>
  </si>
  <si>
    <t>NPT</t>
  </si>
  <si>
    <t>sorting</t>
  </si>
  <si>
    <t>0-5</t>
  </si>
  <si>
    <t>16-20</t>
  </si>
  <si>
    <t>21+</t>
  </si>
  <si>
    <t>11 -- 15</t>
  </si>
  <si>
    <t>6 -- 10</t>
  </si>
  <si>
    <t>0 -- 5</t>
  </si>
  <si>
    <t>16 --20</t>
  </si>
  <si>
    <t>7.5K</t>
  </si>
  <si>
    <t>163.35 keV</t>
  </si>
  <si>
    <t>dt/resets of 0.001 and 0.001</t>
  </si>
  <si>
    <t>dt/resets of 0.002 and 0.002</t>
  </si>
  <si>
    <t>290.4 kev</t>
  </si>
  <si>
    <t>163.53 kev</t>
  </si>
  <si>
    <t>72.6 kev</t>
  </si>
  <si>
    <t>18.5 kev</t>
  </si>
  <si>
    <t>4.625 kev</t>
  </si>
  <si>
    <t>temp leaving</t>
  </si>
  <si>
    <t>energy input</t>
  </si>
  <si>
    <t>avg</t>
  </si>
  <si>
    <t>E deposited</t>
  </si>
  <si>
    <t>temp after pka leaves</t>
  </si>
  <si>
    <t>temp after only pka leaves</t>
  </si>
  <si>
    <t>temperature leaving</t>
  </si>
  <si>
    <t>6-10</t>
  </si>
  <si>
    <t>11-15</t>
  </si>
  <si>
    <t>0-10</t>
  </si>
  <si>
    <t>21-30</t>
  </si>
  <si>
    <t>31+</t>
  </si>
  <si>
    <t>11-20</t>
  </si>
  <si>
    <t>Temp</t>
  </si>
  <si>
    <t>keV</t>
  </si>
  <si>
    <t>eV/atom</t>
  </si>
  <si>
    <t>temperature after pka leaves</t>
  </si>
  <si>
    <t>stderr</t>
  </si>
  <si>
    <t>38a</t>
  </si>
  <si>
    <t>654.12 kev</t>
  </si>
  <si>
    <t>30A</t>
  </si>
  <si>
    <t>20A</t>
  </si>
  <si>
    <t>10A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</si>
</sst>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2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Border="1"/>
    <xf numFmtId="0" fontId="0" fillId="0" borderId="0" xfId="0" quotePrefix="1"/>
    <xf numFmtId="0" fontId="3" fillId="0" borderId="0" xfId="0" applyFont="1"/>
    <xf numFmtId="0" fontId="0" fillId="0" borderId="0" xfId="0" applyFont="1"/>
    <xf numFmtId="0" fontId="0" fillId="0" borderId="2" xfId="0" applyBorder="1"/>
    <xf numFmtId="1" fontId="0" fillId="0" borderId="0" xfId="0" applyNumberFormat="1"/>
    <xf numFmtId="0" fontId="0" fillId="0" borderId="0" xfId="0" applyNumberFormat="1"/>
    <xf numFmtId="0" fontId="4" fillId="0" borderId="0" xfId="0" applyFont="1"/>
    <xf numFmtId="49" fontId="0" fillId="0" borderId="0" xfId="0" applyNumberFormat="1"/>
  </cellXfs>
  <cellStyles count="2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96053688245"/>
          <c:y val="0.0285714392843792"/>
          <c:w val="0.810265231829733"/>
          <c:h val="0.80440166206845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'15k'!$C$37:$H$37</c:f>
                <c:numCache>
                  <c:formatCode>General</c:formatCode>
                  <c:ptCount val="6"/>
                  <c:pt idx="0">
                    <c:v>3.119662107771716</c:v>
                  </c:pt>
                  <c:pt idx="1">
                    <c:v>2.04913599678824</c:v>
                  </c:pt>
                  <c:pt idx="2">
                    <c:v>2.969111820056631</c:v>
                  </c:pt>
                  <c:pt idx="3">
                    <c:v>3.28062494046485</c:v>
                  </c:pt>
                  <c:pt idx="4">
                    <c:v>3.342747123749167</c:v>
                  </c:pt>
                  <c:pt idx="5">
                    <c:v>2.334300394836391</c:v>
                  </c:pt>
                </c:numCache>
              </c:numRef>
            </c:plus>
            <c:minus>
              <c:numRef>
                <c:f>'15k'!$C$37:$H$37</c:f>
                <c:numCache>
                  <c:formatCode>General</c:formatCode>
                  <c:ptCount val="6"/>
                  <c:pt idx="0">
                    <c:v>3.119662107771716</c:v>
                  </c:pt>
                  <c:pt idx="1">
                    <c:v>2.04913599678824</c:v>
                  </c:pt>
                  <c:pt idx="2">
                    <c:v>2.969111820056631</c:v>
                  </c:pt>
                  <c:pt idx="3">
                    <c:v>3.28062494046485</c:v>
                  </c:pt>
                  <c:pt idx="4">
                    <c:v>3.342747123749167</c:v>
                  </c:pt>
                  <c:pt idx="5">
                    <c:v>2.334300394836391</c:v>
                  </c:pt>
                </c:numCache>
              </c:numRef>
            </c:minus>
          </c:errBars>
          <c:xVal>
            <c:numRef>
              <c:f>'15k'!$C$18:$H$18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xVal>
          <c:yVal>
            <c:numRef>
              <c:f>'15k'!$C$36:$H$36</c:f>
              <c:numCache>
                <c:formatCode>General</c:formatCode>
                <c:ptCount val="6"/>
                <c:pt idx="0">
                  <c:v>6.5625</c:v>
                </c:pt>
                <c:pt idx="1">
                  <c:v>7.4375</c:v>
                </c:pt>
                <c:pt idx="2">
                  <c:v>10.9375</c:v>
                </c:pt>
                <c:pt idx="3">
                  <c:v>10.625</c:v>
                </c:pt>
                <c:pt idx="4">
                  <c:v>8.8125</c:v>
                </c:pt>
                <c:pt idx="5">
                  <c:v>6.9375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298600"/>
        <c:axId val="-2121675336"/>
      </c:scatterChart>
      <c:valAx>
        <c:axId val="-2069298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from Surface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1675336"/>
        <c:crosses val="autoZero"/>
        <c:crossBetween val="midCat"/>
      </c:valAx>
      <c:valAx>
        <c:axId val="-21216753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Atoms Ejected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9298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'10K gjf'!$C$1:$J$1</c:f>
              <c:numCache>
                <c:formatCode>General</c:formatCode>
                <c:ptCount val="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</c:numCache>
            </c:numRef>
          </c:xVal>
          <c:yVal>
            <c:numRef>
              <c:f>'10K gjf'!$C$34:$J$34</c:f>
              <c:numCache>
                <c:formatCode>General</c:formatCode>
                <c:ptCount val="8"/>
                <c:pt idx="0">
                  <c:v>8.6875</c:v>
                </c:pt>
                <c:pt idx="1">
                  <c:v>7.6875</c:v>
                </c:pt>
                <c:pt idx="2">
                  <c:v>10.375</c:v>
                </c:pt>
                <c:pt idx="3">
                  <c:v>11.0</c:v>
                </c:pt>
                <c:pt idx="4">
                  <c:v>7.625</c:v>
                </c:pt>
                <c:pt idx="5">
                  <c:v>6.1875</c:v>
                </c:pt>
                <c:pt idx="6">
                  <c:v>6.1875</c:v>
                </c:pt>
                <c:pt idx="7">
                  <c:v>7.59375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1069080"/>
        <c:axId val="-2021066120"/>
      </c:scatterChart>
      <c:valAx>
        <c:axId val="-2021069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1066120"/>
        <c:crosses val="autoZero"/>
        <c:crossBetween val="midCat"/>
      </c:valAx>
      <c:valAx>
        <c:axId val="-2021066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21069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'7.5K gjf'!$B$36:$K$36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6.392961729700824</c:v>
                  </c:pt>
                  <c:pt idx="2">
                    <c:v>5.450855708692833</c:v>
                  </c:pt>
                  <c:pt idx="3">
                    <c:v>7.268746619559306</c:v>
                  </c:pt>
                  <c:pt idx="4">
                    <c:v>6.06949006733015</c:v>
                  </c:pt>
                  <c:pt idx="5">
                    <c:v>5.833630944789017</c:v>
                  </c:pt>
                  <c:pt idx="6">
                    <c:v>7.481630730468911</c:v>
                  </c:pt>
                  <c:pt idx="7">
                    <c:v>4.911207557965694</c:v>
                  </c:pt>
                  <c:pt idx="8">
                    <c:v>7.357252657525543</c:v>
                  </c:pt>
                  <c:pt idx="9">
                    <c:v>7.82392440553002</c:v>
                  </c:pt>
                </c:numCache>
              </c:numRef>
            </c:plus>
            <c:minus>
              <c:numRef>
                <c:f>'7.5K gjf'!$B$36:$K$36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6.392961729700824</c:v>
                  </c:pt>
                  <c:pt idx="2">
                    <c:v>5.450855708692833</c:v>
                  </c:pt>
                  <c:pt idx="3">
                    <c:v>7.268746619559306</c:v>
                  </c:pt>
                  <c:pt idx="4">
                    <c:v>6.06949006733015</c:v>
                  </c:pt>
                  <c:pt idx="5">
                    <c:v>5.833630944789017</c:v>
                  </c:pt>
                  <c:pt idx="6">
                    <c:v>7.481630730468911</c:v>
                  </c:pt>
                  <c:pt idx="7">
                    <c:v>4.911207557965694</c:v>
                  </c:pt>
                  <c:pt idx="8">
                    <c:v>7.357252657525543</c:v>
                  </c:pt>
                  <c:pt idx="9">
                    <c:v>7.82392440553002</c:v>
                  </c:pt>
                </c:numCache>
              </c:numRef>
            </c:minus>
          </c:errBars>
          <c:xVal>
            <c:numRef>
              <c:f>'7.5K gjf'!$C$2:$K$2</c:f>
              <c:numCache>
                <c:formatCode>General</c:formatCode>
                <c:ptCount val="9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12.0</c:v>
                </c:pt>
              </c:numCache>
            </c:numRef>
          </c:xVal>
          <c:yVal>
            <c:numRef>
              <c:f>'7.5K gjf'!$C$35:$K$35</c:f>
              <c:numCache>
                <c:formatCode>General</c:formatCode>
                <c:ptCount val="9"/>
                <c:pt idx="0">
                  <c:v>7.96875</c:v>
                </c:pt>
                <c:pt idx="1">
                  <c:v>7.612903225806452</c:v>
                </c:pt>
                <c:pt idx="2">
                  <c:v>10.4375</c:v>
                </c:pt>
                <c:pt idx="3">
                  <c:v>8.75</c:v>
                </c:pt>
                <c:pt idx="4">
                  <c:v>9.03125</c:v>
                </c:pt>
                <c:pt idx="5">
                  <c:v>8.65625</c:v>
                </c:pt>
                <c:pt idx="6">
                  <c:v>7.40625</c:v>
                </c:pt>
                <c:pt idx="7">
                  <c:v>8.4375</c:v>
                </c:pt>
                <c:pt idx="8">
                  <c:v>7.4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1029544"/>
        <c:axId val="-2021406712"/>
      </c:scatterChart>
      <c:valAx>
        <c:axId val="-2021029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1406712"/>
        <c:crosses val="autoZero"/>
        <c:crossBetween val="midCat"/>
      </c:valAx>
      <c:valAx>
        <c:axId val="-2021406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21029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'7.5K gjf'!$C$2:$K$2</c:f>
              <c:numCache>
                <c:formatCode>General</c:formatCode>
                <c:ptCount val="9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12.0</c:v>
                </c:pt>
              </c:numCache>
            </c:numRef>
          </c:xVal>
          <c:yVal>
            <c:numRef>
              <c:f>'7.5K gjf'!$C$35:$K$35</c:f>
              <c:numCache>
                <c:formatCode>General</c:formatCode>
                <c:ptCount val="9"/>
                <c:pt idx="0">
                  <c:v>7.96875</c:v>
                </c:pt>
                <c:pt idx="1">
                  <c:v>7.612903225806452</c:v>
                </c:pt>
                <c:pt idx="2">
                  <c:v>10.4375</c:v>
                </c:pt>
                <c:pt idx="3">
                  <c:v>8.75</c:v>
                </c:pt>
                <c:pt idx="4">
                  <c:v>9.03125</c:v>
                </c:pt>
                <c:pt idx="5">
                  <c:v>8.65625</c:v>
                </c:pt>
                <c:pt idx="6">
                  <c:v>7.40625</c:v>
                </c:pt>
                <c:pt idx="7">
                  <c:v>8.4375</c:v>
                </c:pt>
                <c:pt idx="8">
                  <c:v>7.4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1136632"/>
        <c:axId val="-2021251416"/>
      </c:scatterChart>
      <c:valAx>
        <c:axId val="-2021136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1251416"/>
        <c:crosses val="autoZero"/>
        <c:crossBetween val="midCat"/>
      </c:valAx>
      <c:valAx>
        <c:axId val="-20212514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21136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'7.5K gjf'!$C$2:$K$2</c:f>
              <c:numCache>
                <c:formatCode>General</c:formatCode>
                <c:ptCount val="9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12.0</c:v>
                </c:pt>
              </c:numCache>
            </c:numRef>
          </c:xVal>
          <c:yVal>
            <c:numRef>
              <c:f>'7.5K gjf'!$C$35:$K$35</c:f>
              <c:numCache>
                <c:formatCode>General</c:formatCode>
                <c:ptCount val="9"/>
                <c:pt idx="0">
                  <c:v>7.96875</c:v>
                </c:pt>
                <c:pt idx="1">
                  <c:v>7.612903225806452</c:v>
                </c:pt>
                <c:pt idx="2">
                  <c:v>10.4375</c:v>
                </c:pt>
                <c:pt idx="3">
                  <c:v>8.75</c:v>
                </c:pt>
                <c:pt idx="4">
                  <c:v>9.03125</c:v>
                </c:pt>
                <c:pt idx="5">
                  <c:v>8.65625</c:v>
                </c:pt>
                <c:pt idx="6">
                  <c:v>7.40625</c:v>
                </c:pt>
                <c:pt idx="7">
                  <c:v>8.4375</c:v>
                </c:pt>
                <c:pt idx="8">
                  <c:v>7.4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'10K gjf'!$C$1:$J$1</c:f>
              <c:numCache>
                <c:formatCode>General</c:formatCode>
                <c:ptCount val="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</c:numCache>
            </c:numRef>
          </c:xVal>
          <c:yVal>
            <c:numRef>
              <c:f>'10K gjf'!$C$34:$J$34</c:f>
              <c:numCache>
                <c:formatCode>General</c:formatCode>
                <c:ptCount val="8"/>
                <c:pt idx="0">
                  <c:v>8.6875</c:v>
                </c:pt>
                <c:pt idx="1">
                  <c:v>7.6875</c:v>
                </c:pt>
                <c:pt idx="2">
                  <c:v>10.375</c:v>
                </c:pt>
                <c:pt idx="3">
                  <c:v>11.0</c:v>
                </c:pt>
                <c:pt idx="4">
                  <c:v>7.625</c:v>
                </c:pt>
                <c:pt idx="5">
                  <c:v>6.1875</c:v>
                </c:pt>
                <c:pt idx="6">
                  <c:v>6.1875</c:v>
                </c:pt>
                <c:pt idx="7">
                  <c:v>7.59375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xVal>
            <c:numRef>
              <c:f>'15k'!$M$74:$U$74</c:f>
              <c:numCache>
                <c:formatCode>General</c:formatCode>
                <c:ptCount val="9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12.0</c:v>
                </c:pt>
              </c:numCache>
            </c:numRef>
          </c:xVal>
          <c:yVal>
            <c:numRef>
              <c:f>'15k'!$M$107:$U$107</c:f>
              <c:numCache>
                <c:formatCode>General</c:formatCode>
                <c:ptCount val="9"/>
                <c:pt idx="0">
                  <c:v>6.166666666666667</c:v>
                </c:pt>
                <c:pt idx="1">
                  <c:v>7.53125</c:v>
                </c:pt>
                <c:pt idx="2">
                  <c:v>8.09375</c:v>
                </c:pt>
                <c:pt idx="3">
                  <c:v>8.46875</c:v>
                </c:pt>
                <c:pt idx="4">
                  <c:v>6.4375</c:v>
                </c:pt>
                <c:pt idx="5">
                  <c:v>4.8125</c:v>
                </c:pt>
                <c:pt idx="6">
                  <c:v>3.84375</c:v>
                </c:pt>
                <c:pt idx="7">
                  <c:v>2.9375</c:v>
                </c:pt>
                <c:pt idx="8">
                  <c:v>1.96875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7961336"/>
        <c:axId val="-2018264328"/>
      </c:scatterChart>
      <c:valAx>
        <c:axId val="-2017961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18264328"/>
        <c:crosses val="autoZero"/>
        <c:crossBetween val="midCat"/>
      </c:valAx>
      <c:valAx>
        <c:axId val="-2018264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17961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94792213473316"/>
          <c:y val="0.0833333333333333"/>
          <c:w val="0.877951443569554"/>
          <c:h val="0.82246937882764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'10Kgjf rand1'!$C$36:$O$36</c:f>
                <c:numCache>
                  <c:formatCode>General</c:formatCode>
                  <c:ptCount val="13"/>
                  <c:pt idx="0">
                    <c:v>0.573014410039489</c:v>
                  </c:pt>
                  <c:pt idx="1">
                    <c:v>1.340087845429448</c:v>
                  </c:pt>
                  <c:pt idx="2">
                    <c:v>1.300395411329358</c:v>
                  </c:pt>
                  <c:pt idx="3">
                    <c:v>2.250608956572249</c:v>
                  </c:pt>
                  <c:pt idx="4">
                    <c:v>1.324101471814487</c:v>
                  </c:pt>
                  <c:pt idx="5">
                    <c:v>1.696028330180305</c:v>
                  </c:pt>
                  <c:pt idx="6">
                    <c:v>1.124719947221271</c:v>
                  </c:pt>
                  <c:pt idx="7">
                    <c:v>1.945191548740206</c:v>
                  </c:pt>
                  <c:pt idx="8">
                    <c:v>1.408320608201084</c:v>
                  </c:pt>
                  <c:pt idx="9">
                    <c:v>1.641731097952363</c:v>
                  </c:pt>
                  <c:pt idx="10">
                    <c:v>1.657086672422222</c:v>
                  </c:pt>
                  <c:pt idx="11">
                    <c:v>1.452444668176004</c:v>
                  </c:pt>
                  <c:pt idx="12">
                    <c:v>1.058147513002886</c:v>
                  </c:pt>
                </c:numCache>
              </c:numRef>
            </c:plus>
            <c:minus>
              <c:numRef>
                <c:f>'10Kgjf rand1'!$C$36:$O$36</c:f>
                <c:numCache>
                  <c:formatCode>General</c:formatCode>
                  <c:ptCount val="13"/>
                  <c:pt idx="0">
                    <c:v>0.573014410039489</c:v>
                  </c:pt>
                  <c:pt idx="1">
                    <c:v>1.340087845429448</c:v>
                  </c:pt>
                  <c:pt idx="2">
                    <c:v>1.300395411329358</c:v>
                  </c:pt>
                  <c:pt idx="3">
                    <c:v>2.250608956572249</c:v>
                  </c:pt>
                  <c:pt idx="4">
                    <c:v>1.324101471814487</c:v>
                  </c:pt>
                  <c:pt idx="5">
                    <c:v>1.696028330180305</c:v>
                  </c:pt>
                  <c:pt idx="6">
                    <c:v>1.124719947221271</c:v>
                  </c:pt>
                  <c:pt idx="7">
                    <c:v>1.945191548740206</c:v>
                  </c:pt>
                  <c:pt idx="8">
                    <c:v>1.408320608201084</c:v>
                  </c:pt>
                  <c:pt idx="9">
                    <c:v>1.641731097952363</c:v>
                  </c:pt>
                  <c:pt idx="10">
                    <c:v>1.657086672422222</c:v>
                  </c:pt>
                  <c:pt idx="11">
                    <c:v>1.452444668176004</c:v>
                  </c:pt>
                  <c:pt idx="12">
                    <c:v>1.058147513002886</c:v>
                  </c:pt>
                </c:numCache>
              </c:numRef>
            </c:minus>
          </c:errBars>
          <c:xVal>
            <c:numRef>
              <c:f>'10Kgjf rand1'!$C$2:$O$2</c:f>
              <c:numCache>
                <c:formatCode>General</c:formatCode>
                <c:ptCount val="13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12.0</c:v>
                </c:pt>
                <c:pt idx="4">
                  <c:v>14.0</c:v>
                </c:pt>
                <c:pt idx="5">
                  <c:v>16.0</c:v>
                </c:pt>
                <c:pt idx="6">
                  <c:v>18.0</c:v>
                </c:pt>
                <c:pt idx="7">
                  <c:v>20.0</c:v>
                </c:pt>
                <c:pt idx="8">
                  <c:v>22.0</c:v>
                </c:pt>
                <c:pt idx="9">
                  <c:v>24.0</c:v>
                </c:pt>
                <c:pt idx="10">
                  <c:v>26.0</c:v>
                </c:pt>
                <c:pt idx="11">
                  <c:v>28.0</c:v>
                </c:pt>
                <c:pt idx="12">
                  <c:v>30.0</c:v>
                </c:pt>
              </c:numCache>
            </c:numRef>
          </c:xVal>
          <c:yVal>
            <c:numRef>
              <c:f>'10Kgjf rand1'!$C$35:$O$35</c:f>
              <c:numCache>
                <c:formatCode>General</c:formatCode>
                <c:ptCount val="13"/>
                <c:pt idx="0">
                  <c:v>4.59375</c:v>
                </c:pt>
                <c:pt idx="1">
                  <c:v>8.78125</c:v>
                </c:pt>
                <c:pt idx="2">
                  <c:v>11.625</c:v>
                </c:pt>
                <c:pt idx="3">
                  <c:v>9.90625</c:v>
                </c:pt>
                <c:pt idx="4">
                  <c:v>7.34375</c:v>
                </c:pt>
                <c:pt idx="5">
                  <c:v>8.875</c:v>
                </c:pt>
                <c:pt idx="6">
                  <c:v>6.3125</c:v>
                </c:pt>
                <c:pt idx="7">
                  <c:v>6.625</c:v>
                </c:pt>
                <c:pt idx="8">
                  <c:v>7.375</c:v>
                </c:pt>
                <c:pt idx="9">
                  <c:v>7.59375</c:v>
                </c:pt>
                <c:pt idx="10">
                  <c:v>6.53125</c:v>
                </c:pt>
                <c:pt idx="11">
                  <c:v>5.90625</c:v>
                </c:pt>
                <c:pt idx="12">
                  <c:v>5.90625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8069640"/>
        <c:axId val="-2122006520"/>
      </c:scatterChart>
      <c:valAx>
        <c:axId val="-2018069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2006520"/>
        <c:crosses val="autoZero"/>
        <c:crossBetween val="midCat"/>
      </c:valAx>
      <c:valAx>
        <c:axId val="-2122006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18069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70021545904566"/>
          <c:y val="0.0292026663854873"/>
          <c:w val="0.877951443569554"/>
          <c:h val="0.82246937882764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'10Kgjf rand1'!$C$2:$O$2</c:f>
              <c:numCache>
                <c:formatCode>General</c:formatCode>
                <c:ptCount val="13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12.0</c:v>
                </c:pt>
                <c:pt idx="4">
                  <c:v>14.0</c:v>
                </c:pt>
                <c:pt idx="5">
                  <c:v>16.0</c:v>
                </c:pt>
                <c:pt idx="6">
                  <c:v>18.0</c:v>
                </c:pt>
                <c:pt idx="7">
                  <c:v>20.0</c:v>
                </c:pt>
                <c:pt idx="8">
                  <c:v>22.0</c:v>
                </c:pt>
                <c:pt idx="9">
                  <c:v>24.0</c:v>
                </c:pt>
                <c:pt idx="10">
                  <c:v>26.0</c:v>
                </c:pt>
                <c:pt idx="11">
                  <c:v>28.0</c:v>
                </c:pt>
                <c:pt idx="12">
                  <c:v>30.0</c:v>
                </c:pt>
              </c:numCache>
            </c:numRef>
          </c:xVal>
          <c:yVal>
            <c:numRef>
              <c:f>'10Kgjf rand1'!$C$35:$O$35</c:f>
              <c:numCache>
                <c:formatCode>General</c:formatCode>
                <c:ptCount val="13"/>
                <c:pt idx="0">
                  <c:v>4.59375</c:v>
                </c:pt>
                <c:pt idx="1">
                  <c:v>8.78125</c:v>
                </c:pt>
                <c:pt idx="2">
                  <c:v>11.625</c:v>
                </c:pt>
                <c:pt idx="3">
                  <c:v>9.90625</c:v>
                </c:pt>
                <c:pt idx="4">
                  <c:v>7.34375</c:v>
                </c:pt>
                <c:pt idx="5">
                  <c:v>8.875</c:v>
                </c:pt>
                <c:pt idx="6">
                  <c:v>6.3125</c:v>
                </c:pt>
                <c:pt idx="7">
                  <c:v>6.625</c:v>
                </c:pt>
                <c:pt idx="8">
                  <c:v>7.375</c:v>
                </c:pt>
                <c:pt idx="9">
                  <c:v>7.59375</c:v>
                </c:pt>
                <c:pt idx="10">
                  <c:v>6.53125</c:v>
                </c:pt>
                <c:pt idx="11">
                  <c:v>5.90625</c:v>
                </c:pt>
                <c:pt idx="12">
                  <c:v>5.90625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8093880"/>
        <c:axId val="-2122268344"/>
      </c:scatterChart>
      <c:valAx>
        <c:axId val="-2018093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2268344"/>
        <c:crosses val="autoZero"/>
        <c:crossBetween val="midCat"/>
      </c:valAx>
      <c:valAx>
        <c:axId val="-2122268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18093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72569991251093"/>
          <c:y val="0.0277777777777778"/>
          <c:w val="0.878020778652668"/>
          <c:h val="0.82246937882764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'7.5K gjf rand1'!$B$2:$K$2</c:f>
              <c:numCache>
                <c:formatCode>General</c:formatCode>
                <c:ptCount val="10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</c:numCache>
            </c:numRef>
          </c:xVal>
          <c:yVal>
            <c:numRef>
              <c:f>'7.5K gjf rand1'!$B$19:$K$19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4.4375</c:v>
                </c:pt>
                <c:pt idx="3">
                  <c:v>8.3125</c:v>
                </c:pt>
                <c:pt idx="4">
                  <c:v>10.1875</c:v>
                </c:pt>
                <c:pt idx="5">
                  <c:v>8.25</c:v>
                </c:pt>
                <c:pt idx="6">
                  <c:v>7.0</c:v>
                </c:pt>
                <c:pt idx="7">
                  <c:v>5.0</c:v>
                </c:pt>
                <c:pt idx="8">
                  <c:v>3.5625</c:v>
                </c:pt>
                <c:pt idx="9">
                  <c:v>2.6875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0782616"/>
        <c:axId val="-2020779656"/>
      </c:scatterChart>
      <c:valAx>
        <c:axId val="-2020782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0779656"/>
        <c:crosses val="autoZero"/>
        <c:crossBetween val="midCat"/>
      </c:valAx>
      <c:valAx>
        <c:axId val="-2020779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20782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2613188721132"/>
          <c:y val="0.0285358310049668"/>
          <c:w val="0.878020778652668"/>
          <c:h val="0.82246937882764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'7.5K gjf rand1'!$C$56:$P$56</c:f>
                <c:numCache>
                  <c:formatCode>General</c:formatCode>
                  <c:ptCount val="14"/>
                  <c:pt idx="0">
                    <c:v>0.0</c:v>
                  </c:pt>
                  <c:pt idx="1">
                    <c:v>1.886323335434954</c:v>
                  </c:pt>
                  <c:pt idx="2">
                    <c:v>3.060833154024275</c:v>
                  </c:pt>
                  <c:pt idx="3">
                    <c:v>2.629017183436892</c:v>
                  </c:pt>
                  <c:pt idx="4">
                    <c:v>2.825574449159309</c:v>
                  </c:pt>
                  <c:pt idx="5">
                    <c:v>3.875455228203063</c:v>
                  </c:pt>
                  <c:pt idx="6">
                    <c:v>3.665960189759734</c:v>
                  </c:pt>
                  <c:pt idx="7">
                    <c:v>4.09092105529368</c:v>
                  </c:pt>
                  <c:pt idx="8">
                    <c:v>3.190838700546179</c:v>
                  </c:pt>
                  <c:pt idx="9">
                    <c:v>4.09560026519411</c:v>
                  </c:pt>
                  <c:pt idx="10">
                    <c:v>2.43471977505924</c:v>
                  </c:pt>
                  <c:pt idx="11">
                    <c:v>3.26296267266817</c:v>
                  </c:pt>
                  <c:pt idx="12">
                    <c:v>3.084975541676454</c:v>
                  </c:pt>
                  <c:pt idx="13">
                    <c:v>2.314052443156252</c:v>
                  </c:pt>
                </c:numCache>
              </c:numRef>
            </c:plus>
            <c:minus>
              <c:numRef>
                <c:f>'7.5K gjf rand1'!$C$56:$P$56</c:f>
                <c:numCache>
                  <c:formatCode>General</c:formatCode>
                  <c:ptCount val="14"/>
                  <c:pt idx="0">
                    <c:v>0.0</c:v>
                  </c:pt>
                  <c:pt idx="1">
                    <c:v>1.886323335434954</c:v>
                  </c:pt>
                  <c:pt idx="2">
                    <c:v>3.060833154024275</c:v>
                  </c:pt>
                  <c:pt idx="3">
                    <c:v>2.629017183436892</c:v>
                  </c:pt>
                  <c:pt idx="4">
                    <c:v>2.825574449159309</c:v>
                  </c:pt>
                  <c:pt idx="5">
                    <c:v>3.875455228203063</c:v>
                  </c:pt>
                  <c:pt idx="6">
                    <c:v>3.665960189759734</c:v>
                  </c:pt>
                  <c:pt idx="7">
                    <c:v>4.09092105529368</c:v>
                  </c:pt>
                  <c:pt idx="8">
                    <c:v>3.190838700546179</c:v>
                  </c:pt>
                  <c:pt idx="9">
                    <c:v>4.09560026519411</c:v>
                  </c:pt>
                  <c:pt idx="10">
                    <c:v>2.43471977505924</c:v>
                  </c:pt>
                  <c:pt idx="11">
                    <c:v>3.26296267266817</c:v>
                  </c:pt>
                  <c:pt idx="12">
                    <c:v>3.084975541676454</c:v>
                  </c:pt>
                  <c:pt idx="13">
                    <c:v>2.314052443156252</c:v>
                  </c:pt>
                </c:numCache>
              </c:numRef>
            </c:minus>
          </c:errBars>
          <c:xVal>
            <c:numRef>
              <c:f>'7.5K gjf rand1'!$C$22:$T$22</c:f>
              <c:numCache>
                <c:formatCode>General</c:formatCode>
                <c:ptCount val="1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12.0</c:v>
                </c:pt>
                <c:pt idx="5">
                  <c:v>14.0</c:v>
                </c:pt>
                <c:pt idx="6">
                  <c:v>16.0</c:v>
                </c:pt>
                <c:pt idx="7">
                  <c:v>18.0</c:v>
                </c:pt>
                <c:pt idx="8">
                  <c:v>20.0</c:v>
                </c:pt>
                <c:pt idx="9">
                  <c:v>22.0</c:v>
                </c:pt>
                <c:pt idx="10">
                  <c:v>24.0</c:v>
                </c:pt>
                <c:pt idx="11">
                  <c:v>26.0</c:v>
                </c:pt>
                <c:pt idx="12">
                  <c:v>28.0</c:v>
                </c:pt>
                <c:pt idx="13">
                  <c:v>30.0</c:v>
                </c:pt>
                <c:pt idx="14">
                  <c:v>32.0</c:v>
                </c:pt>
                <c:pt idx="15">
                  <c:v>34.0</c:v>
                </c:pt>
                <c:pt idx="16">
                  <c:v>36.0</c:v>
                </c:pt>
                <c:pt idx="17">
                  <c:v>38.0</c:v>
                </c:pt>
              </c:numCache>
            </c:numRef>
          </c:xVal>
          <c:yVal>
            <c:numRef>
              <c:f>'7.5K gjf rand1'!$C$55:$T$55</c:f>
              <c:numCache>
                <c:formatCode>General</c:formatCode>
                <c:ptCount val="18"/>
                <c:pt idx="0">
                  <c:v>1.0</c:v>
                </c:pt>
                <c:pt idx="1">
                  <c:v>7.3125</c:v>
                </c:pt>
                <c:pt idx="2">
                  <c:v>11.8125</c:v>
                </c:pt>
                <c:pt idx="3">
                  <c:v>13.84375</c:v>
                </c:pt>
                <c:pt idx="4">
                  <c:v>15.25</c:v>
                </c:pt>
                <c:pt idx="5">
                  <c:v>16.125</c:v>
                </c:pt>
                <c:pt idx="6">
                  <c:v>15.4375</c:v>
                </c:pt>
                <c:pt idx="7">
                  <c:v>16.1875</c:v>
                </c:pt>
                <c:pt idx="8">
                  <c:v>14.0</c:v>
                </c:pt>
                <c:pt idx="9">
                  <c:v>14.5625</c:v>
                </c:pt>
                <c:pt idx="10">
                  <c:v>12.15625</c:v>
                </c:pt>
                <c:pt idx="11">
                  <c:v>11.8125</c:v>
                </c:pt>
                <c:pt idx="12">
                  <c:v>11.28125</c:v>
                </c:pt>
                <c:pt idx="13">
                  <c:v>8.75</c:v>
                </c:pt>
                <c:pt idx="14">
                  <c:v>10.76666666666667</c:v>
                </c:pt>
                <c:pt idx="15">
                  <c:v>10.93333333333333</c:v>
                </c:pt>
                <c:pt idx="16">
                  <c:v>9.074074074074074</c:v>
                </c:pt>
                <c:pt idx="17">
                  <c:v>4.5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214664"/>
        <c:axId val="-2067211672"/>
      </c:scatterChart>
      <c:valAx>
        <c:axId val="-2067214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7211672"/>
        <c:crosses val="autoZero"/>
        <c:crossBetween val="midCat"/>
      </c:valAx>
      <c:valAx>
        <c:axId val="-2067211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67214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72569991251093"/>
          <c:y val="0.0277777777777778"/>
          <c:w val="0.878020778652668"/>
          <c:h val="0.82246937882764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'7.5K gjf rand1'!$C$22:$P$22</c:f>
              <c:numCache>
                <c:formatCode>General</c:formatCode>
                <c:ptCount val="14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12.0</c:v>
                </c:pt>
                <c:pt idx="5">
                  <c:v>14.0</c:v>
                </c:pt>
                <c:pt idx="6">
                  <c:v>16.0</c:v>
                </c:pt>
                <c:pt idx="7">
                  <c:v>18.0</c:v>
                </c:pt>
                <c:pt idx="8">
                  <c:v>20.0</c:v>
                </c:pt>
                <c:pt idx="9">
                  <c:v>22.0</c:v>
                </c:pt>
                <c:pt idx="10">
                  <c:v>24.0</c:v>
                </c:pt>
                <c:pt idx="11">
                  <c:v>26.0</c:v>
                </c:pt>
                <c:pt idx="12">
                  <c:v>28.0</c:v>
                </c:pt>
                <c:pt idx="13">
                  <c:v>30.0</c:v>
                </c:pt>
              </c:numCache>
            </c:numRef>
          </c:xVal>
          <c:yVal>
            <c:numRef>
              <c:f>'7.5K gjf rand1'!$C$55:$P$55</c:f>
              <c:numCache>
                <c:formatCode>General</c:formatCode>
                <c:ptCount val="14"/>
                <c:pt idx="0">
                  <c:v>1.0</c:v>
                </c:pt>
                <c:pt idx="1">
                  <c:v>7.3125</c:v>
                </c:pt>
                <c:pt idx="2">
                  <c:v>11.8125</c:v>
                </c:pt>
                <c:pt idx="3">
                  <c:v>13.84375</c:v>
                </c:pt>
                <c:pt idx="4">
                  <c:v>15.25</c:v>
                </c:pt>
                <c:pt idx="5">
                  <c:v>16.125</c:v>
                </c:pt>
                <c:pt idx="6">
                  <c:v>15.4375</c:v>
                </c:pt>
                <c:pt idx="7">
                  <c:v>16.1875</c:v>
                </c:pt>
                <c:pt idx="8">
                  <c:v>14.0</c:v>
                </c:pt>
                <c:pt idx="9">
                  <c:v>14.5625</c:v>
                </c:pt>
                <c:pt idx="10">
                  <c:v>12.15625</c:v>
                </c:pt>
                <c:pt idx="11">
                  <c:v>11.8125</c:v>
                </c:pt>
                <c:pt idx="12">
                  <c:v>11.28125</c:v>
                </c:pt>
                <c:pt idx="13">
                  <c:v>8.75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1641720"/>
        <c:axId val="-2021638696"/>
      </c:scatterChart>
      <c:valAx>
        <c:axId val="-2021641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1638696"/>
        <c:crosses val="autoZero"/>
        <c:crossBetween val="midCat"/>
      </c:valAx>
      <c:valAx>
        <c:axId val="-2021638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21641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'7.5K gjf rand1'!$D$120:$P$120</c:f>
                <c:numCache>
                  <c:formatCode>General</c:formatCode>
                  <c:ptCount val="13"/>
                  <c:pt idx="0">
                    <c:v>3.883364943895815</c:v>
                  </c:pt>
                  <c:pt idx="1">
                    <c:v>3.801595116580374</c:v>
                  </c:pt>
                  <c:pt idx="2">
                    <c:v>2.469415798409296</c:v>
                  </c:pt>
                  <c:pt idx="3">
                    <c:v>3.132805868797148</c:v>
                  </c:pt>
                  <c:pt idx="4">
                    <c:v>2.847560814173627</c:v>
                  </c:pt>
                  <c:pt idx="5">
                    <c:v>3.43246624764599</c:v>
                  </c:pt>
                  <c:pt idx="6">
                    <c:v>3.780794794609385</c:v>
                  </c:pt>
                  <c:pt idx="7">
                    <c:v>4.176062131175735</c:v>
                  </c:pt>
                  <c:pt idx="8">
                    <c:v>4.255326366281371</c:v>
                  </c:pt>
                  <c:pt idx="9">
                    <c:v>3.994000840452304</c:v>
                  </c:pt>
                  <c:pt idx="10">
                    <c:v>3.4942523504237</c:v>
                  </c:pt>
                  <c:pt idx="11">
                    <c:v>5.802739739256373</c:v>
                  </c:pt>
                  <c:pt idx="12">
                    <c:v>4.744844501116507</c:v>
                  </c:pt>
                </c:numCache>
              </c:numRef>
            </c:plus>
            <c:minus>
              <c:numRef>
                <c:f>'7.5K gjf rand1'!$D$120:$P$120</c:f>
                <c:numCache>
                  <c:formatCode>General</c:formatCode>
                  <c:ptCount val="13"/>
                  <c:pt idx="0">
                    <c:v>3.883364943895815</c:v>
                  </c:pt>
                  <c:pt idx="1">
                    <c:v>3.801595116580374</c:v>
                  </c:pt>
                  <c:pt idx="2">
                    <c:v>2.469415798409296</c:v>
                  </c:pt>
                  <c:pt idx="3">
                    <c:v>3.132805868797148</c:v>
                  </c:pt>
                  <c:pt idx="4">
                    <c:v>2.847560814173627</c:v>
                  </c:pt>
                  <c:pt idx="5">
                    <c:v>3.43246624764599</c:v>
                  </c:pt>
                  <c:pt idx="6">
                    <c:v>3.780794794609385</c:v>
                  </c:pt>
                  <c:pt idx="7">
                    <c:v>4.176062131175735</c:v>
                  </c:pt>
                  <c:pt idx="8">
                    <c:v>4.255326366281371</c:v>
                  </c:pt>
                  <c:pt idx="9">
                    <c:v>3.994000840452304</c:v>
                  </c:pt>
                  <c:pt idx="10">
                    <c:v>3.4942523504237</c:v>
                  </c:pt>
                  <c:pt idx="11">
                    <c:v>5.802739739256373</c:v>
                  </c:pt>
                  <c:pt idx="12">
                    <c:v>4.744844501116507</c:v>
                  </c:pt>
                </c:numCache>
              </c:numRef>
            </c:minus>
          </c:errBars>
          <c:xVal>
            <c:numRef>
              <c:f>'7.5K gjf rand1'!$D$22:$P$22</c:f>
              <c:numCache>
                <c:formatCode>General</c:formatCode>
                <c:ptCount val="13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12.0</c:v>
                </c:pt>
                <c:pt idx="4">
                  <c:v>14.0</c:v>
                </c:pt>
                <c:pt idx="5">
                  <c:v>16.0</c:v>
                </c:pt>
                <c:pt idx="6">
                  <c:v>18.0</c:v>
                </c:pt>
                <c:pt idx="7">
                  <c:v>20.0</c:v>
                </c:pt>
                <c:pt idx="8">
                  <c:v>22.0</c:v>
                </c:pt>
                <c:pt idx="9">
                  <c:v>24.0</c:v>
                </c:pt>
                <c:pt idx="10">
                  <c:v>26.0</c:v>
                </c:pt>
                <c:pt idx="11">
                  <c:v>28.0</c:v>
                </c:pt>
                <c:pt idx="12">
                  <c:v>30.0</c:v>
                </c:pt>
              </c:numCache>
            </c:numRef>
          </c:xVal>
          <c:yVal>
            <c:numRef>
              <c:f>'7.5K gjf rand1'!$D$119:$P$119</c:f>
              <c:numCache>
                <c:formatCode>General</c:formatCode>
                <c:ptCount val="13"/>
                <c:pt idx="0">
                  <c:v>8.9739475117372</c:v>
                </c:pt>
                <c:pt idx="1">
                  <c:v>7.184990951483382</c:v>
                </c:pt>
                <c:pt idx="2">
                  <c:v>8.202056458965433</c:v>
                </c:pt>
                <c:pt idx="3">
                  <c:v>10.77031260151285</c:v>
                </c:pt>
                <c:pt idx="4">
                  <c:v>9.97688558371495</c:v>
                </c:pt>
                <c:pt idx="5">
                  <c:v>11.31921445762474</c:v>
                </c:pt>
                <c:pt idx="6">
                  <c:v>12.10169717626936</c:v>
                </c:pt>
                <c:pt idx="7">
                  <c:v>13.42878919001731</c:v>
                </c:pt>
                <c:pt idx="8">
                  <c:v>16.5817831246584</c:v>
                </c:pt>
                <c:pt idx="9">
                  <c:v>11.9062253108449</c:v>
                </c:pt>
                <c:pt idx="10">
                  <c:v>14.94327937435578</c:v>
                </c:pt>
                <c:pt idx="11">
                  <c:v>17.35033306202372</c:v>
                </c:pt>
                <c:pt idx="12">
                  <c:v>19.66314211614172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1611848"/>
        <c:axId val="-2021608856"/>
      </c:scatterChart>
      <c:valAx>
        <c:axId val="-2021611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1608856"/>
        <c:crosses val="autoZero"/>
        <c:crossBetween val="midCat"/>
      </c:valAx>
      <c:valAx>
        <c:axId val="-2021608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21611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28208617344"/>
          <c:y val="0.0208099563002195"/>
          <c:w val="0.810265231829733"/>
          <c:h val="0.80440166206845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'15k'!$M$37:$R$37</c:f>
                <c:numCache>
                  <c:formatCode>General</c:formatCode>
                  <c:ptCount val="6"/>
                  <c:pt idx="0">
                    <c:v>4.13873974377064</c:v>
                  </c:pt>
                  <c:pt idx="1">
                    <c:v>4.915536593292741</c:v>
                  </c:pt>
                  <c:pt idx="2">
                    <c:v>6.009714358159352</c:v>
                  </c:pt>
                  <c:pt idx="3">
                    <c:v>8.333666660000266</c:v>
                  </c:pt>
                  <c:pt idx="4">
                    <c:v>5.391351098441527</c:v>
                  </c:pt>
                  <c:pt idx="5">
                    <c:v>1.408308678285174</c:v>
                  </c:pt>
                </c:numCache>
              </c:numRef>
            </c:plus>
            <c:minus>
              <c:numRef>
                <c:f>'15k'!$M$37:$R$37</c:f>
                <c:numCache>
                  <c:formatCode>General</c:formatCode>
                  <c:ptCount val="6"/>
                  <c:pt idx="0">
                    <c:v>4.13873974377064</c:v>
                  </c:pt>
                  <c:pt idx="1">
                    <c:v>4.915536593292741</c:v>
                  </c:pt>
                  <c:pt idx="2">
                    <c:v>6.009714358159352</c:v>
                  </c:pt>
                  <c:pt idx="3">
                    <c:v>8.333666660000266</c:v>
                  </c:pt>
                  <c:pt idx="4">
                    <c:v>5.391351098441527</c:v>
                  </c:pt>
                  <c:pt idx="5">
                    <c:v>1.408308678285174</c:v>
                  </c:pt>
                </c:numCache>
              </c:numRef>
            </c:minus>
          </c:errBars>
          <c:xVal>
            <c:numRef>
              <c:f>'15k'!$M$18:$R$18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xVal>
          <c:yVal>
            <c:numRef>
              <c:f>'15k'!$M$36:$R$36</c:f>
              <c:numCache>
                <c:formatCode>General</c:formatCode>
                <c:ptCount val="6"/>
                <c:pt idx="0">
                  <c:v>5.9375</c:v>
                </c:pt>
                <c:pt idx="1">
                  <c:v>8.8125</c:v>
                </c:pt>
                <c:pt idx="2">
                  <c:v>9.875</c:v>
                </c:pt>
                <c:pt idx="3">
                  <c:v>10.875</c:v>
                </c:pt>
                <c:pt idx="4">
                  <c:v>6.5</c:v>
                </c:pt>
                <c:pt idx="5">
                  <c:v>2.625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7836808"/>
        <c:axId val="-2017921960"/>
      </c:scatterChart>
      <c:valAx>
        <c:axId val="-2017836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from Surface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17921960"/>
        <c:crosses val="autoZero"/>
        <c:crossBetween val="midCat"/>
      </c:valAx>
      <c:valAx>
        <c:axId val="-20179219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Atoms Ejected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17836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'7.5K gjf rand1'!$D$22:$P$22</c:f>
              <c:numCache>
                <c:formatCode>General</c:formatCode>
                <c:ptCount val="13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12.0</c:v>
                </c:pt>
                <c:pt idx="4">
                  <c:v>14.0</c:v>
                </c:pt>
                <c:pt idx="5">
                  <c:v>16.0</c:v>
                </c:pt>
                <c:pt idx="6">
                  <c:v>18.0</c:v>
                </c:pt>
                <c:pt idx="7">
                  <c:v>20.0</c:v>
                </c:pt>
                <c:pt idx="8">
                  <c:v>22.0</c:v>
                </c:pt>
                <c:pt idx="9">
                  <c:v>24.0</c:v>
                </c:pt>
                <c:pt idx="10">
                  <c:v>26.0</c:v>
                </c:pt>
                <c:pt idx="11">
                  <c:v>28.0</c:v>
                </c:pt>
                <c:pt idx="12">
                  <c:v>30.0</c:v>
                </c:pt>
              </c:numCache>
            </c:numRef>
          </c:xVal>
          <c:yVal>
            <c:numRef>
              <c:f>'7.5K gjf rand1'!$D$80:$P$80</c:f>
              <c:numCache>
                <c:formatCode>General</c:formatCode>
                <c:ptCount val="13"/>
                <c:pt idx="0">
                  <c:v>158.3233215660067</c:v>
                </c:pt>
                <c:pt idx="2">
                  <c:v>155.6616131062792</c:v>
                </c:pt>
                <c:pt idx="3">
                  <c:v>154.5772329772638</c:v>
                </c:pt>
                <c:pt idx="4">
                  <c:v>151.9434660732114</c:v>
                </c:pt>
                <c:pt idx="5">
                  <c:v>150.2988412367172</c:v>
                </c:pt>
                <c:pt idx="6">
                  <c:v>147.6951045001799</c:v>
                </c:pt>
                <c:pt idx="7">
                  <c:v>147.66217232595</c:v>
                </c:pt>
                <c:pt idx="8">
                  <c:v>146.7979906844956</c:v>
                </c:pt>
                <c:pt idx="9">
                  <c:v>143.4142165551692</c:v>
                </c:pt>
                <c:pt idx="10">
                  <c:v>141.6849099810887</c:v>
                </c:pt>
                <c:pt idx="11">
                  <c:v>142.3741281108604</c:v>
                </c:pt>
                <c:pt idx="12">
                  <c:v>140.5285156403117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1586712"/>
        <c:axId val="-2021583688"/>
      </c:scatterChart>
      <c:valAx>
        <c:axId val="-2021586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1583688"/>
        <c:crosses val="autoZero"/>
        <c:crossBetween val="midCat"/>
      </c:valAx>
      <c:valAx>
        <c:axId val="-2021583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21586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'7.5K gjf rand1'!$Z$22</c:f>
              <c:strCache>
                <c:ptCount val="1"/>
                <c:pt idx="0">
                  <c:v>10</c:v>
                </c:pt>
              </c:strCache>
            </c:strRef>
          </c:tx>
          <c:invertIfNegative val="0"/>
          <c:cat>
            <c:strRef>
              <c:f>'7.5K gjf rand1'!$W$55:$W$59</c:f>
              <c:strCache>
                <c:ptCount val="5"/>
                <c:pt idx="0">
                  <c:v>0-5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21+</c:v>
                </c:pt>
              </c:strCache>
            </c:strRef>
          </c:cat>
          <c:val>
            <c:numRef>
              <c:f>'7.5K gjf rand1'!$Z$60:$Z$64</c:f>
              <c:numCache>
                <c:formatCode>General</c:formatCode>
                <c:ptCount val="5"/>
                <c:pt idx="0">
                  <c:v>0.28125</c:v>
                </c:pt>
                <c:pt idx="1">
                  <c:v>0.1875</c:v>
                </c:pt>
                <c:pt idx="2">
                  <c:v>0.125</c:v>
                </c:pt>
                <c:pt idx="3">
                  <c:v>0.1875</c:v>
                </c:pt>
                <c:pt idx="4">
                  <c:v>0.21875</c:v>
                </c:pt>
              </c:numCache>
            </c:numRef>
          </c:val>
        </c:ser>
        <c:ser>
          <c:idx val="1"/>
          <c:order val="1"/>
          <c:tx>
            <c:strRef>
              <c:f>'7.5K gjf rand1'!$AA$22</c:f>
              <c:strCache>
                <c:ptCount val="1"/>
                <c:pt idx="0">
                  <c:v>12</c:v>
                </c:pt>
              </c:strCache>
            </c:strRef>
          </c:tx>
          <c:invertIfNegative val="0"/>
          <c:cat>
            <c:strRef>
              <c:f>'7.5K gjf rand1'!$W$55:$W$59</c:f>
              <c:strCache>
                <c:ptCount val="5"/>
                <c:pt idx="0">
                  <c:v>0-5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21+</c:v>
                </c:pt>
              </c:strCache>
            </c:strRef>
          </c:cat>
          <c:val>
            <c:numRef>
              <c:f>'7.5K gjf rand1'!$AA$60:$AA$64</c:f>
              <c:numCache>
                <c:formatCode>General</c:formatCode>
                <c:ptCount val="5"/>
                <c:pt idx="0">
                  <c:v>0.15625</c:v>
                </c:pt>
                <c:pt idx="1">
                  <c:v>0.25</c:v>
                </c:pt>
                <c:pt idx="2">
                  <c:v>0.1875</c:v>
                </c:pt>
                <c:pt idx="3">
                  <c:v>0.125</c:v>
                </c:pt>
                <c:pt idx="4">
                  <c:v>0.28125</c:v>
                </c:pt>
              </c:numCache>
            </c:numRef>
          </c:val>
        </c:ser>
        <c:ser>
          <c:idx val="2"/>
          <c:order val="2"/>
          <c:tx>
            <c:strRef>
              <c:f>'7.5K gjf rand1'!$AB$22</c:f>
              <c:strCache>
                <c:ptCount val="1"/>
                <c:pt idx="0">
                  <c:v>14</c:v>
                </c:pt>
              </c:strCache>
            </c:strRef>
          </c:tx>
          <c:invertIfNegative val="0"/>
          <c:cat>
            <c:strRef>
              <c:f>'7.5K gjf rand1'!$W$55:$W$59</c:f>
              <c:strCache>
                <c:ptCount val="5"/>
                <c:pt idx="0">
                  <c:v>0-5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21+</c:v>
                </c:pt>
              </c:strCache>
            </c:strRef>
          </c:cat>
          <c:val>
            <c:numRef>
              <c:f>'7.5K gjf rand1'!$AB$60:$AB$64</c:f>
              <c:numCache>
                <c:formatCode>General</c:formatCode>
                <c:ptCount val="5"/>
                <c:pt idx="0">
                  <c:v>0.25</c:v>
                </c:pt>
                <c:pt idx="1">
                  <c:v>0.28125</c:v>
                </c:pt>
                <c:pt idx="2">
                  <c:v>0.125</c:v>
                </c:pt>
                <c:pt idx="3">
                  <c:v>0.03125</c:v>
                </c:pt>
                <c:pt idx="4">
                  <c:v>0.25</c:v>
                </c:pt>
              </c:numCache>
            </c:numRef>
          </c:val>
        </c:ser>
        <c:ser>
          <c:idx val="3"/>
          <c:order val="3"/>
          <c:tx>
            <c:strRef>
              <c:f>'7.5K gjf rand1'!$AC$22</c:f>
              <c:strCache>
                <c:ptCount val="1"/>
                <c:pt idx="0">
                  <c:v>16</c:v>
                </c:pt>
              </c:strCache>
            </c:strRef>
          </c:tx>
          <c:invertIfNegative val="0"/>
          <c:cat>
            <c:strRef>
              <c:f>'7.5K gjf rand1'!$W$55:$W$59</c:f>
              <c:strCache>
                <c:ptCount val="5"/>
                <c:pt idx="0">
                  <c:v>0-5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21+</c:v>
                </c:pt>
              </c:strCache>
            </c:strRef>
          </c:cat>
          <c:val>
            <c:numRef>
              <c:f>'7.5K gjf rand1'!$AC$60:$AC$64</c:f>
              <c:numCache>
                <c:formatCode>General</c:formatCode>
                <c:ptCount val="5"/>
                <c:pt idx="0">
                  <c:v>0.34375</c:v>
                </c:pt>
                <c:pt idx="1">
                  <c:v>0.0625</c:v>
                </c:pt>
                <c:pt idx="2">
                  <c:v>0.15625</c:v>
                </c:pt>
                <c:pt idx="3">
                  <c:v>0.125</c:v>
                </c:pt>
                <c:pt idx="4">
                  <c:v>0.3125</c:v>
                </c:pt>
              </c:numCache>
            </c:numRef>
          </c:val>
        </c:ser>
        <c:ser>
          <c:idx val="4"/>
          <c:order val="4"/>
          <c:tx>
            <c:strRef>
              <c:f>'7.5K gjf rand1'!$AD$22</c:f>
              <c:strCache>
                <c:ptCount val="1"/>
                <c:pt idx="0">
                  <c:v>18</c:v>
                </c:pt>
              </c:strCache>
            </c:strRef>
          </c:tx>
          <c:invertIfNegative val="0"/>
          <c:cat>
            <c:strRef>
              <c:f>'7.5K gjf rand1'!$W$55:$W$59</c:f>
              <c:strCache>
                <c:ptCount val="5"/>
                <c:pt idx="0">
                  <c:v>0-5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21+</c:v>
                </c:pt>
              </c:strCache>
            </c:strRef>
          </c:cat>
          <c:val>
            <c:numRef>
              <c:f>'7.5K gjf rand1'!$AD$60:$AD$64</c:f>
              <c:numCache>
                <c:formatCode>General</c:formatCode>
                <c:ptCount val="5"/>
                <c:pt idx="0">
                  <c:v>0.34375</c:v>
                </c:pt>
                <c:pt idx="1">
                  <c:v>0.09375</c:v>
                </c:pt>
                <c:pt idx="2">
                  <c:v>0.15625</c:v>
                </c:pt>
                <c:pt idx="3">
                  <c:v>0.125</c:v>
                </c:pt>
                <c:pt idx="4">
                  <c:v>0.28125</c:v>
                </c:pt>
              </c:numCache>
            </c:numRef>
          </c:val>
        </c:ser>
        <c:ser>
          <c:idx val="5"/>
          <c:order val="5"/>
          <c:tx>
            <c:strRef>
              <c:f>'7.5K gjf rand1'!$AE$22</c:f>
              <c:strCache>
                <c:ptCount val="1"/>
                <c:pt idx="0">
                  <c:v>20</c:v>
                </c:pt>
              </c:strCache>
            </c:strRef>
          </c:tx>
          <c:invertIfNegative val="0"/>
          <c:cat>
            <c:strRef>
              <c:f>'7.5K gjf rand1'!$W$55:$W$59</c:f>
              <c:strCache>
                <c:ptCount val="5"/>
                <c:pt idx="0">
                  <c:v>0-5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21+</c:v>
                </c:pt>
              </c:strCache>
            </c:strRef>
          </c:cat>
          <c:val>
            <c:numRef>
              <c:f>'7.5K gjf rand1'!$AE$60:$AE$64</c:f>
              <c:numCache>
                <c:formatCode>General</c:formatCode>
                <c:ptCount val="5"/>
                <c:pt idx="0">
                  <c:v>0.375</c:v>
                </c:pt>
                <c:pt idx="1">
                  <c:v>0.09375</c:v>
                </c:pt>
                <c:pt idx="2">
                  <c:v>0.125</c:v>
                </c:pt>
                <c:pt idx="3">
                  <c:v>0.15625</c:v>
                </c:pt>
                <c:pt idx="4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5996168"/>
        <c:axId val="-2065988744"/>
      </c:barChart>
      <c:catAx>
        <c:axId val="-2065996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5988744"/>
        <c:crosses val="autoZero"/>
        <c:auto val="1"/>
        <c:lblAlgn val="ctr"/>
        <c:lblOffset val="100"/>
        <c:noMultiLvlLbl val="0"/>
      </c:catAx>
      <c:valAx>
        <c:axId val="-20659887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65996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72570315146306"/>
          <c:y val="0.0283911707184941"/>
          <c:w val="0.87725"/>
          <c:h val="0.82246937882764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'5k gjf rand1'!$B$2:$P$2</c:f>
              <c:numCache>
                <c:formatCode>General</c:formatCode>
                <c:ptCount val="15"/>
                <c:pt idx="0">
                  <c:v>6.0</c:v>
                </c:pt>
                <c:pt idx="1">
                  <c:v>8.0</c:v>
                </c:pt>
                <c:pt idx="2">
                  <c:v>10.0</c:v>
                </c:pt>
                <c:pt idx="3">
                  <c:v>12.0</c:v>
                </c:pt>
                <c:pt idx="4">
                  <c:v>14.0</c:v>
                </c:pt>
                <c:pt idx="5">
                  <c:v>16.0</c:v>
                </c:pt>
                <c:pt idx="6">
                  <c:v>18.0</c:v>
                </c:pt>
                <c:pt idx="7">
                  <c:v>20.0</c:v>
                </c:pt>
                <c:pt idx="8">
                  <c:v>22.0</c:v>
                </c:pt>
                <c:pt idx="9">
                  <c:v>24.0</c:v>
                </c:pt>
                <c:pt idx="10">
                  <c:v>26.0</c:v>
                </c:pt>
                <c:pt idx="11">
                  <c:v>28.0</c:v>
                </c:pt>
                <c:pt idx="12">
                  <c:v>30.0</c:v>
                </c:pt>
                <c:pt idx="13">
                  <c:v>34.0</c:v>
                </c:pt>
                <c:pt idx="14">
                  <c:v>38.0</c:v>
                </c:pt>
              </c:numCache>
            </c:numRef>
          </c:xVal>
          <c:yVal>
            <c:numRef>
              <c:f>'5k gjf rand1'!$B$35:$P$35</c:f>
              <c:numCache>
                <c:formatCode>General</c:formatCode>
                <c:ptCount val="15"/>
                <c:pt idx="0">
                  <c:v>1.4375</c:v>
                </c:pt>
                <c:pt idx="1">
                  <c:v>7.34375</c:v>
                </c:pt>
                <c:pt idx="2">
                  <c:v>10.34375</c:v>
                </c:pt>
                <c:pt idx="3">
                  <c:v>17.0</c:v>
                </c:pt>
                <c:pt idx="4">
                  <c:v>20.8125</c:v>
                </c:pt>
                <c:pt idx="5">
                  <c:v>28.65625</c:v>
                </c:pt>
                <c:pt idx="6">
                  <c:v>26.0625</c:v>
                </c:pt>
                <c:pt idx="7">
                  <c:v>26.375</c:v>
                </c:pt>
                <c:pt idx="8">
                  <c:v>22.125</c:v>
                </c:pt>
                <c:pt idx="9">
                  <c:v>21.71875</c:v>
                </c:pt>
                <c:pt idx="10">
                  <c:v>17.90625</c:v>
                </c:pt>
                <c:pt idx="11">
                  <c:v>17.375</c:v>
                </c:pt>
                <c:pt idx="12">
                  <c:v>18.96875</c:v>
                </c:pt>
                <c:pt idx="13">
                  <c:v>14.125</c:v>
                </c:pt>
                <c:pt idx="14">
                  <c:v>16.65625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756584"/>
        <c:axId val="-2106618264"/>
      </c:scatterChart>
      <c:valAx>
        <c:axId val="-2127756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6618264"/>
        <c:crosses val="autoZero"/>
        <c:crossBetween val="midCat"/>
      </c:valAx>
      <c:valAx>
        <c:axId val="-2106618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27756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72569991251093"/>
          <c:y val="0.0509259259259259"/>
          <c:w val="0.87725"/>
          <c:h val="0.82246937882764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'5k gjf rand1'!$C$36:$O$36</c:f>
                <c:numCache>
                  <c:formatCode>General</c:formatCode>
                  <c:ptCount val="13"/>
                  <c:pt idx="0">
                    <c:v>1.11044289242568</c:v>
                  </c:pt>
                  <c:pt idx="1">
                    <c:v>1.19526061320021</c:v>
                  </c:pt>
                  <c:pt idx="2">
                    <c:v>2.404632625686537</c:v>
                  </c:pt>
                  <c:pt idx="3">
                    <c:v>2.920808790717989</c:v>
                  </c:pt>
                  <c:pt idx="4">
                    <c:v>4.574783922052246</c:v>
                  </c:pt>
                  <c:pt idx="5">
                    <c:v>3.883104817564617</c:v>
                  </c:pt>
                  <c:pt idx="6">
                    <c:v>3.654082449588007</c:v>
                  </c:pt>
                  <c:pt idx="7">
                    <c:v>2.79138579874215</c:v>
                  </c:pt>
                  <c:pt idx="8">
                    <c:v>3.487082838676236</c:v>
                  </c:pt>
                  <c:pt idx="9">
                    <c:v>3.658937184561183</c:v>
                  </c:pt>
                  <c:pt idx="10">
                    <c:v>3.157412553382605</c:v>
                  </c:pt>
                  <c:pt idx="11">
                    <c:v>3.904475403354876</c:v>
                  </c:pt>
                  <c:pt idx="12">
                    <c:v>2.892826918542684</c:v>
                  </c:pt>
                </c:numCache>
              </c:numRef>
            </c:plus>
            <c:minus>
              <c:numRef>
                <c:f>'5k gjf rand1'!$C$36:$O$36</c:f>
                <c:numCache>
                  <c:formatCode>General</c:formatCode>
                  <c:ptCount val="13"/>
                  <c:pt idx="0">
                    <c:v>1.11044289242568</c:v>
                  </c:pt>
                  <c:pt idx="1">
                    <c:v>1.19526061320021</c:v>
                  </c:pt>
                  <c:pt idx="2">
                    <c:v>2.404632625686537</c:v>
                  </c:pt>
                  <c:pt idx="3">
                    <c:v>2.920808790717989</c:v>
                  </c:pt>
                  <c:pt idx="4">
                    <c:v>4.574783922052246</c:v>
                  </c:pt>
                  <c:pt idx="5">
                    <c:v>3.883104817564617</c:v>
                  </c:pt>
                  <c:pt idx="6">
                    <c:v>3.654082449588007</c:v>
                  </c:pt>
                  <c:pt idx="7">
                    <c:v>2.79138579874215</c:v>
                  </c:pt>
                  <c:pt idx="8">
                    <c:v>3.487082838676236</c:v>
                  </c:pt>
                  <c:pt idx="9">
                    <c:v>3.658937184561183</c:v>
                  </c:pt>
                  <c:pt idx="10">
                    <c:v>3.157412553382605</c:v>
                  </c:pt>
                  <c:pt idx="11">
                    <c:v>3.904475403354876</c:v>
                  </c:pt>
                  <c:pt idx="12">
                    <c:v>2.892826918542684</c:v>
                  </c:pt>
                </c:numCache>
              </c:numRef>
            </c:minus>
          </c:errBars>
          <c:xVal>
            <c:numRef>
              <c:f>'5k gjf rand1'!$B$2:$N$2</c:f>
              <c:numCache>
                <c:formatCode>General</c:formatCode>
                <c:ptCount val="13"/>
                <c:pt idx="0">
                  <c:v>6.0</c:v>
                </c:pt>
                <c:pt idx="1">
                  <c:v>8.0</c:v>
                </c:pt>
                <c:pt idx="2">
                  <c:v>10.0</c:v>
                </c:pt>
                <c:pt idx="3">
                  <c:v>12.0</c:v>
                </c:pt>
                <c:pt idx="4">
                  <c:v>14.0</c:v>
                </c:pt>
                <c:pt idx="5">
                  <c:v>16.0</c:v>
                </c:pt>
                <c:pt idx="6">
                  <c:v>18.0</c:v>
                </c:pt>
                <c:pt idx="7">
                  <c:v>20.0</c:v>
                </c:pt>
                <c:pt idx="8">
                  <c:v>22.0</c:v>
                </c:pt>
                <c:pt idx="9">
                  <c:v>24.0</c:v>
                </c:pt>
                <c:pt idx="10">
                  <c:v>26.0</c:v>
                </c:pt>
                <c:pt idx="11">
                  <c:v>28.0</c:v>
                </c:pt>
                <c:pt idx="12">
                  <c:v>30.0</c:v>
                </c:pt>
              </c:numCache>
            </c:numRef>
          </c:xVal>
          <c:yVal>
            <c:numRef>
              <c:f>'5k gjf rand1'!$B$35:$N$35</c:f>
              <c:numCache>
                <c:formatCode>General</c:formatCode>
                <c:ptCount val="13"/>
                <c:pt idx="0">
                  <c:v>1.4375</c:v>
                </c:pt>
                <c:pt idx="1">
                  <c:v>7.34375</c:v>
                </c:pt>
                <c:pt idx="2">
                  <c:v>10.34375</c:v>
                </c:pt>
                <c:pt idx="3">
                  <c:v>17.0</c:v>
                </c:pt>
                <c:pt idx="4">
                  <c:v>20.8125</c:v>
                </c:pt>
                <c:pt idx="5">
                  <c:v>28.65625</c:v>
                </c:pt>
                <c:pt idx="6">
                  <c:v>26.0625</c:v>
                </c:pt>
                <c:pt idx="7">
                  <c:v>26.375</c:v>
                </c:pt>
                <c:pt idx="8">
                  <c:v>22.125</c:v>
                </c:pt>
                <c:pt idx="9">
                  <c:v>21.71875</c:v>
                </c:pt>
                <c:pt idx="10">
                  <c:v>17.90625</c:v>
                </c:pt>
                <c:pt idx="11">
                  <c:v>17.375</c:v>
                </c:pt>
                <c:pt idx="12">
                  <c:v>18.96875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007448"/>
        <c:axId val="-2127717288"/>
      </c:scatterChart>
      <c:valAx>
        <c:axId val="-2118007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7717288"/>
        <c:crosses val="autoZero"/>
        <c:crossBetween val="midCat"/>
      </c:valAx>
      <c:valAx>
        <c:axId val="-21277172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18007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72569991251093"/>
          <c:y val="0.0509259259259259"/>
          <c:w val="0.87725"/>
          <c:h val="0.82246937882764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'5k gjf rand1'!$C$82:$N$82</c:f>
                <c:numCache>
                  <c:formatCode>General</c:formatCode>
                  <c:ptCount val="12"/>
                  <c:pt idx="0">
                    <c:v>2.436104270523105</c:v>
                  </c:pt>
                  <c:pt idx="1">
                    <c:v>4.287459810185132</c:v>
                  </c:pt>
                  <c:pt idx="2">
                    <c:v>4.49964514942315</c:v>
                  </c:pt>
                  <c:pt idx="3">
                    <c:v>2.778099845638515</c:v>
                  </c:pt>
                  <c:pt idx="4">
                    <c:v>4.044596706809902</c:v>
                  </c:pt>
                  <c:pt idx="5">
                    <c:v>5.30456408704639</c:v>
                  </c:pt>
                  <c:pt idx="6">
                    <c:v>6.555580501565722</c:v>
                  </c:pt>
                  <c:pt idx="7">
                    <c:v>4.764709572902761</c:v>
                  </c:pt>
                  <c:pt idx="8">
                    <c:v>7.639748766333541</c:v>
                  </c:pt>
                  <c:pt idx="9">
                    <c:v>5.56906688037186</c:v>
                  </c:pt>
                  <c:pt idx="10">
                    <c:v>6.050701911481291</c:v>
                  </c:pt>
                  <c:pt idx="11">
                    <c:v>6.506302990100053</c:v>
                  </c:pt>
                </c:numCache>
              </c:numRef>
            </c:plus>
            <c:minus>
              <c:numRef>
                <c:f>'5k gjf rand1'!$C$82:$N$82</c:f>
                <c:numCache>
                  <c:formatCode>General</c:formatCode>
                  <c:ptCount val="12"/>
                  <c:pt idx="0">
                    <c:v>2.436104270523105</c:v>
                  </c:pt>
                  <c:pt idx="1">
                    <c:v>4.287459810185132</c:v>
                  </c:pt>
                  <c:pt idx="2">
                    <c:v>4.49964514942315</c:v>
                  </c:pt>
                  <c:pt idx="3">
                    <c:v>2.778099845638515</c:v>
                  </c:pt>
                  <c:pt idx="4">
                    <c:v>4.044596706809902</c:v>
                  </c:pt>
                  <c:pt idx="5">
                    <c:v>5.30456408704639</c:v>
                  </c:pt>
                  <c:pt idx="6">
                    <c:v>6.555580501565722</c:v>
                  </c:pt>
                  <c:pt idx="7">
                    <c:v>4.764709572902761</c:v>
                  </c:pt>
                  <c:pt idx="8">
                    <c:v>7.639748766333541</c:v>
                  </c:pt>
                  <c:pt idx="9">
                    <c:v>5.56906688037186</c:v>
                  </c:pt>
                  <c:pt idx="10">
                    <c:v>6.050701911481291</c:v>
                  </c:pt>
                  <c:pt idx="11">
                    <c:v>6.506302990100053</c:v>
                  </c:pt>
                </c:numCache>
              </c:numRef>
            </c:minus>
          </c:errBars>
          <c:xVal>
            <c:numRef>
              <c:f>'5k gjf rand1'!$C$2:$N$2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'5k gjf rand1'!$C$81:$N$81</c:f>
              <c:numCache>
                <c:formatCode>General</c:formatCode>
                <c:ptCount val="12"/>
                <c:pt idx="0">
                  <c:v>5.143036381968211</c:v>
                </c:pt>
                <c:pt idx="1">
                  <c:v>9.069991264752411</c:v>
                </c:pt>
                <c:pt idx="2">
                  <c:v>8.385773404276026</c:v>
                </c:pt>
                <c:pt idx="3">
                  <c:v>9.012254080469175</c:v>
                </c:pt>
                <c:pt idx="4">
                  <c:v>15.07904201797337</c:v>
                </c:pt>
                <c:pt idx="5">
                  <c:v>14.73140779538579</c:v>
                </c:pt>
                <c:pt idx="6">
                  <c:v>21.7414603082657</c:v>
                </c:pt>
                <c:pt idx="7">
                  <c:v>15.12943610381288</c:v>
                </c:pt>
                <c:pt idx="8">
                  <c:v>21.91844701091849</c:v>
                </c:pt>
                <c:pt idx="9">
                  <c:v>12.8437219692301</c:v>
                </c:pt>
                <c:pt idx="10">
                  <c:v>22.52154666933592</c:v>
                </c:pt>
                <c:pt idx="11">
                  <c:v>25.80458269461652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279032"/>
        <c:axId val="-2066678248"/>
      </c:scatterChart>
      <c:valAx>
        <c:axId val="-2066279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6678248"/>
        <c:crosses val="autoZero"/>
        <c:crossBetween val="midCat"/>
      </c:valAx>
      <c:valAx>
        <c:axId val="-20666782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66279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14</c:v>
          </c:tx>
          <c:invertIfNegative val="0"/>
          <c:cat>
            <c:strRef>
              <c:f>'5k gjf rand1'!$V$40:$V$44</c:f>
              <c:strCache>
                <c:ptCount val="5"/>
                <c:pt idx="0">
                  <c:v>0-5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21+</c:v>
                </c:pt>
              </c:strCache>
            </c:strRef>
          </c:cat>
          <c:val>
            <c:numRef>
              <c:f>'5k gjf rand1'!$W$40:$W$44</c:f>
              <c:numCache>
                <c:formatCode>General</c:formatCode>
                <c:ptCount val="5"/>
                <c:pt idx="0">
                  <c:v>0.15625</c:v>
                </c:pt>
                <c:pt idx="1">
                  <c:v>0.0625</c:v>
                </c:pt>
                <c:pt idx="2">
                  <c:v>0.3125</c:v>
                </c:pt>
                <c:pt idx="3">
                  <c:v>0.125</c:v>
                </c:pt>
                <c:pt idx="4">
                  <c:v>0.34375</c:v>
                </c:pt>
              </c:numCache>
            </c:numRef>
          </c:val>
        </c:ser>
        <c:ser>
          <c:idx val="1"/>
          <c:order val="1"/>
          <c:tx>
            <c:v>16</c:v>
          </c:tx>
          <c:invertIfNegative val="0"/>
          <c:cat>
            <c:strRef>
              <c:f>'5k gjf rand1'!$V$40:$V$44</c:f>
              <c:strCache>
                <c:ptCount val="5"/>
                <c:pt idx="0">
                  <c:v>0-5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21+</c:v>
                </c:pt>
              </c:strCache>
            </c:strRef>
          </c:cat>
          <c:val>
            <c:numRef>
              <c:f>'5k gjf rand1'!$X$40:$X$44</c:f>
              <c:numCache>
                <c:formatCode>General</c:formatCode>
                <c:ptCount val="5"/>
                <c:pt idx="0">
                  <c:v>0.15625</c:v>
                </c:pt>
                <c:pt idx="1">
                  <c:v>0.1875</c:v>
                </c:pt>
                <c:pt idx="2">
                  <c:v>0.0625</c:v>
                </c:pt>
                <c:pt idx="3">
                  <c:v>0.09375</c:v>
                </c:pt>
                <c:pt idx="4">
                  <c:v>0.5</c:v>
                </c:pt>
              </c:numCache>
            </c:numRef>
          </c:val>
        </c:ser>
        <c:ser>
          <c:idx val="2"/>
          <c:order val="2"/>
          <c:tx>
            <c:v>18</c:v>
          </c:tx>
          <c:invertIfNegative val="0"/>
          <c:cat>
            <c:strRef>
              <c:f>'5k gjf rand1'!$V$40:$V$44</c:f>
              <c:strCache>
                <c:ptCount val="5"/>
                <c:pt idx="0">
                  <c:v>0-5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21+</c:v>
                </c:pt>
              </c:strCache>
            </c:strRef>
          </c:cat>
          <c:val>
            <c:numRef>
              <c:f>'5k gjf rand1'!$Y$40:$Y$44</c:f>
              <c:numCache>
                <c:formatCode>General</c:formatCode>
                <c:ptCount val="5"/>
                <c:pt idx="0">
                  <c:v>0.09375</c:v>
                </c:pt>
                <c:pt idx="1">
                  <c:v>0.25</c:v>
                </c:pt>
                <c:pt idx="2">
                  <c:v>0.0625</c:v>
                </c:pt>
                <c:pt idx="3">
                  <c:v>0.125</c:v>
                </c:pt>
                <c:pt idx="4">
                  <c:v>0.46875</c:v>
                </c:pt>
              </c:numCache>
            </c:numRef>
          </c:val>
        </c:ser>
        <c:ser>
          <c:idx val="3"/>
          <c:order val="3"/>
          <c:tx>
            <c:v>20</c:v>
          </c:tx>
          <c:invertIfNegative val="0"/>
          <c:cat>
            <c:strRef>
              <c:f>'5k gjf rand1'!$V$40:$V$44</c:f>
              <c:strCache>
                <c:ptCount val="5"/>
                <c:pt idx="0">
                  <c:v>0-5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21+</c:v>
                </c:pt>
              </c:strCache>
            </c:strRef>
          </c:cat>
          <c:val>
            <c:numRef>
              <c:f>'5k gjf rand1'!$Z$40:$Z$44</c:f>
              <c:numCache>
                <c:formatCode>General</c:formatCode>
                <c:ptCount val="5"/>
                <c:pt idx="0">
                  <c:v>0.15625</c:v>
                </c:pt>
                <c:pt idx="1">
                  <c:v>0.125</c:v>
                </c:pt>
                <c:pt idx="2">
                  <c:v>0.125</c:v>
                </c:pt>
                <c:pt idx="3">
                  <c:v>0.0625</c:v>
                </c:pt>
                <c:pt idx="4">
                  <c:v>0.5625</c:v>
                </c:pt>
              </c:numCache>
            </c:numRef>
          </c:val>
        </c:ser>
        <c:ser>
          <c:idx val="4"/>
          <c:order val="4"/>
          <c:tx>
            <c:v>22</c:v>
          </c:tx>
          <c:invertIfNegative val="0"/>
          <c:cat>
            <c:strRef>
              <c:f>'5k gjf rand1'!$V$40:$V$44</c:f>
              <c:strCache>
                <c:ptCount val="5"/>
                <c:pt idx="0">
                  <c:v>0-5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21+</c:v>
                </c:pt>
              </c:strCache>
            </c:strRef>
          </c:cat>
          <c:val>
            <c:numRef>
              <c:f>'5k gjf rand1'!$AA$40:$AA$44</c:f>
              <c:numCache>
                <c:formatCode>General</c:formatCode>
                <c:ptCount val="5"/>
                <c:pt idx="0">
                  <c:v>0.125</c:v>
                </c:pt>
                <c:pt idx="1">
                  <c:v>0.125</c:v>
                </c:pt>
                <c:pt idx="2">
                  <c:v>0.21875</c:v>
                </c:pt>
                <c:pt idx="3">
                  <c:v>0.15625</c:v>
                </c:pt>
                <c:pt idx="4">
                  <c:v>0.375</c:v>
                </c:pt>
              </c:numCache>
            </c:numRef>
          </c:val>
        </c:ser>
        <c:ser>
          <c:idx val="5"/>
          <c:order val="5"/>
          <c:tx>
            <c:v>24</c:v>
          </c:tx>
          <c:invertIfNegative val="0"/>
          <c:cat>
            <c:strRef>
              <c:f>'5k gjf rand1'!$V$40:$V$44</c:f>
              <c:strCache>
                <c:ptCount val="5"/>
                <c:pt idx="0">
                  <c:v>0-5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21+</c:v>
                </c:pt>
              </c:strCache>
            </c:strRef>
          </c:cat>
          <c:val>
            <c:numRef>
              <c:f>'5k gjf rand1'!$AB$40:$AB$44</c:f>
              <c:numCache>
                <c:formatCode>General</c:formatCode>
                <c:ptCount val="5"/>
                <c:pt idx="0">
                  <c:v>0.21875</c:v>
                </c:pt>
                <c:pt idx="1">
                  <c:v>0.125</c:v>
                </c:pt>
                <c:pt idx="2">
                  <c:v>0.125</c:v>
                </c:pt>
                <c:pt idx="3">
                  <c:v>0.15625</c:v>
                </c:pt>
                <c:pt idx="4">
                  <c:v>0.375</c:v>
                </c:pt>
              </c:numCache>
            </c:numRef>
          </c:val>
        </c:ser>
        <c:ser>
          <c:idx val="6"/>
          <c:order val="6"/>
          <c:tx>
            <c:v>26</c:v>
          </c:tx>
          <c:invertIfNegative val="0"/>
          <c:cat>
            <c:strRef>
              <c:f>'5k gjf rand1'!$V$40:$V$44</c:f>
              <c:strCache>
                <c:ptCount val="5"/>
                <c:pt idx="0">
                  <c:v>0-5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21+</c:v>
                </c:pt>
              </c:strCache>
            </c:strRef>
          </c:cat>
          <c:val>
            <c:numRef>
              <c:f>'5k gjf rand1'!$AC$40:$AC$44</c:f>
              <c:numCache>
                <c:formatCode>General</c:formatCode>
                <c:ptCount val="5"/>
                <c:pt idx="0">
                  <c:v>0.34375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0.28125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6154136"/>
        <c:axId val="-2066657848"/>
      </c:barChart>
      <c:catAx>
        <c:axId val="-2066154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6657848"/>
        <c:crosses val="autoZero"/>
        <c:auto val="1"/>
        <c:lblAlgn val="ctr"/>
        <c:lblOffset val="100"/>
        <c:noMultiLvlLbl val="0"/>
      </c:catAx>
      <c:valAx>
        <c:axId val="-2066657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66154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'5k gjf rand1'!$W$2</c:f>
              <c:strCache>
                <c:ptCount val="1"/>
                <c:pt idx="0">
                  <c:v>14</c:v>
                </c:pt>
              </c:strCache>
            </c:strRef>
          </c:tx>
          <c:invertIfNegative val="0"/>
          <c:cat>
            <c:strRef>
              <c:f>'5k gjf rand1'!$V$46:$V$49</c:f>
              <c:strCache>
                <c:ptCount val="4"/>
                <c:pt idx="0">
                  <c:v>0-10</c:v>
                </c:pt>
                <c:pt idx="1">
                  <c:v>11-20</c:v>
                </c:pt>
                <c:pt idx="2">
                  <c:v>21-30</c:v>
                </c:pt>
                <c:pt idx="3">
                  <c:v>31+</c:v>
                </c:pt>
              </c:strCache>
            </c:strRef>
          </c:cat>
          <c:val>
            <c:numRef>
              <c:f>'5k gjf rand1'!$W$50:$W$53</c:f>
              <c:numCache>
                <c:formatCode>General</c:formatCode>
                <c:ptCount val="4"/>
                <c:pt idx="0">
                  <c:v>0.21875</c:v>
                </c:pt>
                <c:pt idx="1">
                  <c:v>0.4375</c:v>
                </c:pt>
                <c:pt idx="2">
                  <c:v>0.125</c:v>
                </c:pt>
                <c:pt idx="3">
                  <c:v>0.21875</c:v>
                </c:pt>
              </c:numCache>
            </c:numRef>
          </c:val>
        </c:ser>
        <c:ser>
          <c:idx val="1"/>
          <c:order val="1"/>
          <c:tx>
            <c:strRef>
              <c:f>'5k gjf rand1'!$X$2</c:f>
              <c:strCache>
                <c:ptCount val="1"/>
                <c:pt idx="0">
                  <c:v>16</c:v>
                </c:pt>
              </c:strCache>
            </c:strRef>
          </c:tx>
          <c:invertIfNegative val="0"/>
          <c:val>
            <c:numRef>
              <c:f>'5k gjf rand1'!$X$50:$X$53</c:f>
              <c:numCache>
                <c:formatCode>General</c:formatCode>
                <c:ptCount val="4"/>
                <c:pt idx="0">
                  <c:v>0.34375</c:v>
                </c:pt>
                <c:pt idx="1">
                  <c:v>0.15625</c:v>
                </c:pt>
                <c:pt idx="2">
                  <c:v>0.125</c:v>
                </c:pt>
                <c:pt idx="3">
                  <c:v>0.375</c:v>
                </c:pt>
              </c:numCache>
            </c:numRef>
          </c:val>
        </c:ser>
        <c:ser>
          <c:idx val="2"/>
          <c:order val="2"/>
          <c:tx>
            <c:strRef>
              <c:f>'5k gjf rand1'!$Y$2</c:f>
              <c:strCache>
                <c:ptCount val="1"/>
                <c:pt idx="0">
                  <c:v>18</c:v>
                </c:pt>
              </c:strCache>
            </c:strRef>
          </c:tx>
          <c:invertIfNegative val="0"/>
          <c:val>
            <c:numRef>
              <c:f>'5k gjf rand1'!$Y$50:$Y$53</c:f>
              <c:numCache>
                <c:formatCode>General</c:formatCode>
                <c:ptCount val="4"/>
                <c:pt idx="0">
                  <c:v>0.34375</c:v>
                </c:pt>
                <c:pt idx="1">
                  <c:v>0.1875</c:v>
                </c:pt>
                <c:pt idx="2">
                  <c:v>0.0625</c:v>
                </c:pt>
                <c:pt idx="3">
                  <c:v>0.40625</c:v>
                </c:pt>
              </c:numCache>
            </c:numRef>
          </c:val>
        </c:ser>
        <c:ser>
          <c:idx val="3"/>
          <c:order val="3"/>
          <c:tx>
            <c:strRef>
              <c:f>'5k gjf rand1'!$Z$2</c:f>
              <c:strCache>
                <c:ptCount val="1"/>
                <c:pt idx="0">
                  <c:v>20</c:v>
                </c:pt>
              </c:strCache>
            </c:strRef>
          </c:tx>
          <c:invertIfNegative val="0"/>
          <c:val>
            <c:numRef>
              <c:f>'5k gjf rand1'!$Z$50:$Z$53</c:f>
              <c:numCache>
                <c:formatCode>General</c:formatCode>
                <c:ptCount val="4"/>
                <c:pt idx="0">
                  <c:v>0.28125</c:v>
                </c:pt>
                <c:pt idx="1">
                  <c:v>0.15625</c:v>
                </c:pt>
                <c:pt idx="2">
                  <c:v>0.1875</c:v>
                </c:pt>
                <c:pt idx="3">
                  <c:v>0.375</c:v>
                </c:pt>
              </c:numCache>
            </c:numRef>
          </c:val>
        </c:ser>
        <c:ser>
          <c:idx val="4"/>
          <c:order val="4"/>
          <c:tx>
            <c:strRef>
              <c:f>'5k gjf rand1'!$AA$2</c:f>
              <c:strCache>
                <c:ptCount val="1"/>
                <c:pt idx="0">
                  <c:v>22</c:v>
                </c:pt>
              </c:strCache>
            </c:strRef>
          </c:tx>
          <c:invertIfNegative val="0"/>
          <c:val>
            <c:numRef>
              <c:f>'5k gjf rand1'!$AA$50:$AA$53</c:f>
              <c:numCache>
                <c:formatCode>General</c:formatCode>
                <c:ptCount val="4"/>
                <c:pt idx="0">
                  <c:v>0.25</c:v>
                </c:pt>
                <c:pt idx="1">
                  <c:v>0.375</c:v>
                </c:pt>
                <c:pt idx="2">
                  <c:v>0.0625</c:v>
                </c:pt>
                <c:pt idx="3">
                  <c:v>0.3125</c:v>
                </c:pt>
              </c:numCache>
            </c:numRef>
          </c:val>
        </c:ser>
        <c:ser>
          <c:idx val="5"/>
          <c:order val="5"/>
          <c:tx>
            <c:strRef>
              <c:f>'5k gjf rand1'!$AB$2</c:f>
              <c:strCache>
                <c:ptCount val="1"/>
                <c:pt idx="0">
                  <c:v>24</c:v>
                </c:pt>
              </c:strCache>
            </c:strRef>
          </c:tx>
          <c:invertIfNegative val="0"/>
          <c:val>
            <c:numRef>
              <c:f>'5k gjf rand1'!$AB$50:$AB$53</c:f>
              <c:numCache>
                <c:formatCode>General</c:formatCode>
                <c:ptCount val="4"/>
                <c:pt idx="0">
                  <c:v>0.34375</c:v>
                </c:pt>
                <c:pt idx="1">
                  <c:v>0.28125</c:v>
                </c:pt>
                <c:pt idx="2">
                  <c:v>0.09375</c:v>
                </c:pt>
                <c:pt idx="3">
                  <c:v>0.28125</c:v>
                </c:pt>
              </c:numCache>
            </c:numRef>
          </c:val>
        </c:ser>
        <c:ser>
          <c:idx val="6"/>
          <c:order val="6"/>
          <c:tx>
            <c:strRef>
              <c:f>'5k gjf rand1'!$AC$2</c:f>
              <c:strCache>
                <c:ptCount val="1"/>
                <c:pt idx="0">
                  <c:v>26</c:v>
                </c:pt>
              </c:strCache>
            </c:strRef>
          </c:tx>
          <c:invertIfNegative val="0"/>
          <c:val>
            <c:numRef>
              <c:f>'5k gjf rand1'!$AC$50:$AC$53</c:f>
              <c:numCache>
                <c:formatCode>General</c:formatCode>
                <c:ptCount val="4"/>
                <c:pt idx="0">
                  <c:v>0.46875</c:v>
                </c:pt>
                <c:pt idx="1">
                  <c:v>0.25</c:v>
                </c:pt>
                <c:pt idx="2">
                  <c:v>0.09375</c:v>
                </c:pt>
                <c:pt idx="3">
                  <c:v>0.1875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5718120"/>
        <c:axId val="-2065715144"/>
      </c:barChart>
      <c:catAx>
        <c:axId val="-2065718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5715144"/>
        <c:crosses val="autoZero"/>
        <c:auto val="1"/>
        <c:lblAlgn val="ctr"/>
        <c:lblOffset val="100"/>
        <c:noMultiLvlLbl val="0"/>
      </c:catAx>
      <c:valAx>
        <c:axId val="-2065715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65718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72569991251093"/>
          <c:y val="0.0509259259259259"/>
          <c:w val="0.87725"/>
          <c:h val="0.82246937882764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'5k gjf rand1'!$C$59:$N$59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1.866783603636656</c:v>
                  </c:pt>
                  <c:pt idx="4">
                    <c:v>2.594537531271922</c:v>
                  </c:pt>
                  <c:pt idx="5">
                    <c:v>2.776267174694935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</c:numCache>
              </c:numRef>
            </c:plus>
            <c:minus>
              <c:numRef>
                <c:f>'5k gjf rand1'!$C$59:$N$59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1.866783603636656</c:v>
                  </c:pt>
                  <c:pt idx="4">
                    <c:v>2.594537531271922</c:v>
                  </c:pt>
                  <c:pt idx="5">
                    <c:v>2.776267174694935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</c:numCache>
              </c:numRef>
            </c:minus>
          </c:errBars>
          <c:xVal>
            <c:numRef>
              <c:f>'5k gjf rand1'!$C$2:$N$2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'5k gjf rand1'!$C$58:$N$58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50.33775975210001</c:v>
                </c:pt>
                <c:pt idx="4">
                  <c:v>45.39750722607373</c:v>
                </c:pt>
                <c:pt idx="5">
                  <c:v>40.68505614931874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178984"/>
        <c:axId val="-2066175992"/>
      </c:scatterChart>
      <c:valAx>
        <c:axId val="-2066178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6175992"/>
        <c:crosses val="autoZero"/>
        <c:crossBetween val="midCat"/>
      </c:valAx>
      <c:valAx>
        <c:axId val="-2066175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66178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'2.5k gjf rand1'!$C$2:$R$2</c:f>
              <c:numCache>
                <c:formatCode>General</c:formatCode>
                <c:ptCount val="16"/>
                <c:pt idx="0">
                  <c:v>6.0</c:v>
                </c:pt>
                <c:pt idx="1">
                  <c:v>8.0</c:v>
                </c:pt>
                <c:pt idx="2">
                  <c:v>10.0</c:v>
                </c:pt>
                <c:pt idx="3">
                  <c:v>12.0</c:v>
                </c:pt>
                <c:pt idx="4">
                  <c:v>14.0</c:v>
                </c:pt>
                <c:pt idx="5">
                  <c:v>16.0</c:v>
                </c:pt>
                <c:pt idx="6">
                  <c:v>18.0</c:v>
                </c:pt>
                <c:pt idx="7">
                  <c:v>20.0</c:v>
                </c:pt>
                <c:pt idx="8">
                  <c:v>22.0</c:v>
                </c:pt>
                <c:pt idx="9">
                  <c:v>24.0</c:v>
                </c:pt>
                <c:pt idx="10">
                  <c:v>26.0</c:v>
                </c:pt>
                <c:pt idx="11">
                  <c:v>28.0</c:v>
                </c:pt>
                <c:pt idx="12">
                  <c:v>30.0</c:v>
                </c:pt>
                <c:pt idx="13">
                  <c:v>32.0</c:v>
                </c:pt>
                <c:pt idx="14">
                  <c:v>34.0</c:v>
                </c:pt>
                <c:pt idx="15">
                  <c:v>38.0</c:v>
                </c:pt>
              </c:numCache>
            </c:numRef>
          </c:xVal>
          <c:yVal>
            <c:numRef>
              <c:f>'2.5k gjf rand1'!$C$35:$R$35</c:f>
              <c:numCache>
                <c:formatCode>General</c:formatCode>
                <c:ptCount val="16"/>
                <c:pt idx="0">
                  <c:v>4.34375</c:v>
                </c:pt>
                <c:pt idx="1">
                  <c:v>6.78125</c:v>
                </c:pt>
                <c:pt idx="2">
                  <c:v>12.75</c:v>
                </c:pt>
                <c:pt idx="3">
                  <c:v>20.125</c:v>
                </c:pt>
                <c:pt idx="4">
                  <c:v>16.8125</c:v>
                </c:pt>
                <c:pt idx="5">
                  <c:v>21.4375</c:v>
                </c:pt>
                <c:pt idx="6">
                  <c:v>17.25</c:v>
                </c:pt>
                <c:pt idx="7">
                  <c:v>19.59375</c:v>
                </c:pt>
                <c:pt idx="8">
                  <c:v>17.15625</c:v>
                </c:pt>
                <c:pt idx="9">
                  <c:v>10.8125</c:v>
                </c:pt>
                <c:pt idx="10">
                  <c:v>11.0625</c:v>
                </c:pt>
                <c:pt idx="11">
                  <c:v>9.28125</c:v>
                </c:pt>
                <c:pt idx="12">
                  <c:v>6.90625</c:v>
                </c:pt>
                <c:pt idx="13">
                  <c:v>8.90625</c:v>
                </c:pt>
                <c:pt idx="14">
                  <c:v>6.125</c:v>
                </c:pt>
                <c:pt idx="15">
                  <c:v>6.375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253816"/>
        <c:axId val="-2066250856"/>
      </c:scatterChart>
      <c:valAx>
        <c:axId val="-2066253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6250856"/>
        <c:crosses val="autoZero"/>
        <c:crossBetween val="midCat"/>
      </c:valAx>
      <c:valAx>
        <c:axId val="-2066250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66253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'2.5k gjf rand1'!$B$36:$O$36</c:f>
                <c:numCache>
                  <c:formatCode>General</c:formatCode>
                  <c:ptCount val="14"/>
                  <c:pt idx="0">
                    <c:v>0.514348064496808</c:v>
                  </c:pt>
                  <c:pt idx="1">
                    <c:v>0.890381793335435</c:v>
                  </c:pt>
                  <c:pt idx="2">
                    <c:v>1.197669738458543</c:v>
                  </c:pt>
                  <c:pt idx="3">
                    <c:v>3.528112901419297</c:v>
                  </c:pt>
                  <c:pt idx="4">
                    <c:v>4.835499607239453</c:v>
                  </c:pt>
                  <c:pt idx="5">
                    <c:v>4.561160320328802</c:v>
                  </c:pt>
                  <c:pt idx="6">
                    <c:v>4.925631407044635</c:v>
                  </c:pt>
                  <c:pt idx="7">
                    <c:v>3.387595969358345</c:v>
                  </c:pt>
                  <c:pt idx="8">
                    <c:v>3.143002580618443</c:v>
                  </c:pt>
                  <c:pt idx="9">
                    <c:v>3.370357843904374</c:v>
                  </c:pt>
                  <c:pt idx="10">
                    <c:v>2.340421022917912</c:v>
                  </c:pt>
                  <c:pt idx="11">
                    <c:v>2.767129568413286</c:v>
                  </c:pt>
                  <c:pt idx="12">
                    <c:v>2.275601989655173</c:v>
                  </c:pt>
                  <c:pt idx="13">
                    <c:v>1.754440650454652</c:v>
                  </c:pt>
                </c:numCache>
              </c:numRef>
            </c:plus>
            <c:minus>
              <c:numRef>
                <c:f>'2.5k gjf rand1'!$B$36:$O$36</c:f>
                <c:numCache>
                  <c:formatCode>General</c:formatCode>
                  <c:ptCount val="14"/>
                  <c:pt idx="0">
                    <c:v>0.514348064496808</c:v>
                  </c:pt>
                  <c:pt idx="1">
                    <c:v>0.890381793335435</c:v>
                  </c:pt>
                  <c:pt idx="2">
                    <c:v>1.197669738458543</c:v>
                  </c:pt>
                  <c:pt idx="3">
                    <c:v>3.528112901419297</c:v>
                  </c:pt>
                  <c:pt idx="4">
                    <c:v>4.835499607239453</c:v>
                  </c:pt>
                  <c:pt idx="5">
                    <c:v>4.561160320328802</c:v>
                  </c:pt>
                  <c:pt idx="6">
                    <c:v>4.925631407044635</c:v>
                  </c:pt>
                  <c:pt idx="7">
                    <c:v>3.387595969358345</c:v>
                  </c:pt>
                  <c:pt idx="8">
                    <c:v>3.143002580618443</c:v>
                  </c:pt>
                  <c:pt idx="9">
                    <c:v>3.370357843904374</c:v>
                  </c:pt>
                  <c:pt idx="10">
                    <c:v>2.340421022917912</c:v>
                  </c:pt>
                  <c:pt idx="11">
                    <c:v>2.767129568413286</c:v>
                  </c:pt>
                  <c:pt idx="12">
                    <c:v>2.275601989655173</c:v>
                  </c:pt>
                  <c:pt idx="13">
                    <c:v>1.754440650454652</c:v>
                  </c:pt>
                </c:numCache>
              </c:numRef>
            </c:minus>
          </c:errBars>
          <c:xVal>
            <c:numRef>
              <c:f>'2.5k gjf rand1'!$C$2:$O$2</c:f>
              <c:numCache>
                <c:formatCode>General</c:formatCode>
                <c:ptCount val="13"/>
                <c:pt idx="0">
                  <c:v>6.0</c:v>
                </c:pt>
                <c:pt idx="1">
                  <c:v>8.0</c:v>
                </c:pt>
                <c:pt idx="2">
                  <c:v>10.0</c:v>
                </c:pt>
                <c:pt idx="3">
                  <c:v>12.0</c:v>
                </c:pt>
                <c:pt idx="4">
                  <c:v>14.0</c:v>
                </c:pt>
                <c:pt idx="5">
                  <c:v>16.0</c:v>
                </c:pt>
                <c:pt idx="6">
                  <c:v>18.0</c:v>
                </c:pt>
                <c:pt idx="7">
                  <c:v>20.0</c:v>
                </c:pt>
                <c:pt idx="8">
                  <c:v>22.0</c:v>
                </c:pt>
                <c:pt idx="9">
                  <c:v>24.0</c:v>
                </c:pt>
                <c:pt idx="10">
                  <c:v>26.0</c:v>
                </c:pt>
                <c:pt idx="11">
                  <c:v>28.0</c:v>
                </c:pt>
                <c:pt idx="12">
                  <c:v>30.0</c:v>
                </c:pt>
              </c:numCache>
            </c:numRef>
          </c:xVal>
          <c:yVal>
            <c:numRef>
              <c:f>'2.5k gjf rand1'!$C$35:$O$35</c:f>
              <c:numCache>
                <c:formatCode>General</c:formatCode>
                <c:ptCount val="13"/>
                <c:pt idx="0">
                  <c:v>4.34375</c:v>
                </c:pt>
                <c:pt idx="1">
                  <c:v>6.78125</c:v>
                </c:pt>
                <c:pt idx="2">
                  <c:v>12.75</c:v>
                </c:pt>
                <c:pt idx="3">
                  <c:v>20.125</c:v>
                </c:pt>
                <c:pt idx="4">
                  <c:v>16.8125</c:v>
                </c:pt>
                <c:pt idx="5">
                  <c:v>21.4375</c:v>
                </c:pt>
                <c:pt idx="6">
                  <c:v>17.25</c:v>
                </c:pt>
                <c:pt idx="7">
                  <c:v>19.59375</c:v>
                </c:pt>
                <c:pt idx="8">
                  <c:v>17.15625</c:v>
                </c:pt>
                <c:pt idx="9">
                  <c:v>10.8125</c:v>
                </c:pt>
                <c:pt idx="10">
                  <c:v>11.0625</c:v>
                </c:pt>
                <c:pt idx="11">
                  <c:v>9.28125</c:v>
                </c:pt>
                <c:pt idx="12">
                  <c:v>6.90625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078968"/>
        <c:axId val="-2065727944"/>
      </c:scatterChart>
      <c:valAx>
        <c:axId val="-2066078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5727944"/>
        <c:crosses val="autoZero"/>
        <c:crossBetween val="midCat"/>
      </c:valAx>
      <c:valAx>
        <c:axId val="-2065727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66078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28208617344"/>
          <c:y val="0.0208099563002195"/>
          <c:w val="0.810265231829733"/>
          <c:h val="0.80440166206845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'15k'!$L$38:$U$38</c:f>
              <c:numCache>
                <c:formatCode>General</c:formatCode>
                <c:ptCount val="1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12.0</c:v>
                </c:pt>
              </c:numCache>
            </c:numRef>
          </c:xVal>
          <c:yVal>
            <c:numRef>
              <c:f>'15k'!$L$71:$U$71</c:f>
              <c:numCache>
                <c:formatCode>General</c:formatCode>
                <c:ptCount val="10"/>
                <c:pt idx="0">
                  <c:v>0.0</c:v>
                </c:pt>
                <c:pt idx="1">
                  <c:v>7.0625</c:v>
                </c:pt>
                <c:pt idx="2">
                  <c:v>11.28125</c:v>
                </c:pt>
                <c:pt idx="3">
                  <c:v>10.5625</c:v>
                </c:pt>
                <c:pt idx="4">
                  <c:v>12.875</c:v>
                </c:pt>
                <c:pt idx="5">
                  <c:v>8.34375</c:v>
                </c:pt>
                <c:pt idx="6">
                  <c:v>6.5625</c:v>
                </c:pt>
                <c:pt idx="7">
                  <c:v>4.354838709677419</c:v>
                </c:pt>
                <c:pt idx="8">
                  <c:v>4.65625</c:v>
                </c:pt>
                <c:pt idx="9">
                  <c:v>2.75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960264"/>
        <c:axId val="2071965832"/>
      </c:scatterChart>
      <c:valAx>
        <c:axId val="2071960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from Surface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1965832"/>
        <c:crosses val="autoZero"/>
        <c:crossBetween val="midCat"/>
      </c:valAx>
      <c:valAx>
        <c:axId val="20719658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Atoms Ejected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1960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7996320047623"/>
          <c:y val="0.0847438149248464"/>
          <c:w val="0.865276077603702"/>
          <c:h val="0.81946453475052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'2.5k gjf rand1'!$D$39:$O$39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'2.5k gjf rand1'!$D$58:$O$58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262.98909125</c:v>
                </c:pt>
                <c:pt idx="5">
                  <c:v>264.06875</c:v>
                </c:pt>
                <c:pt idx="6">
                  <c:v>176.775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'2.5k gjf rand1'!$D$39:$O$39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'2.5k gjf rand1'!$C$38:$N$38</c:f>
              <c:numCache>
                <c:formatCode>General</c:formatCode>
                <c:ptCount val="1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101048"/>
        <c:axId val="-2066098056"/>
      </c:scatterChart>
      <c:valAx>
        <c:axId val="-2066101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6098056"/>
        <c:crosses val="autoZero"/>
        <c:crossBetween val="midCat"/>
      </c:valAx>
      <c:valAx>
        <c:axId val="-2066098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66101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'2.5k gjf rand1'!$D$39:$O$39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'2.5k gjf rand1'!$D$71:$O$71</c:f>
              <c:numCache>
                <c:formatCode>General</c:formatCode>
                <c:ptCount val="12"/>
                <c:pt idx="0">
                  <c:v>361.67356625</c:v>
                </c:pt>
                <c:pt idx="1">
                  <c:v>352.01787</c:v>
                </c:pt>
                <c:pt idx="2">
                  <c:v>375.6460625</c:v>
                </c:pt>
                <c:pt idx="3">
                  <c:v>422.49091125</c:v>
                </c:pt>
                <c:pt idx="4">
                  <c:v>425.44718375</c:v>
                </c:pt>
                <c:pt idx="5">
                  <c:v>447.18863625</c:v>
                </c:pt>
                <c:pt idx="6">
                  <c:v>486.4196749999999</c:v>
                </c:pt>
                <c:pt idx="7">
                  <c:v>428.6988075</c:v>
                </c:pt>
                <c:pt idx="8">
                  <c:v>438.4021657142857</c:v>
                </c:pt>
                <c:pt idx="9">
                  <c:v>432.5851328571429</c:v>
                </c:pt>
                <c:pt idx="10">
                  <c:v>455.3103375</c:v>
                </c:pt>
                <c:pt idx="11">
                  <c:v>402.13060125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'2.5k gjf rand1'!$D$39:$O$39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'2.5k gjf rand1'!$C$38:$N$38</c:f>
              <c:numCache>
                <c:formatCode>General</c:formatCode>
                <c:ptCount val="1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861336"/>
        <c:axId val="-2066220424"/>
      </c:scatterChart>
      <c:valAx>
        <c:axId val="-2065861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6220424"/>
        <c:crosses val="autoZero"/>
        <c:crossBetween val="midCat"/>
      </c:valAx>
      <c:valAx>
        <c:axId val="-2066220424"/>
        <c:scaling>
          <c:orientation val="minMax"/>
          <c:min val="250.0"/>
        </c:scaling>
        <c:delete val="0"/>
        <c:axPos val="l"/>
        <c:numFmt formatCode="General" sourceLinked="1"/>
        <c:majorTickMark val="out"/>
        <c:minorTickMark val="none"/>
        <c:tickLblPos val="nextTo"/>
        <c:crossAx val="-2065861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'2.5k gjf rand1'!$Y$2</c:f>
              <c:strCache>
                <c:ptCount val="1"/>
                <c:pt idx="0">
                  <c:v>14</c:v>
                </c:pt>
              </c:strCache>
            </c:strRef>
          </c:tx>
          <c:invertIfNegative val="0"/>
          <c:cat>
            <c:strRef>
              <c:f>'2.5k gjf rand1'!$X$40:$X$44</c:f>
              <c:strCache>
                <c:ptCount val="5"/>
                <c:pt idx="0">
                  <c:v>0-5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21+</c:v>
                </c:pt>
              </c:strCache>
            </c:strRef>
          </c:cat>
          <c:val>
            <c:numRef>
              <c:f>'2.5k gjf rand1'!$Y$40:$Y$44</c:f>
              <c:numCache>
                <c:formatCode>General</c:formatCode>
                <c:ptCount val="5"/>
                <c:pt idx="0">
                  <c:v>0.21875</c:v>
                </c:pt>
                <c:pt idx="1">
                  <c:v>0.1875</c:v>
                </c:pt>
                <c:pt idx="2">
                  <c:v>0.25</c:v>
                </c:pt>
                <c:pt idx="3">
                  <c:v>0.125</c:v>
                </c:pt>
                <c:pt idx="4">
                  <c:v>0.21875</c:v>
                </c:pt>
              </c:numCache>
            </c:numRef>
          </c:val>
        </c:ser>
        <c:ser>
          <c:idx val="1"/>
          <c:order val="1"/>
          <c:tx>
            <c:strRef>
              <c:f>'2.5k gjf rand1'!$Z$2</c:f>
              <c:strCache>
                <c:ptCount val="1"/>
                <c:pt idx="0">
                  <c:v>16</c:v>
                </c:pt>
              </c:strCache>
            </c:strRef>
          </c:tx>
          <c:invertIfNegative val="0"/>
          <c:cat>
            <c:strRef>
              <c:f>'2.5k gjf rand1'!$X$40:$X$44</c:f>
              <c:strCache>
                <c:ptCount val="5"/>
                <c:pt idx="0">
                  <c:v>0-5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21+</c:v>
                </c:pt>
              </c:strCache>
            </c:strRef>
          </c:cat>
          <c:val>
            <c:numRef>
              <c:f>'2.5k gjf rand1'!$Z$40:$Z$44</c:f>
              <c:numCache>
                <c:formatCode>General</c:formatCode>
                <c:ptCount val="5"/>
                <c:pt idx="0">
                  <c:v>0.21875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0.40625</c:v>
                </c:pt>
              </c:numCache>
            </c:numRef>
          </c:val>
        </c:ser>
        <c:ser>
          <c:idx val="2"/>
          <c:order val="2"/>
          <c:tx>
            <c:strRef>
              <c:f>'2.5k gjf rand1'!$AA$2</c:f>
              <c:strCache>
                <c:ptCount val="1"/>
                <c:pt idx="0">
                  <c:v>18</c:v>
                </c:pt>
              </c:strCache>
            </c:strRef>
          </c:tx>
          <c:invertIfNegative val="0"/>
          <c:cat>
            <c:strRef>
              <c:f>'2.5k gjf rand1'!$X$40:$X$44</c:f>
              <c:strCache>
                <c:ptCount val="5"/>
                <c:pt idx="0">
                  <c:v>0-5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21+</c:v>
                </c:pt>
              </c:strCache>
            </c:strRef>
          </c:cat>
          <c:val>
            <c:numRef>
              <c:f>'2.5k gjf rand1'!$AA$40:$AA$44</c:f>
              <c:numCache>
                <c:formatCode>General</c:formatCode>
                <c:ptCount val="5"/>
                <c:pt idx="0">
                  <c:v>0.1875</c:v>
                </c:pt>
                <c:pt idx="1">
                  <c:v>0.21875</c:v>
                </c:pt>
                <c:pt idx="2">
                  <c:v>0.125</c:v>
                </c:pt>
                <c:pt idx="3">
                  <c:v>0.09375</c:v>
                </c:pt>
                <c:pt idx="4">
                  <c:v>0.375</c:v>
                </c:pt>
              </c:numCache>
            </c:numRef>
          </c:val>
        </c:ser>
        <c:ser>
          <c:idx val="3"/>
          <c:order val="3"/>
          <c:tx>
            <c:strRef>
              <c:f>'2.5k gjf rand1'!$AB$2</c:f>
              <c:strCache>
                <c:ptCount val="1"/>
                <c:pt idx="0">
                  <c:v>20</c:v>
                </c:pt>
              </c:strCache>
            </c:strRef>
          </c:tx>
          <c:invertIfNegative val="0"/>
          <c:cat>
            <c:strRef>
              <c:f>'2.5k gjf rand1'!$X$40:$X$44</c:f>
              <c:strCache>
                <c:ptCount val="5"/>
                <c:pt idx="0">
                  <c:v>0-5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21+</c:v>
                </c:pt>
              </c:strCache>
            </c:strRef>
          </c:cat>
          <c:val>
            <c:numRef>
              <c:f>'2.5k gjf rand1'!$AB$40:$AB$44</c:f>
              <c:numCache>
                <c:formatCode>General</c:formatCode>
                <c:ptCount val="5"/>
                <c:pt idx="0">
                  <c:v>0.125</c:v>
                </c:pt>
                <c:pt idx="1">
                  <c:v>0.21875</c:v>
                </c:pt>
                <c:pt idx="2">
                  <c:v>0.15625</c:v>
                </c:pt>
                <c:pt idx="3">
                  <c:v>0.0625</c:v>
                </c:pt>
                <c:pt idx="4">
                  <c:v>0.4375</c:v>
                </c:pt>
              </c:numCache>
            </c:numRef>
          </c:val>
        </c:ser>
        <c:ser>
          <c:idx val="4"/>
          <c:order val="4"/>
          <c:tx>
            <c:strRef>
              <c:f>'2.5k gjf rand1'!$AC$2</c:f>
              <c:strCache>
                <c:ptCount val="1"/>
                <c:pt idx="0">
                  <c:v>22</c:v>
                </c:pt>
              </c:strCache>
            </c:strRef>
          </c:tx>
          <c:invertIfNegative val="0"/>
          <c:cat>
            <c:strRef>
              <c:f>'2.5k gjf rand1'!$X$40:$X$44</c:f>
              <c:strCache>
                <c:ptCount val="5"/>
                <c:pt idx="0">
                  <c:v>0-5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21+</c:v>
                </c:pt>
              </c:strCache>
            </c:strRef>
          </c:cat>
          <c:val>
            <c:numRef>
              <c:f>'2.5k gjf rand1'!$AC$40:$AC$44</c:f>
              <c:numCache>
                <c:formatCode>General</c:formatCode>
                <c:ptCount val="5"/>
                <c:pt idx="0">
                  <c:v>0.25</c:v>
                </c:pt>
                <c:pt idx="1">
                  <c:v>0.15625</c:v>
                </c:pt>
                <c:pt idx="2">
                  <c:v>0.15625</c:v>
                </c:pt>
                <c:pt idx="3">
                  <c:v>0.0625</c:v>
                </c:pt>
                <c:pt idx="4">
                  <c:v>0.375</c:v>
                </c:pt>
              </c:numCache>
            </c:numRef>
          </c:val>
        </c:ser>
        <c:ser>
          <c:idx val="5"/>
          <c:order val="5"/>
          <c:tx>
            <c:strRef>
              <c:f>'2.5k gjf rand1'!$AD$2</c:f>
              <c:strCache>
                <c:ptCount val="1"/>
                <c:pt idx="0">
                  <c:v>24</c:v>
                </c:pt>
              </c:strCache>
            </c:strRef>
          </c:tx>
          <c:invertIfNegative val="0"/>
          <c:cat>
            <c:strRef>
              <c:f>'2.5k gjf rand1'!$X$40:$X$44</c:f>
              <c:strCache>
                <c:ptCount val="5"/>
                <c:pt idx="0">
                  <c:v>0-5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21+</c:v>
                </c:pt>
              </c:strCache>
            </c:strRef>
          </c:cat>
          <c:val>
            <c:numRef>
              <c:f>'2.5k gjf rand1'!$AD$40:$AD$44</c:f>
              <c:numCache>
                <c:formatCode>General</c:formatCode>
                <c:ptCount val="5"/>
                <c:pt idx="0">
                  <c:v>0.4375</c:v>
                </c:pt>
                <c:pt idx="1">
                  <c:v>0.09375</c:v>
                </c:pt>
                <c:pt idx="2">
                  <c:v>0.21875</c:v>
                </c:pt>
                <c:pt idx="3">
                  <c:v>0.125</c:v>
                </c:pt>
                <c:pt idx="4">
                  <c:v>0.125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6332712"/>
        <c:axId val="-2066329576"/>
      </c:barChart>
      <c:catAx>
        <c:axId val="-2066332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6329576"/>
        <c:crosses val="autoZero"/>
        <c:auto val="1"/>
        <c:lblAlgn val="ctr"/>
        <c:lblOffset val="100"/>
        <c:noMultiLvlLbl val="0"/>
      </c:catAx>
      <c:valAx>
        <c:axId val="-20663295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66332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'1.25k gjf rand1'!$B$2:$K$2</c:f>
              <c:numCache>
                <c:formatCode>General</c:formatCode>
                <c:ptCount val="10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12.0</c:v>
                </c:pt>
                <c:pt idx="8">
                  <c:v>14.0</c:v>
                </c:pt>
                <c:pt idx="9">
                  <c:v>16.0</c:v>
                </c:pt>
              </c:numCache>
            </c:numRef>
          </c:xVal>
          <c:yVal>
            <c:numRef>
              <c:f>'1.25k gjf rand1'!$B$35:$K$35</c:f>
              <c:numCache>
                <c:formatCode>General</c:formatCode>
                <c:ptCount val="10"/>
                <c:pt idx="0">
                  <c:v>5.78125</c:v>
                </c:pt>
                <c:pt idx="1">
                  <c:v>12.1875</c:v>
                </c:pt>
                <c:pt idx="2">
                  <c:v>12.5625</c:v>
                </c:pt>
                <c:pt idx="3">
                  <c:v>15.65625</c:v>
                </c:pt>
                <c:pt idx="4">
                  <c:v>16.25</c:v>
                </c:pt>
                <c:pt idx="5">
                  <c:v>16.375</c:v>
                </c:pt>
                <c:pt idx="6">
                  <c:v>11.96875</c:v>
                </c:pt>
                <c:pt idx="7">
                  <c:v>8.5625</c:v>
                </c:pt>
                <c:pt idx="8">
                  <c:v>3.6875</c:v>
                </c:pt>
                <c:pt idx="9">
                  <c:v>2.75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7866936"/>
        <c:axId val="-2019030040"/>
      </c:scatterChart>
      <c:valAx>
        <c:axId val="-2017866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19030040"/>
        <c:crosses val="autoZero"/>
        <c:crossBetween val="midCat"/>
      </c:valAx>
      <c:valAx>
        <c:axId val="-20190300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17866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'1.25k gjf rand1'!$B$36:$K$36</c:f>
                <c:numCache>
                  <c:formatCode>General</c:formatCode>
                  <c:ptCount val="10"/>
                  <c:pt idx="0">
                    <c:v>0.680175425071332</c:v>
                  </c:pt>
                  <c:pt idx="1">
                    <c:v>1.860494969694373</c:v>
                  </c:pt>
                  <c:pt idx="2">
                    <c:v>1.395467172323397</c:v>
                  </c:pt>
                  <c:pt idx="3">
                    <c:v>2.312840537262881</c:v>
                  </c:pt>
                  <c:pt idx="4">
                    <c:v>2.13269479691169</c:v>
                  </c:pt>
                  <c:pt idx="5">
                    <c:v>1.61987404926552</c:v>
                  </c:pt>
                  <c:pt idx="6">
                    <c:v>1.393366159353764</c:v>
                  </c:pt>
                  <c:pt idx="7">
                    <c:v>1.615121961838456</c:v>
                  </c:pt>
                  <c:pt idx="8">
                    <c:v>0.880884590221853</c:v>
                  </c:pt>
                  <c:pt idx="9">
                    <c:v>0.911397367392688</c:v>
                  </c:pt>
                </c:numCache>
              </c:numRef>
            </c:plus>
            <c:minus>
              <c:numRef>
                <c:f>'1.25k gjf rand1'!$B$36:$K$36</c:f>
                <c:numCache>
                  <c:formatCode>General</c:formatCode>
                  <c:ptCount val="10"/>
                  <c:pt idx="0">
                    <c:v>0.680175425071332</c:v>
                  </c:pt>
                  <c:pt idx="1">
                    <c:v>1.860494969694373</c:v>
                  </c:pt>
                  <c:pt idx="2">
                    <c:v>1.395467172323397</c:v>
                  </c:pt>
                  <c:pt idx="3">
                    <c:v>2.312840537262881</c:v>
                  </c:pt>
                  <c:pt idx="4">
                    <c:v>2.13269479691169</c:v>
                  </c:pt>
                  <c:pt idx="5">
                    <c:v>1.61987404926552</c:v>
                  </c:pt>
                  <c:pt idx="6">
                    <c:v>1.393366159353764</c:v>
                  </c:pt>
                  <c:pt idx="7">
                    <c:v>1.615121961838456</c:v>
                  </c:pt>
                  <c:pt idx="8">
                    <c:v>0.880884590221853</c:v>
                  </c:pt>
                  <c:pt idx="9">
                    <c:v>0.911397367392688</c:v>
                  </c:pt>
                </c:numCache>
              </c:numRef>
            </c:minus>
          </c:errBars>
          <c:xVal>
            <c:numRef>
              <c:f>'1.25k gjf rand1'!$B$2:$K$2</c:f>
              <c:numCache>
                <c:formatCode>General</c:formatCode>
                <c:ptCount val="10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12.0</c:v>
                </c:pt>
                <c:pt idx="8">
                  <c:v>14.0</c:v>
                </c:pt>
                <c:pt idx="9">
                  <c:v>16.0</c:v>
                </c:pt>
              </c:numCache>
            </c:numRef>
          </c:xVal>
          <c:yVal>
            <c:numRef>
              <c:f>'1.25k gjf rand1'!$B$35:$K$35</c:f>
              <c:numCache>
                <c:formatCode>General</c:formatCode>
                <c:ptCount val="10"/>
                <c:pt idx="0">
                  <c:v>5.78125</c:v>
                </c:pt>
                <c:pt idx="1">
                  <c:v>12.1875</c:v>
                </c:pt>
                <c:pt idx="2">
                  <c:v>12.5625</c:v>
                </c:pt>
                <c:pt idx="3">
                  <c:v>15.65625</c:v>
                </c:pt>
                <c:pt idx="4">
                  <c:v>16.25</c:v>
                </c:pt>
                <c:pt idx="5">
                  <c:v>16.375</c:v>
                </c:pt>
                <c:pt idx="6">
                  <c:v>11.96875</c:v>
                </c:pt>
                <c:pt idx="7">
                  <c:v>8.5625</c:v>
                </c:pt>
                <c:pt idx="8">
                  <c:v>3.6875</c:v>
                </c:pt>
                <c:pt idx="9">
                  <c:v>2.75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569224"/>
        <c:axId val="-2018455272"/>
      </c:scatterChart>
      <c:valAx>
        <c:axId val="2145569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18455272"/>
        <c:crosses val="autoZero"/>
        <c:crossBetween val="midCat"/>
      </c:valAx>
      <c:valAx>
        <c:axId val="-20184552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45569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'1.25k gjf rand1'!$B$2:$K$2</c:f>
              <c:numCache>
                <c:formatCode>General</c:formatCode>
                <c:ptCount val="10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12.0</c:v>
                </c:pt>
                <c:pt idx="8">
                  <c:v>14.0</c:v>
                </c:pt>
                <c:pt idx="9">
                  <c:v>16.0</c:v>
                </c:pt>
              </c:numCache>
            </c:numRef>
          </c:xVal>
          <c:yVal>
            <c:numRef>
              <c:f>'1.25k gjf rand1'!$B$48:$K$48</c:f>
              <c:numCache>
                <c:formatCode>General</c:formatCode>
                <c:ptCount val="10"/>
                <c:pt idx="0">
                  <c:v>89.84196625</c:v>
                </c:pt>
                <c:pt idx="1">
                  <c:v>71.97838624999999</c:v>
                </c:pt>
                <c:pt idx="2">
                  <c:v>64.07555000000001</c:v>
                </c:pt>
                <c:pt idx="3">
                  <c:v>48.44655375</c:v>
                </c:pt>
                <c:pt idx="4">
                  <c:v>32.00837125</c:v>
                </c:pt>
                <c:pt idx="5">
                  <c:v>29.58265750000001</c:v>
                </c:pt>
                <c:pt idx="6">
                  <c:v>27.20499874999999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8889112"/>
        <c:axId val="-2018886152"/>
      </c:scatterChart>
      <c:valAx>
        <c:axId val="-2018889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18886152"/>
        <c:crosses val="autoZero"/>
        <c:crossBetween val="midCat"/>
      </c:valAx>
      <c:valAx>
        <c:axId val="-2018886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18889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'1.25k gjf rand1'!$W$2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strRef>
              <c:f>'1.25k gjf rand1'!$V$40:$V$44</c:f>
              <c:strCache>
                <c:ptCount val="5"/>
                <c:pt idx="0">
                  <c:v>0-5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21+</c:v>
                </c:pt>
              </c:strCache>
            </c:strRef>
          </c:cat>
          <c:val>
            <c:numRef>
              <c:f>'1.25k gjf rand1'!$W$40:$W$44</c:f>
              <c:numCache>
                <c:formatCode>General</c:formatCode>
                <c:ptCount val="5"/>
                <c:pt idx="0">
                  <c:v>0.0625</c:v>
                </c:pt>
                <c:pt idx="1">
                  <c:v>0.1875</c:v>
                </c:pt>
                <c:pt idx="2">
                  <c:v>0.34375</c:v>
                </c:pt>
                <c:pt idx="3">
                  <c:v>0.125</c:v>
                </c:pt>
                <c:pt idx="4">
                  <c:v>0.28125</c:v>
                </c:pt>
              </c:numCache>
            </c:numRef>
          </c:val>
        </c:ser>
        <c:ser>
          <c:idx val="1"/>
          <c:order val="1"/>
          <c:tx>
            <c:strRef>
              <c:f>'1.25k gjf rand1'!$X$2</c:f>
              <c:strCache>
                <c:ptCount val="1"/>
                <c:pt idx="0">
                  <c:v>9</c:v>
                </c:pt>
              </c:strCache>
            </c:strRef>
          </c:tx>
          <c:invertIfNegative val="0"/>
          <c:cat>
            <c:strRef>
              <c:f>'1.25k gjf rand1'!$V$40:$V$44</c:f>
              <c:strCache>
                <c:ptCount val="5"/>
                <c:pt idx="0">
                  <c:v>0-5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21+</c:v>
                </c:pt>
              </c:strCache>
            </c:strRef>
          </c:cat>
          <c:val>
            <c:numRef>
              <c:f>'1.25k gjf rand1'!$X$40:$X$44</c:f>
              <c:numCache>
                <c:formatCode>General</c:formatCode>
                <c:ptCount val="5"/>
                <c:pt idx="0">
                  <c:v>0.03125</c:v>
                </c:pt>
                <c:pt idx="1">
                  <c:v>0.1875</c:v>
                </c:pt>
                <c:pt idx="2">
                  <c:v>0.28125</c:v>
                </c:pt>
                <c:pt idx="3">
                  <c:v>0.15625</c:v>
                </c:pt>
                <c:pt idx="4">
                  <c:v>0.34375</c:v>
                </c:pt>
              </c:numCache>
            </c:numRef>
          </c:val>
        </c:ser>
        <c:ser>
          <c:idx val="2"/>
          <c:order val="2"/>
          <c:tx>
            <c:strRef>
              <c:f>'1.25k gjf rand1'!$Y$2</c:f>
              <c:strCache>
                <c:ptCount val="1"/>
                <c:pt idx="0">
                  <c:v>10</c:v>
                </c:pt>
              </c:strCache>
            </c:strRef>
          </c:tx>
          <c:invertIfNegative val="0"/>
          <c:cat>
            <c:strRef>
              <c:f>'1.25k gjf rand1'!$V$40:$V$44</c:f>
              <c:strCache>
                <c:ptCount val="5"/>
                <c:pt idx="0">
                  <c:v>0-5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21+</c:v>
                </c:pt>
              </c:strCache>
            </c:strRef>
          </c:cat>
          <c:val>
            <c:numRef>
              <c:f>'1.25k gjf rand1'!$Y$40:$Y$44</c:f>
              <c:numCache>
                <c:formatCode>General</c:formatCode>
                <c:ptCount val="5"/>
                <c:pt idx="0">
                  <c:v>0.0625</c:v>
                </c:pt>
                <c:pt idx="1">
                  <c:v>0.3125</c:v>
                </c:pt>
                <c:pt idx="2">
                  <c:v>0.40625</c:v>
                </c:pt>
                <c:pt idx="3">
                  <c:v>0.125</c:v>
                </c:pt>
                <c:pt idx="4">
                  <c:v>0.09375</c:v>
                </c:pt>
              </c:numCache>
            </c:numRef>
          </c:val>
        </c:ser>
        <c:ser>
          <c:idx val="3"/>
          <c:order val="3"/>
          <c:tx>
            <c:strRef>
              <c:f>'1.25k gjf rand1'!$Z$2</c:f>
              <c:strCache>
                <c:ptCount val="1"/>
                <c:pt idx="0">
                  <c:v>12</c:v>
                </c:pt>
              </c:strCache>
            </c:strRef>
          </c:tx>
          <c:invertIfNegative val="0"/>
          <c:cat>
            <c:strRef>
              <c:f>'1.25k gjf rand1'!$V$40:$V$44</c:f>
              <c:strCache>
                <c:ptCount val="5"/>
                <c:pt idx="0">
                  <c:v>0-5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21+</c:v>
                </c:pt>
              </c:strCache>
            </c:strRef>
          </c:cat>
          <c:val>
            <c:numRef>
              <c:f>'1.25k gjf rand1'!$Z$40:$Z$44</c:f>
              <c:numCache>
                <c:formatCode>General</c:formatCode>
                <c:ptCount val="5"/>
                <c:pt idx="0">
                  <c:v>0.34375</c:v>
                </c:pt>
                <c:pt idx="1">
                  <c:v>0.34375</c:v>
                </c:pt>
                <c:pt idx="2">
                  <c:v>0.15625</c:v>
                </c:pt>
                <c:pt idx="3">
                  <c:v>0.125</c:v>
                </c:pt>
                <c:pt idx="4">
                  <c:v>0.03125</c:v>
                </c:pt>
              </c:numCache>
            </c:numRef>
          </c:val>
        </c:ser>
        <c:ser>
          <c:idx val="4"/>
          <c:order val="4"/>
          <c:tx>
            <c:strRef>
              <c:f>'1.25k gjf rand1'!$AA$2</c:f>
              <c:strCache>
                <c:ptCount val="1"/>
                <c:pt idx="0">
                  <c:v>14</c:v>
                </c:pt>
              </c:strCache>
            </c:strRef>
          </c:tx>
          <c:invertIfNegative val="0"/>
          <c:cat>
            <c:strRef>
              <c:f>'1.25k gjf rand1'!$V$40:$V$44</c:f>
              <c:strCache>
                <c:ptCount val="5"/>
                <c:pt idx="0">
                  <c:v>0-5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21+</c:v>
                </c:pt>
              </c:strCache>
            </c:strRef>
          </c:cat>
          <c:val>
            <c:numRef>
              <c:f>'1.25k gjf rand1'!$AA$40:$AA$44</c:f>
              <c:numCache>
                <c:formatCode>General</c:formatCode>
                <c:ptCount val="5"/>
                <c:pt idx="0">
                  <c:v>0.78125</c:v>
                </c:pt>
                <c:pt idx="1">
                  <c:v>0.15625</c:v>
                </c:pt>
                <c:pt idx="2">
                  <c:v>0.0625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7503352"/>
        <c:axId val="-2017500296"/>
      </c:barChart>
      <c:catAx>
        <c:axId val="-2017503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17500296"/>
        <c:crosses val="autoZero"/>
        <c:auto val="1"/>
        <c:lblAlgn val="ctr"/>
        <c:lblOffset val="100"/>
        <c:noMultiLvlLbl val="0"/>
      </c:catAx>
      <c:valAx>
        <c:axId val="-2017500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17503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6lat</c:v>
          </c:tx>
          <c:invertIfNegative val="0"/>
          <c:cat>
            <c:strRef>
              <c:f>'15k'!$K$145:$K$149</c:f>
              <c:strCache>
                <c:ptCount val="5"/>
                <c:pt idx="0">
                  <c:v>0-5</c:v>
                </c:pt>
                <c:pt idx="1">
                  <c:v>6 -- 10</c:v>
                </c:pt>
                <c:pt idx="2">
                  <c:v>11 -- 15</c:v>
                </c:pt>
                <c:pt idx="3">
                  <c:v>16-20</c:v>
                </c:pt>
                <c:pt idx="4">
                  <c:v>21+</c:v>
                </c:pt>
              </c:strCache>
            </c:strRef>
          </c:cat>
          <c:val>
            <c:numRef>
              <c:f>'15k'!$P$145:$P$149</c:f>
              <c:numCache>
                <c:formatCode>General</c:formatCode>
                <c:ptCount val="5"/>
                <c:pt idx="0">
                  <c:v>13.0</c:v>
                </c:pt>
                <c:pt idx="1">
                  <c:v>10.0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</c:numCache>
            </c:numRef>
          </c:val>
        </c:ser>
        <c:ser>
          <c:idx val="1"/>
          <c:order val="1"/>
          <c:tx>
            <c:v>7lat</c:v>
          </c:tx>
          <c:invertIfNegative val="0"/>
          <c:val>
            <c:numRef>
              <c:f>'15k'!$Q$145:$Q$149</c:f>
              <c:numCache>
                <c:formatCode>General</c:formatCode>
                <c:ptCount val="5"/>
                <c:pt idx="0">
                  <c:v>18.0</c:v>
                </c:pt>
                <c:pt idx="1">
                  <c:v>9.0</c:v>
                </c:pt>
                <c:pt idx="2">
                  <c:v>4.0</c:v>
                </c:pt>
                <c:pt idx="3">
                  <c:v>3.0</c:v>
                </c:pt>
                <c:pt idx="4">
                  <c:v>1.0</c:v>
                </c:pt>
              </c:numCache>
            </c:numRef>
          </c:val>
        </c:ser>
        <c:ser>
          <c:idx val="2"/>
          <c:order val="2"/>
          <c:tx>
            <c:v>4lat</c:v>
          </c:tx>
          <c:invertIfNegative val="0"/>
          <c:val>
            <c:numRef>
              <c:f>'15k'!$N$145:$N$149</c:f>
              <c:numCache>
                <c:formatCode>General</c:formatCode>
                <c:ptCount val="5"/>
                <c:pt idx="0">
                  <c:v>15.0</c:v>
                </c:pt>
                <c:pt idx="1">
                  <c:v>8.0</c:v>
                </c:pt>
                <c:pt idx="2">
                  <c:v>6.0</c:v>
                </c:pt>
                <c:pt idx="3">
                  <c:v>3.0</c:v>
                </c:pt>
                <c:pt idx="4">
                  <c:v>0.0</c:v>
                </c:pt>
              </c:numCache>
            </c:numRef>
          </c:val>
        </c:ser>
        <c:ser>
          <c:idx val="3"/>
          <c:order val="3"/>
          <c:tx>
            <c:v>5lat</c:v>
          </c:tx>
          <c:invertIfNegative val="0"/>
          <c:val>
            <c:numRef>
              <c:f>'15k'!$O$145:$O$149</c:f>
              <c:numCache>
                <c:formatCode>General</c:formatCode>
                <c:ptCount val="5"/>
                <c:pt idx="0">
                  <c:v>13.0</c:v>
                </c:pt>
                <c:pt idx="1">
                  <c:v>8.0</c:v>
                </c:pt>
                <c:pt idx="2">
                  <c:v>8.0</c:v>
                </c:pt>
                <c:pt idx="3">
                  <c:v>2.0</c:v>
                </c:pt>
                <c:pt idx="4">
                  <c:v>1.0</c:v>
                </c:pt>
              </c:numCache>
            </c:numRef>
          </c:val>
        </c:ser>
        <c:ser>
          <c:idx val="4"/>
          <c:order val="4"/>
          <c:tx>
            <c:v>8lat</c:v>
          </c:tx>
          <c:invertIfNegative val="0"/>
          <c:val>
            <c:numRef>
              <c:f>'15k'!$R$145:$R$149</c:f>
              <c:numCache>
                <c:formatCode>General</c:formatCode>
                <c:ptCount val="5"/>
                <c:pt idx="0">
                  <c:v>21.0</c:v>
                </c:pt>
                <c:pt idx="1">
                  <c:v>7.0</c:v>
                </c:pt>
                <c:pt idx="2">
                  <c:v>1.0</c:v>
                </c:pt>
                <c:pt idx="3">
                  <c:v>3.0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1798440"/>
        <c:axId val="2071801496"/>
      </c:barChart>
      <c:catAx>
        <c:axId val="2071798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1801496"/>
        <c:crosses val="autoZero"/>
        <c:auto val="1"/>
        <c:lblAlgn val="ctr"/>
        <c:lblOffset val="100"/>
        <c:noMultiLvlLbl val="0"/>
      </c:catAx>
      <c:valAx>
        <c:axId val="2071801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71798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'15k'!$W$71</c:f>
              <c:strCache>
                <c:ptCount val="1"/>
                <c:pt idx="0">
                  <c:v>0 -- 5</c:v>
                </c:pt>
              </c:strCache>
            </c:strRef>
          </c:tx>
          <c:invertIfNegative val="0"/>
          <c:cat>
            <c:numRef>
              <c:f>'15k'!$X$38:$AC$38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'15k'!$X$71:$AC$71</c:f>
              <c:numCache>
                <c:formatCode>General</c:formatCode>
                <c:ptCount val="6"/>
                <c:pt idx="0">
                  <c:v>18.0</c:v>
                </c:pt>
                <c:pt idx="1">
                  <c:v>7.0</c:v>
                </c:pt>
                <c:pt idx="2">
                  <c:v>9.0</c:v>
                </c:pt>
                <c:pt idx="3">
                  <c:v>5.0</c:v>
                </c:pt>
                <c:pt idx="4">
                  <c:v>13.0</c:v>
                </c:pt>
                <c:pt idx="5">
                  <c:v>20.0</c:v>
                </c:pt>
              </c:numCache>
            </c:numRef>
          </c:val>
        </c:ser>
        <c:ser>
          <c:idx val="1"/>
          <c:order val="1"/>
          <c:tx>
            <c:strRef>
              <c:f>'15k'!$W$72</c:f>
              <c:strCache>
                <c:ptCount val="1"/>
                <c:pt idx="0">
                  <c:v>6 -- 10</c:v>
                </c:pt>
              </c:strCache>
            </c:strRef>
          </c:tx>
          <c:invertIfNegative val="0"/>
          <c:cat>
            <c:numRef>
              <c:f>'15k'!$X$38:$AC$38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'15k'!$X$72:$AC$72</c:f>
              <c:numCache>
                <c:formatCode>General</c:formatCode>
                <c:ptCount val="6"/>
                <c:pt idx="0">
                  <c:v>6.0</c:v>
                </c:pt>
                <c:pt idx="1">
                  <c:v>11.0</c:v>
                </c:pt>
                <c:pt idx="2">
                  <c:v>9.0</c:v>
                </c:pt>
                <c:pt idx="3">
                  <c:v>10.0</c:v>
                </c:pt>
                <c:pt idx="4">
                  <c:v>7.0</c:v>
                </c:pt>
                <c:pt idx="5">
                  <c:v>6.0</c:v>
                </c:pt>
              </c:numCache>
            </c:numRef>
          </c:val>
        </c:ser>
        <c:ser>
          <c:idx val="2"/>
          <c:order val="2"/>
          <c:tx>
            <c:strRef>
              <c:f>'15k'!$W$73</c:f>
              <c:strCache>
                <c:ptCount val="1"/>
                <c:pt idx="0">
                  <c:v>11 -- 15</c:v>
                </c:pt>
              </c:strCache>
            </c:strRef>
          </c:tx>
          <c:invertIfNegative val="0"/>
          <c:cat>
            <c:numRef>
              <c:f>'15k'!$X$38:$AC$38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'15k'!$X$73:$AC$73</c:f>
              <c:numCache>
                <c:formatCode>General</c:formatCode>
                <c:ptCount val="6"/>
                <c:pt idx="0">
                  <c:v>3.0</c:v>
                </c:pt>
                <c:pt idx="1">
                  <c:v>6.0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4.0</c:v>
                </c:pt>
              </c:numCache>
            </c:numRef>
          </c:val>
        </c:ser>
        <c:ser>
          <c:idx val="3"/>
          <c:order val="3"/>
          <c:tx>
            <c:strRef>
              <c:f>'15k'!$W$74</c:f>
              <c:strCache>
                <c:ptCount val="1"/>
                <c:pt idx="0">
                  <c:v>16 --20</c:v>
                </c:pt>
              </c:strCache>
            </c:strRef>
          </c:tx>
          <c:invertIfNegative val="0"/>
          <c:cat>
            <c:numRef>
              <c:f>'15k'!$X$38:$AC$38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'15k'!$X$74:$AC$74</c:f>
              <c:numCache>
                <c:formatCode>General</c:formatCode>
                <c:ptCount val="6"/>
                <c:pt idx="0">
                  <c:v>4.0</c:v>
                </c:pt>
                <c:pt idx="1">
                  <c:v>3.0</c:v>
                </c:pt>
                <c:pt idx="2">
                  <c:v>7.0</c:v>
                </c:pt>
                <c:pt idx="3">
                  <c:v>6.0</c:v>
                </c:pt>
                <c:pt idx="4">
                  <c:v>3.0</c:v>
                </c:pt>
                <c:pt idx="5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'15k'!$W$75</c:f>
              <c:strCache>
                <c:ptCount val="1"/>
                <c:pt idx="0">
                  <c:v>21+</c:v>
                </c:pt>
              </c:strCache>
            </c:strRef>
          </c:tx>
          <c:invertIfNegative val="0"/>
          <c:cat>
            <c:numRef>
              <c:f>'15k'!$X$38:$AC$38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'15k'!$X$75:$AC$75</c:f>
              <c:numCache>
                <c:formatCode>General</c:formatCode>
                <c:ptCount val="6"/>
                <c:pt idx="0">
                  <c:v>1.0</c:v>
                </c:pt>
                <c:pt idx="1">
                  <c:v>5.0</c:v>
                </c:pt>
                <c:pt idx="2">
                  <c:v>2.0</c:v>
                </c:pt>
                <c:pt idx="3">
                  <c:v>5.0</c:v>
                </c:pt>
                <c:pt idx="4">
                  <c:v>2.0</c:v>
                </c:pt>
                <c:pt idx="5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1375976"/>
        <c:axId val="-2021372920"/>
      </c:barChart>
      <c:catAx>
        <c:axId val="-2021375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1372920"/>
        <c:crosses val="autoZero"/>
        <c:auto val="1"/>
        <c:lblAlgn val="ctr"/>
        <c:lblOffset val="100"/>
        <c:noMultiLvlLbl val="0"/>
      </c:catAx>
      <c:valAx>
        <c:axId val="-20213729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21375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4537118045429"/>
          <c:y val="0.0337078651685393"/>
          <c:w val="0.705903891643174"/>
          <c:h val="0.784569583296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'15k'!$X$38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strRef>
              <c:f>'15k'!$W$71:$W$75</c:f>
              <c:strCache>
                <c:ptCount val="5"/>
                <c:pt idx="0">
                  <c:v>0 -- 5</c:v>
                </c:pt>
                <c:pt idx="1">
                  <c:v>6 -- 10</c:v>
                </c:pt>
                <c:pt idx="2">
                  <c:v>11 -- 15</c:v>
                </c:pt>
                <c:pt idx="3">
                  <c:v>16 --20</c:v>
                </c:pt>
                <c:pt idx="4">
                  <c:v>21+</c:v>
                </c:pt>
              </c:strCache>
            </c:strRef>
          </c:cat>
          <c:val>
            <c:numRef>
              <c:f>'15k'!$X$71:$X$75</c:f>
              <c:numCache>
                <c:formatCode>General</c:formatCode>
                <c:ptCount val="5"/>
                <c:pt idx="0">
                  <c:v>18.0</c:v>
                </c:pt>
                <c:pt idx="1">
                  <c:v>6.0</c:v>
                </c:pt>
                <c:pt idx="2">
                  <c:v>3.0</c:v>
                </c:pt>
                <c:pt idx="3">
                  <c:v>4.0</c:v>
                </c:pt>
                <c:pt idx="4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'15k'!$Y$38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strRef>
              <c:f>'15k'!$W$71:$W$75</c:f>
              <c:strCache>
                <c:ptCount val="5"/>
                <c:pt idx="0">
                  <c:v>0 -- 5</c:v>
                </c:pt>
                <c:pt idx="1">
                  <c:v>6 -- 10</c:v>
                </c:pt>
                <c:pt idx="2">
                  <c:v>11 -- 15</c:v>
                </c:pt>
                <c:pt idx="3">
                  <c:v>16 --20</c:v>
                </c:pt>
                <c:pt idx="4">
                  <c:v>21+</c:v>
                </c:pt>
              </c:strCache>
            </c:strRef>
          </c:cat>
          <c:val>
            <c:numRef>
              <c:f>'15k'!$Y$71:$Y$75</c:f>
              <c:numCache>
                <c:formatCode>General</c:formatCode>
                <c:ptCount val="5"/>
                <c:pt idx="0">
                  <c:v>7.0</c:v>
                </c:pt>
                <c:pt idx="1">
                  <c:v>11.0</c:v>
                </c:pt>
                <c:pt idx="2">
                  <c:v>6.0</c:v>
                </c:pt>
                <c:pt idx="3">
                  <c:v>3.0</c:v>
                </c:pt>
                <c:pt idx="4">
                  <c:v>5.0</c:v>
                </c:pt>
              </c:numCache>
            </c:numRef>
          </c:val>
        </c:ser>
        <c:ser>
          <c:idx val="2"/>
          <c:order val="2"/>
          <c:tx>
            <c:strRef>
              <c:f>'15k'!$Z$38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cat>
            <c:strRef>
              <c:f>'15k'!$W$71:$W$75</c:f>
              <c:strCache>
                <c:ptCount val="5"/>
                <c:pt idx="0">
                  <c:v>0 -- 5</c:v>
                </c:pt>
                <c:pt idx="1">
                  <c:v>6 -- 10</c:v>
                </c:pt>
                <c:pt idx="2">
                  <c:v>11 -- 15</c:v>
                </c:pt>
                <c:pt idx="3">
                  <c:v>16 --20</c:v>
                </c:pt>
                <c:pt idx="4">
                  <c:v>21+</c:v>
                </c:pt>
              </c:strCache>
            </c:strRef>
          </c:cat>
          <c:val>
            <c:numRef>
              <c:f>'15k'!$Z$71:$Z$75</c:f>
              <c:numCache>
                <c:formatCode>General</c:formatCode>
                <c:ptCount val="5"/>
                <c:pt idx="0">
                  <c:v>9.0</c:v>
                </c:pt>
                <c:pt idx="1">
                  <c:v>9.0</c:v>
                </c:pt>
                <c:pt idx="2">
                  <c:v>5.0</c:v>
                </c:pt>
                <c:pt idx="3">
                  <c:v>7.0</c:v>
                </c:pt>
                <c:pt idx="4">
                  <c:v>2.0</c:v>
                </c:pt>
              </c:numCache>
            </c:numRef>
          </c:val>
        </c:ser>
        <c:ser>
          <c:idx val="3"/>
          <c:order val="3"/>
          <c:tx>
            <c:strRef>
              <c:f>'15k'!$AA$38</c:f>
              <c:strCache>
                <c:ptCount val="1"/>
                <c:pt idx="0">
                  <c:v>6</c:v>
                </c:pt>
              </c:strCache>
            </c:strRef>
          </c:tx>
          <c:invertIfNegative val="0"/>
          <c:cat>
            <c:strRef>
              <c:f>'15k'!$W$71:$W$75</c:f>
              <c:strCache>
                <c:ptCount val="5"/>
                <c:pt idx="0">
                  <c:v>0 -- 5</c:v>
                </c:pt>
                <c:pt idx="1">
                  <c:v>6 -- 10</c:v>
                </c:pt>
                <c:pt idx="2">
                  <c:v>11 -- 15</c:v>
                </c:pt>
                <c:pt idx="3">
                  <c:v>16 --20</c:v>
                </c:pt>
                <c:pt idx="4">
                  <c:v>21+</c:v>
                </c:pt>
              </c:strCache>
            </c:strRef>
          </c:cat>
          <c:val>
            <c:numRef>
              <c:f>'15k'!$AA$71:$AA$75</c:f>
              <c:numCache>
                <c:formatCode>General</c:formatCode>
                <c:ptCount val="5"/>
                <c:pt idx="0">
                  <c:v>5.0</c:v>
                </c:pt>
                <c:pt idx="1">
                  <c:v>10.0</c:v>
                </c:pt>
                <c:pt idx="2">
                  <c:v>6.0</c:v>
                </c:pt>
                <c:pt idx="3">
                  <c:v>6.0</c:v>
                </c:pt>
                <c:pt idx="4">
                  <c:v>5.0</c:v>
                </c:pt>
              </c:numCache>
            </c:numRef>
          </c:val>
        </c:ser>
        <c:ser>
          <c:idx val="4"/>
          <c:order val="4"/>
          <c:tx>
            <c:strRef>
              <c:f>'15k'!$AB$38</c:f>
              <c:strCache>
                <c:ptCount val="1"/>
                <c:pt idx="0">
                  <c:v>7</c:v>
                </c:pt>
              </c:strCache>
            </c:strRef>
          </c:tx>
          <c:invertIfNegative val="0"/>
          <c:cat>
            <c:strRef>
              <c:f>'15k'!$W$71:$W$75</c:f>
              <c:strCache>
                <c:ptCount val="5"/>
                <c:pt idx="0">
                  <c:v>0 -- 5</c:v>
                </c:pt>
                <c:pt idx="1">
                  <c:v>6 -- 10</c:v>
                </c:pt>
                <c:pt idx="2">
                  <c:v>11 -- 15</c:v>
                </c:pt>
                <c:pt idx="3">
                  <c:v>16 --20</c:v>
                </c:pt>
                <c:pt idx="4">
                  <c:v>21+</c:v>
                </c:pt>
              </c:strCache>
            </c:strRef>
          </c:cat>
          <c:val>
            <c:numRef>
              <c:f>'15k'!$AB$71:$AB$75</c:f>
              <c:numCache>
                <c:formatCode>General</c:formatCode>
                <c:ptCount val="5"/>
                <c:pt idx="0">
                  <c:v>13.0</c:v>
                </c:pt>
                <c:pt idx="1">
                  <c:v>7.0</c:v>
                </c:pt>
                <c:pt idx="2">
                  <c:v>7.0</c:v>
                </c:pt>
                <c:pt idx="3">
                  <c:v>3.0</c:v>
                </c:pt>
                <c:pt idx="4">
                  <c:v>2.0</c:v>
                </c:pt>
              </c:numCache>
            </c:numRef>
          </c:val>
        </c:ser>
        <c:ser>
          <c:idx val="5"/>
          <c:order val="5"/>
          <c:tx>
            <c:strRef>
              <c:f>'15k'!$AC$38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strRef>
              <c:f>'15k'!$W$71:$W$75</c:f>
              <c:strCache>
                <c:ptCount val="5"/>
                <c:pt idx="0">
                  <c:v>0 -- 5</c:v>
                </c:pt>
                <c:pt idx="1">
                  <c:v>6 -- 10</c:v>
                </c:pt>
                <c:pt idx="2">
                  <c:v>11 -- 15</c:v>
                </c:pt>
                <c:pt idx="3">
                  <c:v>16 --20</c:v>
                </c:pt>
                <c:pt idx="4">
                  <c:v>21+</c:v>
                </c:pt>
              </c:strCache>
            </c:strRef>
          </c:cat>
          <c:val>
            <c:numRef>
              <c:f>'15k'!$AC$71:$AC$75</c:f>
              <c:numCache>
                <c:formatCode>General</c:formatCode>
                <c:ptCount val="5"/>
                <c:pt idx="0">
                  <c:v>20.0</c:v>
                </c:pt>
                <c:pt idx="1">
                  <c:v>6.0</c:v>
                </c:pt>
                <c:pt idx="2">
                  <c:v>4.0</c:v>
                </c:pt>
                <c:pt idx="3">
                  <c:v>0.0</c:v>
                </c:pt>
                <c:pt idx="4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1324536"/>
        <c:axId val="-2021321400"/>
      </c:barChart>
      <c:catAx>
        <c:axId val="-2021324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1321400"/>
        <c:crosses val="autoZero"/>
        <c:auto val="1"/>
        <c:lblAlgn val="ctr"/>
        <c:lblOffset val="100"/>
        <c:noMultiLvlLbl val="0"/>
      </c:catAx>
      <c:valAx>
        <c:axId val="-20213214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21324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'15k'!$M$74:$U$74</c:f>
              <c:numCache>
                <c:formatCode>General</c:formatCode>
                <c:ptCount val="9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12.0</c:v>
                </c:pt>
              </c:numCache>
            </c:numRef>
          </c:xVal>
          <c:yVal>
            <c:numRef>
              <c:f>'15k'!$M$107:$U$107</c:f>
              <c:numCache>
                <c:formatCode>General</c:formatCode>
                <c:ptCount val="9"/>
                <c:pt idx="0">
                  <c:v>6.166666666666667</c:v>
                </c:pt>
                <c:pt idx="1">
                  <c:v>7.53125</c:v>
                </c:pt>
                <c:pt idx="2">
                  <c:v>8.09375</c:v>
                </c:pt>
                <c:pt idx="3">
                  <c:v>8.46875</c:v>
                </c:pt>
                <c:pt idx="4">
                  <c:v>6.4375</c:v>
                </c:pt>
                <c:pt idx="5">
                  <c:v>4.8125</c:v>
                </c:pt>
                <c:pt idx="6">
                  <c:v>3.84375</c:v>
                </c:pt>
                <c:pt idx="7">
                  <c:v>2.9375</c:v>
                </c:pt>
                <c:pt idx="8">
                  <c:v>1.96875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1301800"/>
        <c:axId val="-2021298840"/>
      </c:scatterChart>
      <c:valAx>
        <c:axId val="-2021301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1298840"/>
        <c:crosses val="autoZero"/>
        <c:crossBetween val="midCat"/>
      </c:valAx>
      <c:valAx>
        <c:axId val="-2021298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21301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'15k'!$M$108:$U$108</c:f>
                <c:numCache>
                  <c:formatCode>General</c:formatCode>
                  <c:ptCount val="9"/>
                  <c:pt idx="0">
                    <c:v>1.450574598794101</c:v>
                  </c:pt>
                  <c:pt idx="1">
                    <c:v>1.798261649392941</c:v>
                  </c:pt>
                  <c:pt idx="2">
                    <c:v>1.980467880121651</c:v>
                  </c:pt>
                  <c:pt idx="3">
                    <c:v>2.053683502251346</c:v>
                  </c:pt>
                  <c:pt idx="4">
                    <c:v>1.90275161533959</c:v>
                  </c:pt>
                  <c:pt idx="5">
                    <c:v>1.797034968335161</c:v>
                  </c:pt>
                  <c:pt idx="6">
                    <c:v>1.663433523982752</c:v>
                  </c:pt>
                  <c:pt idx="7">
                    <c:v>0.995706508772993</c:v>
                  </c:pt>
                  <c:pt idx="8">
                    <c:v>0.625302346224247</c:v>
                  </c:pt>
                </c:numCache>
              </c:numRef>
            </c:plus>
            <c:minus>
              <c:numRef>
                <c:f>'15k'!$M$108:$U$108</c:f>
                <c:numCache>
                  <c:formatCode>General</c:formatCode>
                  <c:ptCount val="9"/>
                  <c:pt idx="0">
                    <c:v>1.450574598794101</c:v>
                  </c:pt>
                  <c:pt idx="1">
                    <c:v>1.798261649392941</c:v>
                  </c:pt>
                  <c:pt idx="2">
                    <c:v>1.980467880121651</c:v>
                  </c:pt>
                  <c:pt idx="3">
                    <c:v>2.053683502251346</c:v>
                  </c:pt>
                  <c:pt idx="4">
                    <c:v>1.90275161533959</c:v>
                  </c:pt>
                  <c:pt idx="5">
                    <c:v>1.797034968335161</c:v>
                  </c:pt>
                  <c:pt idx="6">
                    <c:v>1.663433523982752</c:v>
                  </c:pt>
                  <c:pt idx="7">
                    <c:v>0.995706508772993</c:v>
                  </c:pt>
                  <c:pt idx="8">
                    <c:v>0.625302346224247</c:v>
                  </c:pt>
                </c:numCache>
              </c:numRef>
            </c:minus>
          </c:errBars>
          <c:xVal>
            <c:numRef>
              <c:f>'15k'!$M$74:$U$74</c:f>
              <c:numCache>
                <c:formatCode>General</c:formatCode>
                <c:ptCount val="9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12.0</c:v>
                </c:pt>
              </c:numCache>
            </c:numRef>
          </c:xVal>
          <c:yVal>
            <c:numRef>
              <c:f>'15k'!$M$107:$U$107</c:f>
              <c:numCache>
                <c:formatCode>General</c:formatCode>
                <c:ptCount val="9"/>
                <c:pt idx="0">
                  <c:v>6.166666666666667</c:v>
                </c:pt>
                <c:pt idx="1">
                  <c:v>7.53125</c:v>
                </c:pt>
                <c:pt idx="2">
                  <c:v>8.09375</c:v>
                </c:pt>
                <c:pt idx="3">
                  <c:v>8.46875</c:v>
                </c:pt>
                <c:pt idx="4">
                  <c:v>6.4375</c:v>
                </c:pt>
                <c:pt idx="5">
                  <c:v>4.8125</c:v>
                </c:pt>
                <c:pt idx="6">
                  <c:v>3.84375</c:v>
                </c:pt>
                <c:pt idx="7">
                  <c:v>2.9375</c:v>
                </c:pt>
                <c:pt idx="8">
                  <c:v>1.96875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1272664"/>
        <c:axId val="-2021269672"/>
      </c:scatterChart>
      <c:valAx>
        <c:axId val="-202127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1269672"/>
        <c:crosses val="autoZero"/>
        <c:crossBetween val="midCat"/>
      </c:valAx>
      <c:valAx>
        <c:axId val="-2021269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21272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'10K gjf'!$B$35:$J$35</c:f>
                <c:numCache>
                  <c:formatCode>General</c:formatCode>
                  <c:ptCount val="9"/>
                  <c:pt idx="0">
                    <c:v>0.0</c:v>
                  </c:pt>
                  <c:pt idx="1">
                    <c:v>2.942327593363232</c:v>
                  </c:pt>
                  <c:pt idx="2">
                    <c:v>2.69393609179332</c:v>
                  </c:pt>
                  <c:pt idx="3">
                    <c:v>7.159783516280363</c:v>
                  </c:pt>
                  <c:pt idx="4">
                    <c:v>3.807886552931954</c:v>
                  </c:pt>
                  <c:pt idx="5">
                    <c:v>2.937544325906703</c:v>
                  </c:pt>
                  <c:pt idx="6">
                    <c:v>2.752082544789188</c:v>
                  </c:pt>
                  <c:pt idx="7">
                    <c:v>3.545977768307823</c:v>
                  </c:pt>
                  <c:pt idx="8">
                    <c:v>2.552448816269862</c:v>
                  </c:pt>
                </c:numCache>
              </c:numRef>
            </c:plus>
            <c:minus>
              <c:numRef>
                <c:f>'10K gjf'!$B$35:$J$35</c:f>
                <c:numCache>
                  <c:formatCode>General</c:formatCode>
                  <c:ptCount val="9"/>
                  <c:pt idx="0">
                    <c:v>0.0</c:v>
                  </c:pt>
                  <c:pt idx="1">
                    <c:v>2.942327593363232</c:v>
                  </c:pt>
                  <c:pt idx="2">
                    <c:v>2.69393609179332</c:v>
                  </c:pt>
                  <c:pt idx="3">
                    <c:v>7.159783516280363</c:v>
                  </c:pt>
                  <c:pt idx="4">
                    <c:v>3.807886552931954</c:v>
                  </c:pt>
                  <c:pt idx="5">
                    <c:v>2.937544325906703</c:v>
                  </c:pt>
                  <c:pt idx="6">
                    <c:v>2.752082544789188</c:v>
                  </c:pt>
                  <c:pt idx="7">
                    <c:v>3.545977768307823</c:v>
                  </c:pt>
                  <c:pt idx="8">
                    <c:v>2.552448816269862</c:v>
                  </c:pt>
                </c:numCache>
              </c:numRef>
            </c:minus>
          </c:errBars>
          <c:xVal>
            <c:numRef>
              <c:f>'10K gjf'!$B$1:$J$1</c:f>
              <c:numCache>
                <c:formatCode>General</c:formatCode>
                <c:ptCount val="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</c:numCache>
            </c:numRef>
          </c:xVal>
          <c:yVal>
            <c:numRef>
              <c:f>'10K gjf'!$B$34:$J$34</c:f>
              <c:numCache>
                <c:formatCode>General</c:formatCode>
                <c:ptCount val="9"/>
                <c:pt idx="0">
                  <c:v>1.0</c:v>
                </c:pt>
                <c:pt idx="1">
                  <c:v>8.6875</c:v>
                </c:pt>
                <c:pt idx="2">
                  <c:v>7.6875</c:v>
                </c:pt>
                <c:pt idx="3">
                  <c:v>10.375</c:v>
                </c:pt>
                <c:pt idx="4">
                  <c:v>11.0</c:v>
                </c:pt>
                <c:pt idx="5">
                  <c:v>7.625</c:v>
                </c:pt>
                <c:pt idx="6">
                  <c:v>6.1875</c:v>
                </c:pt>
                <c:pt idx="7">
                  <c:v>6.1875</c:v>
                </c:pt>
                <c:pt idx="8">
                  <c:v>7.59375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1096984"/>
        <c:axId val="-2021093992"/>
      </c:scatterChart>
      <c:valAx>
        <c:axId val="-2021096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1093992"/>
        <c:crosses val="autoZero"/>
        <c:crossBetween val="midCat"/>
      </c:valAx>
      <c:valAx>
        <c:axId val="-2021093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21096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Relationship Id="rId6" Type="http://schemas.openxmlformats.org/officeDocument/2006/relationships/chart" Target="../charts/chart27.xml"/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37</xdr:row>
      <xdr:rowOff>165100</xdr:rowOff>
    </xdr:from>
    <xdr:to>
      <xdr:col>5</xdr:col>
      <xdr:colOff>79374</xdr:colOff>
      <xdr:row>51</xdr:row>
      <xdr:rowOff>165099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241300</xdr:colOff>
      <xdr:row>38</xdr:row>
      <xdr:rowOff>25400</xdr:rowOff>
    </xdr:from>
    <xdr:to>
      <xdr:col>10</xdr:col>
      <xdr:colOff>231774</xdr:colOff>
      <xdr:row>52</xdr:row>
      <xdr:rowOff>25399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258536</xdr:colOff>
      <xdr:row>54</xdr:row>
      <xdr:rowOff>0</xdr:rowOff>
    </xdr:from>
    <xdr:to>
      <xdr:col>10</xdr:col>
      <xdr:colOff>249010</xdr:colOff>
      <xdr:row>68</xdr:row>
      <xdr:rowOff>-1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419100</xdr:colOff>
      <xdr:row>141</xdr:row>
      <xdr:rowOff>76200</xdr:rowOff>
    </xdr:from>
    <xdr:to>
      <xdr:col>28</xdr:col>
      <xdr:colOff>279400</xdr:colOff>
      <xdr:row>155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520700</xdr:colOff>
      <xdr:row>40</xdr:row>
      <xdr:rowOff>50800</xdr:rowOff>
    </xdr:from>
    <xdr:to>
      <xdr:col>40</xdr:col>
      <xdr:colOff>431800</xdr:colOff>
      <xdr:row>59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533400</xdr:colOff>
      <xdr:row>61</xdr:row>
      <xdr:rowOff>76200</xdr:rowOff>
    </xdr:from>
    <xdr:to>
      <xdr:col>37</xdr:col>
      <xdr:colOff>254000</xdr:colOff>
      <xdr:row>73</xdr:row>
      <xdr:rowOff>50800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349250</xdr:colOff>
      <xdr:row>76</xdr:row>
      <xdr:rowOff>6350</xdr:rowOff>
    </xdr:from>
    <xdr:to>
      <xdr:col>29</xdr:col>
      <xdr:colOff>38100</xdr:colOff>
      <xdr:row>96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228600</xdr:colOff>
      <xdr:row>97</xdr:row>
      <xdr:rowOff>63500</xdr:rowOff>
    </xdr:from>
    <xdr:to>
      <xdr:col>29</xdr:col>
      <xdr:colOff>590550</xdr:colOff>
      <xdr:row>117</xdr:row>
      <xdr:rowOff>95250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36</xdr:row>
      <xdr:rowOff>152400</xdr:rowOff>
    </xdr:from>
    <xdr:to>
      <xdr:col>7</xdr:col>
      <xdr:colOff>546100</xdr:colOff>
      <xdr:row>55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37</xdr:row>
      <xdr:rowOff>0</xdr:rowOff>
    </xdr:from>
    <xdr:to>
      <xdr:col>14</xdr:col>
      <xdr:colOff>666750</xdr:colOff>
      <xdr:row>55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37</xdr:row>
      <xdr:rowOff>0</xdr:rowOff>
    </xdr:from>
    <xdr:to>
      <xdr:col>7</xdr:col>
      <xdr:colOff>101600</xdr:colOff>
      <xdr:row>55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279400</xdr:colOff>
      <xdr:row>37</xdr:row>
      <xdr:rowOff>76200</xdr:rowOff>
    </xdr:from>
    <xdr:to>
      <xdr:col>14</xdr:col>
      <xdr:colOff>260350</xdr:colOff>
      <xdr:row>56</xdr:row>
      <xdr:rowOff>69850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339725</xdr:colOff>
      <xdr:row>0</xdr:row>
      <xdr:rowOff>165100</xdr:rowOff>
    </xdr:from>
    <xdr:to>
      <xdr:col>19</xdr:col>
      <xdr:colOff>320675</xdr:colOff>
      <xdr:row>35</xdr:row>
      <xdr:rowOff>158750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643467</xdr:colOff>
      <xdr:row>2</xdr:row>
      <xdr:rowOff>110066</xdr:rowOff>
    </xdr:from>
    <xdr:to>
      <xdr:col>23</xdr:col>
      <xdr:colOff>186267</xdr:colOff>
      <xdr:row>16</xdr:row>
      <xdr:rowOff>182032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728134</xdr:colOff>
      <xdr:row>19</xdr:row>
      <xdr:rowOff>67733</xdr:rowOff>
    </xdr:from>
    <xdr:to>
      <xdr:col>23</xdr:col>
      <xdr:colOff>262468</xdr:colOff>
      <xdr:row>33</xdr:row>
      <xdr:rowOff>143933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654050</xdr:colOff>
      <xdr:row>2</xdr:row>
      <xdr:rowOff>31750</xdr:rowOff>
    </xdr:from>
    <xdr:to>
      <xdr:col>17</xdr:col>
      <xdr:colOff>273050</xdr:colOff>
      <xdr:row>16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800705</xdr:colOff>
      <xdr:row>2</xdr:row>
      <xdr:rowOff>142421</xdr:rowOff>
    </xdr:from>
    <xdr:to>
      <xdr:col>24</xdr:col>
      <xdr:colOff>425149</xdr:colOff>
      <xdr:row>17</xdr:row>
      <xdr:rowOff>18748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364066</xdr:colOff>
      <xdr:row>3</xdr:row>
      <xdr:rowOff>160865</xdr:rowOff>
    </xdr:from>
    <xdr:to>
      <xdr:col>30</xdr:col>
      <xdr:colOff>826710</xdr:colOff>
      <xdr:row>18</xdr:row>
      <xdr:rowOff>32958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804333</xdr:colOff>
      <xdr:row>76</xdr:row>
      <xdr:rowOff>16934</xdr:rowOff>
    </xdr:from>
    <xdr:to>
      <xdr:col>22</xdr:col>
      <xdr:colOff>296333</xdr:colOff>
      <xdr:row>90</xdr:row>
      <xdr:rowOff>152401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795866</xdr:colOff>
      <xdr:row>60</xdr:row>
      <xdr:rowOff>16932</xdr:rowOff>
    </xdr:from>
    <xdr:to>
      <xdr:col>22</xdr:col>
      <xdr:colOff>287866</xdr:colOff>
      <xdr:row>74</xdr:row>
      <xdr:rowOff>152399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110066</xdr:colOff>
      <xdr:row>37</xdr:row>
      <xdr:rowOff>33867</xdr:rowOff>
    </xdr:from>
    <xdr:to>
      <xdr:col>45</xdr:col>
      <xdr:colOff>448733</xdr:colOff>
      <xdr:row>51</xdr:row>
      <xdr:rowOff>169334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48684</xdr:colOff>
      <xdr:row>2</xdr:row>
      <xdr:rowOff>25400</xdr:rowOff>
    </xdr:from>
    <xdr:to>
      <xdr:col>22</xdr:col>
      <xdr:colOff>429683</xdr:colOff>
      <xdr:row>16</xdr:row>
      <xdr:rowOff>101599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114301</xdr:colOff>
      <xdr:row>18</xdr:row>
      <xdr:rowOff>160867</xdr:rowOff>
    </xdr:from>
    <xdr:to>
      <xdr:col>22</xdr:col>
      <xdr:colOff>495300</xdr:colOff>
      <xdr:row>33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762000</xdr:colOff>
      <xdr:row>61</xdr:row>
      <xdr:rowOff>0</xdr:rowOff>
    </xdr:from>
    <xdr:to>
      <xdr:col>20</xdr:col>
      <xdr:colOff>296333</xdr:colOff>
      <xdr:row>75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838201</xdr:colOff>
      <xdr:row>10</xdr:row>
      <xdr:rowOff>169333</xdr:rowOff>
    </xdr:from>
    <xdr:to>
      <xdr:col>35</xdr:col>
      <xdr:colOff>330201</xdr:colOff>
      <xdr:row>25</xdr:row>
      <xdr:rowOff>118533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601134</xdr:colOff>
      <xdr:row>37</xdr:row>
      <xdr:rowOff>135466</xdr:rowOff>
    </xdr:from>
    <xdr:to>
      <xdr:col>35</xdr:col>
      <xdr:colOff>93134</xdr:colOff>
      <xdr:row>52</xdr:row>
      <xdr:rowOff>84666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406400</xdr:colOff>
      <xdr:row>39</xdr:row>
      <xdr:rowOff>169333</xdr:rowOff>
    </xdr:from>
    <xdr:to>
      <xdr:col>19</xdr:col>
      <xdr:colOff>787399</xdr:colOff>
      <xdr:row>54</xdr:row>
      <xdr:rowOff>59266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321129</xdr:colOff>
      <xdr:row>0</xdr:row>
      <xdr:rowOff>179614</xdr:rowOff>
    </xdr:from>
    <xdr:to>
      <xdr:col>23</xdr:col>
      <xdr:colOff>702129</xdr:colOff>
      <xdr:row>15</xdr:row>
      <xdr:rowOff>78922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190500</xdr:colOff>
      <xdr:row>17</xdr:row>
      <xdr:rowOff>12700</xdr:rowOff>
    </xdr:from>
    <xdr:to>
      <xdr:col>23</xdr:col>
      <xdr:colOff>571500</xdr:colOff>
      <xdr:row>31</xdr:row>
      <xdr:rowOff>102508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261409</xdr:colOff>
      <xdr:row>37</xdr:row>
      <xdr:rowOff>81490</xdr:rowOff>
    </xdr:from>
    <xdr:to>
      <xdr:col>20</xdr:col>
      <xdr:colOff>647701</xdr:colOff>
      <xdr:row>51</xdr:row>
      <xdr:rowOff>171299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169334</xdr:colOff>
      <xdr:row>53</xdr:row>
      <xdr:rowOff>50799</xdr:rowOff>
    </xdr:from>
    <xdr:to>
      <xdr:col>20</xdr:col>
      <xdr:colOff>555626</xdr:colOff>
      <xdr:row>67</xdr:row>
      <xdr:rowOff>140607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330200</xdr:colOff>
      <xdr:row>7</xdr:row>
      <xdr:rowOff>118533</xdr:rowOff>
    </xdr:from>
    <xdr:to>
      <xdr:col>35</xdr:col>
      <xdr:colOff>668867</xdr:colOff>
      <xdr:row>22</xdr:row>
      <xdr:rowOff>67733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215900</xdr:colOff>
      <xdr:row>3</xdr:row>
      <xdr:rowOff>0</xdr:rowOff>
    </xdr:from>
    <xdr:to>
      <xdr:col>19</xdr:col>
      <xdr:colOff>660400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18</xdr:row>
      <xdr:rowOff>88900</xdr:rowOff>
    </xdr:from>
    <xdr:to>
      <xdr:col>19</xdr:col>
      <xdr:colOff>635000</xdr:colOff>
      <xdr:row>32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423332</xdr:colOff>
      <xdr:row>39</xdr:row>
      <xdr:rowOff>0</xdr:rowOff>
    </xdr:from>
    <xdr:to>
      <xdr:col>17</xdr:col>
      <xdr:colOff>21165</xdr:colOff>
      <xdr:row>53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177800</xdr:colOff>
      <xdr:row>6</xdr:row>
      <xdr:rowOff>67733</xdr:rowOff>
    </xdr:from>
    <xdr:to>
      <xdr:col>32</xdr:col>
      <xdr:colOff>516467</xdr:colOff>
      <xdr:row>21</xdr:row>
      <xdr:rowOff>16933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9"/>
  <sheetViews>
    <sheetView showRuler="0" topLeftCell="N29" zoomScale="75" zoomScaleNormal="75" zoomScalePageLayoutView="75" workbookViewId="0">
      <selection activeCell="U100" sqref="U100"/>
    </sheetView>
  </sheetViews>
  <sheetFormatPr baseColWidth="10" defaultColWidth="8.83203125" defaultRowHeight="15" x14ac:dyDescent="0"/>
  <sheetData>
    <row r="1" spans="1:19">
      <c r="A1" t="s">
        <v>0</v>
      </c>
    </row>
    <row r="2" spans="1:19">
      <c r="A2" t="s">
        <v>2</v>
      </c>
    </row>
    <row r="3" spans="1:19">
      <c r="A3" t="s">
        <v>1</v>
      </c>
      <c r="B3">
        <v>10000</v>
      </c>
      <c r="C3" t="s">
        <v>6</v>
      </c>
      <c r="F3">
        <v>15000</v>
      </c>
      <c r="G3" t="s">
        <v>7</v>
      </c>
    </row>
    <row r="4" spans="1:19">
      <c r="B4" t="s">
        <v>3</v>
      </c>
      <c r="C4" t="s">
        <v>4</v>
      </c>
      <c r="D4" t="s">
        <v>5</v>
      </c>
      <c r="F4" t="s">
        <v>3</v>
      </c>
      <c r="G4" t="s">
        <v>4</v>
      </c>
      <c r="H4" t="s">
        <v>5</v>
      </c>
      <c r="I4" t="s">
        <v>5</v>
      </c>
    </row>
    <row r="5" spans="1:19">
      <c r="B5">
        <v>1</v>
      </c>
      <c r="C5">
        <v>3</v>
      </c>
      <c r="D5">
        <v>82</v>
      </c>
      <c r="F5">
        <v>1</v>
      </c>
      <c r="G5">
        <v>6</v>
      </c>
      <c r="H5">
        <v>28</v>
      </c>
      <c r="I5">
        <v>3</v>
      </c>
    </row>
    <row r="6" spans="1:19">
      <c r="B6">
        <v>1</v>
      </c>
      <c r="C6">
        <v>19</v>
      </c>
      <c r="D6">
        <v>2</v>
      </c>
      <c r="F6">
        <v>1</v>
      </c>
      <c r="G6">
        <v>9</v>
      </c>
      <c r="H6">
        <v>1</v>
      </c>
      <c r="I6">
        <v>16</v>
      </c>
    </row>
    <row r="7" spans="1:19">
      <c r="B7">
        <v>1</v>
      </c>
      <c r="C7">
        <v>1</v>
      </c>
      <c r="D7">
        <v>36</v>
      </c>
      <c r="F7">
        <v>1</v>
      </c>
      <c r="G7">
        <v>1</v>
      </c>
      <c r="H7">
        <v>1</v>
      </c>
      <c r="I7">
        <v>2</v>
      </c>
    </row>
    <row r="8" spans="1:19">
      <c r="B8">
        <v>1</v>
      </c>
      <c r="C8">
        <v>2</v>
      </c>
      <c r="D8">
        <v>32</v>
      </c>
      <c r="F8">
        <v>1</v>
      </c>
      <c r="G8">
        <v>6</v>
      </c>
      <c r="H8">
        <v>7</v>
      </c>
      <c r="I8">
        <v>1</v>
      </c>
    </row>
    <row r="9" spans="1:19">
      <c r="C9">
        <v>1</v>
      </c>
      <c r="D9">
        <v>38</v>
      </c>
      <c r="G9">
        <v>15</v>
      </c>
      <c r="H9">
        <v>2</v>
      </c>
      <c r="I9">
        <v>2</v>
      </c>
    </row>
    <row r="10" spans="1:19">
      <c r="C10">
        <v>15</v>
      </c>
      <c r="D10">
        <v>10</v>
      </c>
      <c r="G10">
        <v>6</v>
      </c>
      <c r="H10">
        <v>11</v>
      </c>
      <c r="I10">
        <v>4</v>
      </c>
    </row>
    <row r="11" spans="1:19">
      <c r="C11">
        <v>13</v>
      </c>
      <c r="G11">
        <v>18</v>
      </c>
      <c r="I11">
        <v>1</v>
      </c>
    </row>
    <row r="12" spans="1:19">
      <c r="C12">
        <v>13</v>
      </c>
      <c r="D12">
        <v>5</v>
      </c>
      <c r="G12">
        <v>17</v>
      </c>
      <c r="H12">
        <v>1</v>
      </c>
      <c r="I12">
        <v>2</v>
      </c>
    </row>
    <row r="13" spans="1:19">
      <c r="B13">
        <f>AVERAGE(B5:B12)</f>
        <v>1</v>
      </c>
      <c r="C13">
        <f>AVERAGE(C5:C12)</f>
        <v>8.375</v>
      </c>
      <c r="D13">
        <f t="shared" ref="D13:H13" si="0">AVERAGE(D5:D12)</f>
        <v>29.285714285714285</v>
      </c>
      <c r="F13">
        <f t="shared" si="0"/>
        <v>1</v>
      </c>
      <c r="G13">
        <f t="shared" si="0"/>
        <v>9.75</v>
      </c>
      <c r="H13">
        <f t="shared" si="0"/>
        <v>7.2857142857142856</v>
      </c>
    </row>
    <row r="14" spans="1:19">
      <c r="B14">
        <f>STDEV(B5:B12)</f>
        <v>0</v>
      </c>
      <c r="C14">
        <f>STDEV(C5:C12)</f>
        <v>7.3472541032104539</v>
      </c>
      <c r="D14">
        <f t="shared" ref="D14:H14" si="1">STDEV(D5:D12)</f>
        <v>27.729132007777704</v>
      </c>
      <c r="F14">
        <f t="shared" si="1"/>
        <v>0</v>
      </c>
      <c r="G14">
        <f t="shared" si="1"/>
        <v>6.181770435262516</v>
      </c>
      <c r="H14">
        <f t="shared" si="1"/>
        <v>9.911513266807205</v>
      </c>
      <c r="I14">
        <f t="shared" ref="I14" si="2">STDEV(I5:I12)</f>
        <v>4.9982139667227994</v>
      </c>
    </row>
    <row r="15" spans="1:19">
      <c r="K15" s="5"/>
    </row>
    <row r="16" spans="1:19">
      <c r="A16" t="s">
        <v>8</v>
      </c>
      <c r="L16" s="5"/>
      <c r="S16" s="5"/>
    </row>
    <row r="17" spans="1:24">
      <c r="A17" t="s">
        <v>1</v>
      </c>
      <c r="B17">
        <v>10000</v>
      </c>
      <c r="C17" t="s">
        <v>6</v>
      </c>
      <c r="L17" s="5">
        <v>15000</v>
      </c>
      <c r="M17" t="s">
        <v>7</v>
      </c>
      <c r="S17" s="5"/>
      <c r="W17">
        <v>20000</v>
      </c>
    </row>
    <row r="18" spans="1:24">
      <c r="B18">
        <v>2</v>
      </c>
      <c r="C18">
        <v>3</v>
      </c>
      <c r="D18">
        <v>4</v>
      </c>
      <c r="E18">
        <v>5</v>
      </c>
      <c r="F18">
        <v>6</v>
      </c>
      <c r="G18">
        <v>7</v>
      </c>
      <c r="H18">
        <v>8</v>
      </c>
      <c r="L18" s="5"/>
      <c r="M18">
        <v>3</v>
      </c>
      <c r="N18">
        <v>4</v>
      </c>
      <c r="O18">
        <v>5</v>
      </c>
      <c r="P18">
        <v>6</v>
      </c>
      <c r="Q18">
        <v>7</v>
      </c>
      <c r="R18">
        <v>8</v>
      </c>
      <c r="S18" s="5"/>
    </row>
    <row r="19" spans="1:24">
      <c r="B19" t="s">
        <v>3</v>
      </c>
      <c r="C19" t="s">
        <v>11</v>
      </c>
      <c r="D19" t="s">
        <v>4</v>
      </c>
      <c r="E19" t="s">
        <v>10</v>
      </c>
      <c r="F19" t="s">
        <v>5</v>
      </c>
      <c r="G19" t="s">
        <v>12</v>
      </c>
      <c r="H19" t="s">
        <v>9</v>
      </c>
      <c r="I19" t="s">
        <v>4</v>
      </c>
      <c r="J19" t="s">
        <v>5</v>
      </c>
      <c r="K19" t="s">
        <v>9</v>
      </c>
      <c r="L19" s="5" t="s">
        <v>3</v>
      </c>
      <c r="M19" t="s">
        <v>11</v>
      </c>
      <c r="N19" t="s">
        <v>4</v>
      </c>
      <c r="O19" t="s">
        <v>10</v>
      </c>
      <c r="P19" t="s">
        <v>5</v>
      </c>
      <c r="Q19" t="s">
        <v>12</v>
      </c>
      <c r="R19" t="s">
        <v>9</v>
      </c>
      <c r="S19" s="5" t="s">
        <v>4</v>
      </c>
      <c r="T19" t="s">
        <v>5</v>
      </c>
      <c r="V19" t="s">
        <v>3</v>
      </c>
      <c r="W19" t="s">
        <v>4</v>
      </c>
      <c r="X19" t="s">
        <v>5</v>
      </c>
    </row>
    <row r="20" spans="1:24">
      <c r="C20">
        <v>2</v>
      </c>
      <c r="D20">
        <v>4</v>
      </c>
      <c r="E20">
        <v>10</v>
      </c>
      <c r="F20" s="2">
        <v>9</v>
      </c>
      <c r="G20" s="2">
        <v>6</v>
      </c>
      <c r="H20" s="2">
        <v>2</v>
      </c>
      <c r="I20">
        <v>4</v>
      </c>
      <c r="J20" s="4">
        <v>36</v>
      </c>
      <c r="K20" s="2">
        <v>2</v>
      </c>
      <c r="L20" s="5"/>
      <c r="M20">
        <v>11</v>
      </c>
      <c r="N20">
        <v>5</v>
      </c>
      <c r="O20">
        <v>6</v>
      </c>
      <c r="P20" s="2">
        <v>7</v>
      </c>
      <c r="Q20" s="6">
        <v>6</v>
      </c>
      <c r="R20" s="2">
        <v>5</v>
      </c>
      <c r="S20" s="5">
        <v>9</v>
      </c>
      <c r="T20" s="2">
        <v>7</v>
      </c>
      <c r="W20" s="2">
        <v>8</v>
      </c>
      <c r="X20" s="1">
        <v>1</v>
      </c>
    </row>
    <row r="21" spans="1:24">
      <c r="C21">
        <v>2</v>
      </c>
      <c r="D21">
        <v>3</v>
      </c>
      <c r="E21">
        <v>7</v>
      </c>
      <c r="F21" s="2">
        <v>10</v>
      </c>
      <c r="G21" s="2">
        <v>12</v>
      </c>
      <c r="H21" s="2">
        <v>3</v>
      </c>
      <c r="I21">
        <v>38</v>
      </c>
      <c r="J21">
        <v>6</v>
      </c>
      <c r="K21" s="2">
        <v>3</v>
      </c>
      <c r="L21" s="5"/>
      <c r="M21">
        <v>4</v>
      </c>
      <c r="N21">
        <v>7</v>
      </c>
      <c r="O21">
        <v>5</v>
      </c>
      <c r="P21">
        <v>2</v>
      </c>
      <c r="Q21">
        <v>4</v>
      </c>
      <c r="R21">
        <v>1</v>
      </c>
      <c r="S21" s="5">
        <v>12</v>
      </c>
      <c r="T21">
        <v>2</v>
      </c>
      <c r="W21" s="1">
        <v>1</v>
      </c>
      <c r="X21" s="1">
        <v>1</v>
      </c>
    </row>
    <row r="22" spans="1:24">
      <c r="C22">
        <v>3</v>
      </c>
      <c r="D22">
        <v>10</v>
      </c>
      <c r="E22">
        <v>10</v>
      </c>
      <c r="F22" s="2">
        <v>7</v>
      </c>
      <c r="G22" s="2">
        <v>6</v>
      </c>
      <c r="H22" s="2">
        <v>7</v>
      </c>
      <c r="I22">
        <v>16</v>
      </c>
      <c r="J22" s="4">
        <v>3</v>
      </c>
      <c r="K22" s="2">
        <v>7</v>
      </c>
      <c r="L22" s="5"/>
      <c r="M22">
        <v>7</v>
      </c>
      <c r="N22">
        <v>3</v>
      </c>
      <c r="O22">
        <v>10</v>
      </c>
      <c r="P22">
        <v>10</v>
      </c>
      <c r="Q22">
        <v>4</v>
      </c>
      <c r="R22">
        <v>1</v>
      </c>
      <c r="S22" s="5">
        <v>6</v>
      </c>
      <c r="T22">
        <v>10</v>
      </c>
      <c r="W22" s="2">
        <v>3</v>
      </c>
      <c r="X22" s="1">
        <v>4</v>
      </c>
    </row>
    <row r="23" spans="1:24">
      <c r="C23">
        <v>2</v>
      </c>
      <c r="D23">
        <v>10</v>
      </c>
      <c r="E23">
        <v>5</v>
      </c>
      <c r="F23" s="2">
        <v>17</v>
      </c>
      <c r="G23" s="2">
        <v>4</v>
      </c>
      <c r="H23" s="2">
        <v>8</v>
      </c>
      <c r="I23">
        <v>37</v>
      </c>
      <c r="J23" s="4">
        <v>15</v>
      </c>
      <c r="K23" s="2">
        <v>8</v>
      </c>
      <c r="L23" s="5"/>
      <c r="M23">
        <v>3</v>
      </c>
      <c r="N23">
        <v>15</v>
      </c>
      <c r="O23" s="2">
        <v>16</v>
      </c>
      <c r="P23" s="2">
        <v>16</v>
      </c>
      <c r="Q23" s="6">
        <v>1</v>
      </c>
      <c r="R23" s="2">
        <v>2</v>
      </c>
      <c r="S23" s="5">
        <v>3</v>
      </c>
      <c r="T23" s="2">
        <v>16</v>
      </c>
      <c r="W23" s="2">
        <v>10</v>
      </c>
      <c r="X23" s="1">
        <v>0</v>
      </c>
    </row>
    <row r="24" spans="1:24">
      <c r="C24">
        <v>2</v>
      </c>
      <c r="D24">
        <v>6</v>
      </c>
      <c r="E24">
        <v>17</v>
      </c>
      <c r="F24" s="2">
        <v>20</v>
      </c>
      <c r="G24" s="2">
        <v>7</v>
      </c>
      <c r="H24" s="2">
        <v>1</v>
      </c>
      <c r="I24">
        <v>4</v>
      </c>
      <c r="J24" s="3">
        <v>1</v>
      </c>
      <c r="K24" s="2">
        <v>1</v>
      </c>
      <c r="L24" s="5"/>
      <c r="M24">
        <v>2</v>
      </c>
      <c r="N24">
        <v>4</v>
      </c>
      <c r="O24" s="2">
        <v>13</v>
      </c>
      <c r="P24" s="2">
        <v>6</v>
      </c>
      <c r="Q24" s="6">
        <v>4</v>
      </c>
      <c r="R24" s="2">
        <v>2</v>
      </c>
      <c r="S24" s="5">
        <v>8</v>
      </c>
      <c r="T24" s="2">
        <v>6</v>
      </c>
      <c r="W24" s="2">
        <v>7</v>
      </c>
      <c r="X24" s="1">
        <v>1</v>
      </c>
    </row>
    <row r="25" spans="1:24">
      <c r="C25">
        <v>4</v>
      </c>
      <c r="D25">
        <v>13</v>
      </c>
      <c r="E25">
        <v>7</v>
      </c>
      <c r="F25" s="2">
        <v>23</v>
      </c>
      <c r="G25" s="2">
        <v>8</v>
      </c>
      <c r="H25" s="2">
        <v>8</v>
      </c>
      <c r="I25">
        <v>3</v>
      </c>
      <c r="J25">
        <v>3</v>
      </c>
      <c r="K25" s="2">
        <v>8</v>
      </c>
      <c r="L25" s="5"/>
      <c r="M25" s="6">
        <v>6</v>
      </c>
      <c r="N25" s="2">
        <v>3</v>
      </c>
      <c r="O25" s="2">
        <v>8</v>
      </c>
      <c r="P25" s="2">
        <v>20</v>
      </c>
      <c r="Q25" s="6">
        <v>11</v>
      </c>
      <c r="R25" s="2">
        <v>3</v>
      </c>
      <c r="S25" s="7">
        <v>3</v>
      </c>
      <c r="T25" s="2">
        <v>20</v>
      </c>
      <c r="U25" s="2"/>
      <c r="W25" s="1">
        <v>1</v>
      </c>
      <c r="X25" s="1">
        <v>12</v>
      </c>
    </row>
    <row r="26" spans="1:24">
      <c r="C26">
        <v>2</v>
      </c>
      <c r="D26">
        <v>3</v>
      </c>
      <c r="E26">
        <v>14</v>
      </c>
      <c r="F26" s="2">
        <v>5</v>
      </c>
      <c r="G26" s="2">
        <v>6</v>
      </c>
      <c r="H26" s="2">
        <v>13</v>
      </c>
      <c r="I26">
        <v>7</v>
      </c>
      <c r="J26">
        <v>18</v>
      </c>
      <c r="K26" s="2">
        <v>13</v>
      </c>
      <c r="L26" s="5"/>
      <c r="M26">
        <v>1</v>
      </c>
      <c r="N26" s="2">
        <v>7</v>
      </c>
      <c r="O26" s="2">
        <v>5</v>
      </c>
      <c r="P26" s="2">
        <v>6</v>
      </c>
      <c r="Q26" s="6">
        <v>3</v>
      </c>
      <c r="R26" s="2">
        <v>2</v>
      </c>
      <c r="S26" s="7">
        <v>7</v>
      </c>
      <c r="T26" s="2">
        <v>6</v>
      </c>
      <c r="U26" s="2"/>
      <c r="W26" s="2">
        <v>2</v>
      </c>
      <c r="X26" s="1">
        <v>3</v>
      </c>
    </row>
    <row r="27" spans="1:24">
      <c r="C27">
        <v>10</v>
      </c>
      <c r="D27">
        <v>12</v>
      </c>
      <c r="E27">
        <v>8</v>
      </c>
      <c r="F27" s="2">
        <v>13</v>
      </c>
      <c r="G27" s="2">
        <v>10</v>
      </c>
      <c r="H27" s="2">
        <v>19</v>
      </c>
      <c r="I27">
        <v>39</v>
      </c>
      <c r="J27">
        <v>45</v>
      </c>
      <c r="K27" s="2">
        <v>19</v>
      </c>
      <c r="L27" s="5"/>
      <c r="M27">
        <v>1</v>
      </c>
      <c r="N27" s="2">
        <v>21</v>
      </c>
      <c r="O27" s="2">
        <v>15</v>
      </c>
      <c r="P27" s="2">
        <v>12</v>
      </c>
      <c r="Q27" s="6">
        <v>15</v>
      </c>
      <c r="R27" s="2">
        <v>3</v>
      </c>
      <c r="S27" s="5">
        <v>15</v>
      </c>
      <c r="T27" s="2">
        <v>12</v>
      </c>
      <c r="W27" s="2">
        <v>10</v>
      </c>
      <c r="X27" s="1">
        <v>0</v>
      </c>
    </row>
    <row r="28" spans="1:24">
      <c r="C28">
        <v>9</v>
      </c>
      <c r="D28">
        <v>7</v>
      </c>
      <c r="E28">
        <v>5</v>
      </c>
      <c r="F28" s="2">
        <v>2</v>
      </c>
      <c r="G28" s="2">
        <v>30</v>
      </c>
      <c r="H28">
        <v>4</v>
      </c>
      <c r="I28">
        <v>9</v>
      </c>
      <c r="J28">
        <v>20</v>
      </c>
      <c r="K28">
        <v>4</v>
      </c>
      <c r="L28" s="5"/>
      <c r="M28">
        <v>5</v>
      </c>
      <c r="N28">
        <v>6</v>
      </c>
      <c r="O28" s="2">
        <v>6</v>
      </c>
      <c r="P28" s="2">
        <v>6</v>
      </c>
      <c r="Q28" s="6">
        <v>18</v>
      </c>
      <c r="R28" s="2">
        <v>2</v>
      </c>
      <c r="S28" s="5"/>
      <c r="T28" s="2">
        <v>6</v>
      </c>
    </row>
    <row r="29" spans="1:24">
      <c r="C29">
        <v>3</v>
      </c>
      <c r="D29">
        <v>7</v>
      </c>
      <c r="E29">
        <v>17</v>
      </c>
      <c r="F29" s="2">
        <v>2</v>
      </c>
      <c r="G29" s="2">
        <v>6</v>
      </c>
      <c r="H29">
        <v>11</v>
      </c>
      <c r="I29">
        <v>3</v>
      </c>
      <c r="J29">
        <v>15</v>
      </c>
      <c r="K29">
        <v>11</v>
      </c>
      <c r="L29" s="5"/>
      <c r="M29">
        <v>5</v>
      </c>
      <c r="N29">
        <v>10</v>
      </c>
      <c r="O29" s="2">
        <v>8</v>
      </c>
      <c r="P29" s="2">
        <v>7</v>
      </c>
      <c r="Q29" s="6">
        <v>2</v>
      </c>
      <c r="R29" s="2">
        <v>1</v>
      </c>
      <c r="S29" s="5"/>
      <c r="T29" s="2">
        <v>7</v>
      </c>
    </row>
    <row r="30" spans="1:24">
      <c r="C30">
        <v>23</v>
      </c>
      <c r="D30">
        <v>17</v>
      </c>
      <c r="E30">
        <v>13</v>
      </c>
      <c r="F30" s="2">
        <v>6</v>
      </c>
      <c r="G30" s="2">
        <v>4</v>
      </c>
      <c r="H30">
        <v>10</v>
      </c>
      <c r="I30">
        <v>8</v>
      </c>
      <c r="J30">
        <v>28</v>
      </c>
      <c r="K30">
        <v>10</v>
      </c>
      <c r="L30" s="5"/>
      <c r="M30">
        <v>10</v>
      </c>
      <c r="N30">
        <v>10</v>
      </c>
      <c r="O30">
        <v>28</v>
      </c>
      <c r="P30" s="2">
        <v>20</v>
      </c>
      <c r="Q30" s="6">
        <v>10</v>
      </c>
      <c r="R30" s="2">
        <v>5</v>
      </c>
      <c r="S30" s="5"/>
      <c r="T30" s="2">
        <v>20</v>
      </c>
    </row>
    <row r="31" spans="1:24">
      <c r="C31">
        <v>4</v>
      </c>
      <c r="D31">
        <v>3</v>
      </c>
      <c r="E31">
        <v>27</v>
      </c>
      <c r="F31">
        <v>19</v>
      </c>
      <c r="G31" s="2">
        <v>3</v>
      </c>
      <c r="H31">
        <v>8</v>
      </c>
      <c r="I31">
        <v>12</v>
      </c>
      <c r="J31">
        <v>25</v>
      </c>
      <c r="K31">
        <v>8</v>
      </c>
      <c r="L31" s="5"/>
      <c r="M31">
        <v>3</v>
      </c>
      <c r="N31">
        <v>12</v>
      </c>
      <c r="O31">
        <v>12</v>
      </c>
      <c r="P31" s="2">
        <v>11</v>
      </c>
      <c r="Q31" s="6">
        <v>2</v>
      </c>
      <c r="R31" s="2">
        <v>4</v>
      </c>
      <c r="S31" s="5"/>
      <c r="T31" s="2">
        <v>11</v>
      </c>
    </row>
    <row r="32" spans="1:24">
      <c r="C32">
        <v>16</v>
      </c>
      <c r="D32">
        <v>6</v>
      </c>
      <c r="E32">
        <v>13</v>
      </c>
      <c r="F32">
        <v>7</v>
      </c>
      <c r="G32" s="2">
        <v>14</v>
      </c>
      <c r="H32">
        <v>5</v>
      </c>
      <c r="I32">
        <v>34</v>
      </c>
      <c r="J32">
        <v>3</v>
      </c>
      <c r="K32">
        <v>5</v>
      </c>
      <c r="L32" s="5"/>
      <c r="M32">
        <v>14</v>
      </c>
      <c r="N32">
        <v>7</v>
      </c>
      <c r="O32">
        <v>6</v>
      </c>
      <c r="P32" s="2">
        <v>11</v>
      </c>
      <c r="Q32" s="6">
        <v>6</v>
      </c>
      <c r="R32">
        <v>2</v>
      </c>
      <c r="S32" s="5"/>
      <c r="T32" s="2">
        <v>11</v>
      </c>
    </row>
    <row r="33" spans="2:32">
      <c r="C33">
        <v>8</v>
      </c>
      <c r="D33">
        <v>7</v>
      </c>
      <c r="E33">
        <v>3</v>
      </c>
      <c r="F33">
        <v>14</v>
      </c>
      <c r="G33">
        <v>15</v>
      </c>
      <c r="H33">
        <v>4</v>
      </c>
      <c r="I33">
        <v>5</v>
      </c>
      <c r="J33">
        <v>46</v>
      </c>
      <c r="K33">
        <v>4</v>
      </c>
      <c r="L33" s="5"/>
      <c r="M33">
        <v>12</v>
      </c>
      <c r="N33">
        <v>14</v>
      </c>
      <c r="O33">
        <v>5</v>
      </c>
      <c r="P33" s="2">
        <v>5</v>
      </c>
      <c r="Q33" s="6">
        <v>14</v>
      </c>
      <c r="R33">
        <v>4</v>
      </c>
      <c r="S33" s="5"/>
      <c r="T33" s="2">
        <v>5</v>
      </c>
    </row>
    <row r="34" spans="2:32">
      <c r="C34">
        <v>2</v>
      </c>
      <c r="D34">
        <v>8</v>
      </c>
      <c r="E34">
        <v>10</v>
      </c>
      <c r="F34">
        <v>12</v>
      </c>
      <c r="G34">
        <v>5</v>
      </c>
      <c r="H34">
        <v>5</v>
      </c>
      <c r="I34">
        <v>5</v>
      </c>
      <c r="J34">
        <v>1</v>
      </c>
      <c r="K34">
        <v>5</v>
      </c>
      <c r="L34" s="5"/>
      <c r="M34">
        <v>2</v>
      </c>
      <c r="N34">
        <v>11</v>
      </c>
      <c r="O34">
        <v>7</v>
      </c>
      <c r="P34" s="2">
        <v>1</v>
      </c>
      <c r="Q34" s="6">
        <v>2</v>
      </c>
      <c r="R34">
        <v>1</v>
      </c>
      <c r="S34" s="5"/>
      <c r="T34" s="2">
        <v>1</v>
      </c>
    </row>
    <row r="35" spans="2:32">
      <c r="C35">
        <v>13</v>
      </c>
      <c r="D35">
        <v>3</v>
      </c>
      <c r="E35">
        <v>9</v>
      </c>
      <c r="F35">
        <v>4</v>
      </c>
      <c r="G35">
        <v>5</v>
      </c>
      <c r="H35">
        <v>3</v>
      </c>
      <c r="I35">
        <v>4</v>
      </c>
      <c r="J35">
        <v>11</v>
      </c>
      <c r="K35">
        <v>3</v>
      </c>
      <c r="L35" s="5"/>
      <c r="M35">
        <v>9</v>
      </c>
      <c r="N35">
        <v>6</v>
      </c>
      <c r="O35">
        <v>8</v>
      </c>
      <c r="P35" s="2">
        <v>34</v>
      </c>
      <c r="Q35" s="6">
        <v>2</v>
      </c>
      <c r="R35">
        <v>4</v>
      </c>
      <c r="S35" s="5"/>
      <c r="T35" s="2">
        <v>34</v>
      </c>
    </row>
    <row r="36" spans="2:32">
      <c r="B36" t="e">
        <f>AVERAGE(B20:B35)</f>
        <v>#DIV/0!</v>
      </c>
      <c r="C36">
        <f>AVERAGE(C20:C35)</f>
        <v>6.5625</v>
      </c>
      <c r="D36">
        <f>AVERAGE(D20:D35)</f>
        <v>7.4375</v>
      </c>
      <c r="E36">
        <f>AVERAGE(E20:E35)</f>
        <v>10.9375</v>
      </c>
      <c r="F36">
        <f t="shared" ref="F36:X36" si="3">AVERAGE(F20:F35)</f>
        <v>10.625</v>
      </c>
      <c r="G36">
        <f t="shared" ref="G36" si="4">AVERAGE(G20:G35)</f>
        <v>8.8125</v>
      </c>
      <c r="H36">
        <f t="shared" ref="H36" si="5">AVERAGE(H20:H35)</f>
        <v>6.9375</v>
      </c>
      <c r="L36" s="5" t="e">
        <f t="shared" si="3"/>
        <v>#DIV/0!</v>
      </c>
      <c r="M36">
        <f t="shared" ref="M36" si="6">AVERAGE(M20:M35)</f>
        <v>5.9375</v>
      </c>
      <c r="N36">
        <f t="shared" si="3"/>
        <v>8.8125</v>
      </c>
      <c r="O36">
        <f t="shared" ref="O36" si="7">AVERAGE(O20:O35)</f>
        <v>9.875</v>
      </c>
      <c r="P36">
        <f t="shared" si="3"/>
        <v>10.875</v>
      </c>
      <c r="Q36">
        <f t="shared" ref="Q36" si="8">AVERAGE(Q20:Q35)</f>
        <v>6.5</v>
      </c>
      <c r="R36">
        <f t="shared" si="3"/>
        <v>2.625</v>
      </c>
      <c r="S36">
        <f t="shared" ref="S36:U36" si="9">AVERAGE(S20:S35)</f>
        <v>7.875</v>
      </c>
      <c r="T36">
        <f t="shared" si="9"/>
        <v>10.875</v>
      </c>
      <c r="U36" t="e">
        <f t="shared" si="9"/>
        <v>#DIV/0!</v>
      </c>
      <c r="V36" t="e">
        <f t="shared" si="3"/>
        <v>#DIV/0!</v>
      </c>
      <c r="W36">
        <f t="shared" si="3"/>
        <v>5.25</v>
      </c>
      <c r="X36">
        <f t="shared" si="3"/>
        <v>2.75</v>
      </c>
    </row>
    <row r="37" spans="2:32">
      <c r="B37" t="e">
        <f>STDEV(B20:B35)</f>
        <v>#DIV/0!</v>
      </c>
      <c r="C37">
        <f>2*STDEV(C20:C35)/SQRT(COUNT(C20:C35))</f>
        <v>3.1196621077717164</v>
      </c>
      <c r="D37">
        <f t="shared" ref="D37:E37" si="10">2*STDEV(D20:D35)/SQRT(COUNT(D20:D35))</f>
        <v>2.0491359967882401</v>
      </c>
      <c r="E37">
        <f t="shared" si="10"/>
        <v>2.9691118200566313</v>
      </c>
      <c r="F37">
        <f>2*STDEV(F20:F35)/SQRT(COUNT(F20:F35))</f>
        <v>3.28062494046485</v>
      </c>
      <c r="G37">
        <f>2*STDEV(G20:G35)/SQRT(COUNT(G20:G35))</f>
        <v>3.3427471237491675</v>
      </c>
      <c r="H37">
        <f t="shared" ref="H37" si="11">2*STDEV(H20:H35)/SQRT(COUNT(H20:H35))</f>
        <v>2.3343003948363914</v>
      </c>
      <c r="L37" s="5" t="e">
        <f t="shared" ref="L37:X37" si="12">STDEV(L20:L35)</f>
        <v>#DIV/0!</v>
      </c>
      <c r="M37">
        <f t="shared" ref="M37" si="13">STDEV(M20:M35)</f>
        <v>4.1387397437706408</v>
      </c>
      <c r="N37">
        <f t="shared" si="12"/>
        <v>4.9155365932927406</v>
      </c>
      <c r="O37">
        <f t="shared" ref="O37" si="14">STDEV(O20:O35)</f>
        <v>6.0097143581593517</v>
      </c>
      <c r="P37">
        <f t="shared" si="12"/>
        <v>8.3336666600002669</v>
      </c>
      <c r="Q37">
        <f t="shared" ref="Q37" si="15">STDEV(Q20:Q35)</f>
        <v>5.391351098441528</v>
      </c>
      <c r="R37">
        <f t="shared" si="12"/>
        <v>1.4083086782851739</v>
      </c>
      <c r="S37">
        <f t="shared" ref="S37:U37" si="16">STDEV(S20:S35)</f>
        <v>4.1554611227705092</v>
      </c>
      <c r="T37">
        <f t="shared" si="16"/>
        <v>8.3336666600002669</v>
      </c>
      <c r="U37" t="e">
        <f t="shared" si="16"/>
        <v>#DIV/0!</v>
      </c>
      <c r="V37" t="e">
        <f t="shared" si="12"/>
        <v>#DIV/0!</v>
      </c>
      <c r="W37">
        <f t="shared" si="12"/>
        <v>3.9188190640986296</v>
      </c>
      <c r="X37">
        <f t="shared" si="12"/>
        <v>3.9910614413425693</v>
      </c>
    </row>
    <row r="38" spans="2:32">
      <c r="K38" t="s">
        <v>14</v>
      </c>
      <c r="L38" s="10">
        <v>2</v>
      </c>
      <c r="M38" s="10">
        <v>3</v>
      </c>
      <c r="N38" s="10">
        <v>4</v>
      </c>
      <c r="O38" s="10">
        <v>5</v>
      </c>
      <c r="P38" s="10">
        <v>6</v>
      </c>
      <c r="Q38" s="10">
        <v>7</v>
      </c>
      <c r="R38" s="10">
        <v>8</v>
      </c>
      <c r="S38" s="10">
        <v>9</v>
      </c>
      <c r="T38" s="10">
        <v>10</v>
      </c>
      <c r="U38" s="10">
        <v>12</v>
      </c>
      <c r="V38" s="10"/>
      <c r="X38" s="10">
        <v>3</v>
      </c>
      <c r="Y38" s="10">
        <v>4</v>
      </c>
      <c r="Z38" s="10">
        <v>5</v>
      </c>
      <c r="AA38" s="10">
        <v>6</v>
      </c>
      <c r="AB38" s="10">
        <v>7</v>
      </c>
      <c r="AC38" s="10">
        <v>8</v>
      </c>
      <c r="AD38" s="10">
        <v>9</v>
      </c>
      <c r="AE38" s="10">
        <v>10</v>
      </c>
      <c r="AF38" s="10"/>
    </row>
    <row r="39" spans="2:32">
      <c r="K39">
        <v>1</v>
      </c>
      <c r="L39" s="8"/>
      <c r="M39">
        <v>2</v>
      </c>
      <c r="N39">
        <v>5</v>
      </c>
      <c r="O39">
        <v>7</v>
      </c>
      <c r="P39">
        <v>12</v>
      </c>
      <c r="Q39">
        <v>6</v>
      </c>
      <c r="R39">
        <v>1</v>
      </c>
      <c r="S39">
        <v>1</v>
      </c>
      <c r="T39" s="11">
        <v>3</v>
      </c>
      <c r="U39" s="11">
        <v>3</v>
      </c>
      <c r="V39" s="11"/>
      <c r="X39">
        <v>1</v>
      </c>
      <c r="Y39">
        <v>1</v>
      </c>
      <c r="Z39">
        <v>2</v>
      </c>
      <c r="AA39">
        <v>1</v>
      </c>
      <c r="AB39">
        <v>1</v>
      </c>
      <c r="AC39">
        <v>1</v>
      </c>
      <c r="AD39">
        <v>1</v>
      </c>
      <c r="AE39">
        <v>1</v>
      </c>
    </row>
    <row r="40" spans="2:32">
      <c r="K40">
        <v>2</v>
      </c>
      <c r="L40" s="8"/>
      <c r="M40">
        <v>18</v>
      </c>
      <c r="N40">
        <v>13</v>
      </c>
      <c r="O40">
        <v>5</v>
      </c>
      <c r="P40">
        <v>2</v>
      </c>
      <c r="Q40">
        <v>4</v>
      </c>
      <c r="R40">
        <v>10</v>
      </c>
      <c r="S40">
        <v>2</v>
      </c>
      <c r="T40">
        <v>1</v>
      </c>
      <c r="U40">
        <v>8</v>
      </c>
      <c r="X40">
        <v>1</v>
      </c>
      <c r="Y40">
        <v>2</v>
      </c>
      <c r="Z40">
        <v>2</v>
      </c>
      <c r="AA40">
        <v>2</v>
      </c>
      <c r="AB40">
        <v>2</v>
      </c>
      <c r="AC40">
        <v>1</v>
      </c>
      <c r="AD40">
        <v>1</v>
      </c>
      <c r="AE40">
        <v>1</v>
      </c>
    </row>
    <row r="41" spans="2:32">
      <c r="K41">
        <v>3</v>
      </c>
      <c r="L41" s="8"/>
      <c r="M41">
        <v>7</v>
      </c>
      <c r="N41">
        <v>3</v>
      </c>
      <c r="O41">
        <v>9</v>
      </c>
      <c r="P41">
        <v>10</v>
      </c>
      <c r="Q41">
        <v>12</v>
      </c>
      <c r="R41">
        <v>1</v>
      </c>
      <c r="S41">
        <v>4</v>
      </c>
      <c r="T41">
        <v>2</v>
      </c>
      <c r="U41">
        <v>1</v>
      </c>
      <c r="X41">
        <v>2</v>
      </c>
      <c r="Y41">
        <v>3</v>
      </c>
      <c r="Z41">
        <v>2</v>
      </c>
      <c r="AA41">
        <v>4</v>
      </c>
      <c r="AB41">
        <v>2</v>
      </c>
      <c r="AC41">
        <v>1</v>
      </c>
      <c r="AD41">
        <v>1</v>
      </c>
      <c r="AE41">
        <v>1</v>
      </c>
    </row>
    <row r="42" spans="2:32">
      <c r="K42">
        <v>4</v>
      </c>
      <c r="L42" s="8"/>
      <c r="M42">
        <v>3</v>
      </c>
      <c r="N42">
        <v>25</v>
      </c>
      <c r="O42">
        <v>17</v>
      </c>
      <c r="P42">
        <v>17</v>
      </c>
      <c r="Q42">
        <v>1</v>
      </c>
      <c r="R42">
        <v>41</v>
      </c>
      <c r="S42">
        <v>3</v>
      </c>
      <c r="T42">
        <v>1</v>
      </c>
      <c r="U42">
        <v>4</v>
      </c>
      <c r="X42">
        <v>2</v>
      </c>
      <c r="Y42">
        <v>4</v>
      </c>
      <c r="Z42">
        <v>4</v>
      </c>
      <c r="AA42">
        <v>4</v>
      </c>
      <c r="AB42">
        <v>2</v>
      </c>
      <c r="AC42">
        <v>1</v>
      </c>
      <c r="AD42">
        <v>1</v>
      </c>
      <c r="AE42">
        <v>1</v>
      </c>
    </row>
    <row r="43" spans="2:32">
      <c r="K43">
        <v>5</v>
      </c>
      <c r="L43" s="8"/>
      <c r="M43">
        <v>2</v>
      </c>
      <c r="N43">
        <v>4</v>
      </c>
      <c r="O43">
        <v>13</v>
      </c>
      <c r="P43">
        <v>4</v>
      </c>
      <c r="Q43">
        <v>4</v>
      </c>
      <c r="R43">
        <v>1</v>
      </c>
      <c r="S43">
        <v>8</v>
      </c>
      <c r="T43">
        <v>17</v>
      </c>
      <c r="U43">
        <v>1</v>
      </c>
      <c r="X43">
        <v>2</v>
      </c>
      <c r="Y43">
        <v>4</v>
      </c>
      <c r="Z43">
        <v>4</v>
      </c>
      <c r="AA43">
        <v>5</v>
      </c>
      <c r="AB43">
        <v>2</v>
      </c>
      <c r="AC43">
        <v>1</v>
      </c>
      <c r="AD43">
        <v>1</v>
      </c>
      <c r="AE43">
        <v>1</v>
      </c>
    </row>
    <row r="44" spans="2:32">
      <c r="K44">
        <v>6</v>
      </c>
      <c r="L44" s="8"/>
      <c r="M44">
        <v>6</v>
      </c>
      <c r="N44">
        <v>9</v>
      </c>
      <c r="O44">
        <v>8</v>
      </c>
      <c r="P44">
        <v>30</v>
      </c>
      <c r="Q44">
        <v>12</v>
      </c>
      <c r="R44">
        <v>3</v>
      </c>
      <c r="S44">
        <v>1</v>
      </c>
      <c r="T44">
        <v>13</v>
      </c>
      <c r="U44">
        <v>2</v>
      </c>
      <c r="X44">
        <v>2</v>
      </c>
      <c r="Y44">
        <v>5</v>
      </c>
      <c r="Z44">
        <v>4</v>
      </c>
      <c r="AA44">
        <v>6</v>
      </c>
      <c r="AB44">
        <v>2</v>
      </c>
      <c r="AC44">
        <v>1</v>
      </c>
      <c r="AD44">
        <v>1</v>
      </c>
      <c r="AE44">
        <v>1</v>
      </c>
    </row>
    <row r="45" spans="2:32">
      <c r="K45">
        <v>7</v>
      </c>
      <c r="L45" s="8"/>
      <c r="M45">
        <v>1</v>
      </c>
      <c r="N45">
        <v>8</v>
      </c>
      <c r="O45">
        <v>5</v>
      </c>
      <c r="P45">
        <v>6</v>
      </c>
      <c r="Q45">
        <v>3</v>
      </c>
      <c r="R45">
        <v>1</v>
      </c>
      <c r="S45">
        <v>11</v>
      </c>
      <c r="T45">
        <v>2</v>
      </c>
      <c r="U45">
        <v>11</v>
      </c>
      <c r="X45">
        <v>2</v>
      </c>
      <c r="Y45">
        <v>5</v>
      </c>
      <c r="Z45">
        <v>5</v>
      </c>
      <c r="AA45">
        <v>6</v>
      </c>
      <c r="AB45">
        <v>3</v>
      </c>
      <c r="AC45">
        <v>1</v>
      </c>
      <c r="AD45">
        <v>1</v>
      </c>
      <c r="AE45">
        <v>1</v>
      </c>
    </row>
    <row r="46" spans="2:32">
      <c r="K46">
        <v>8</v>
      </c>
      <c r="L46" s="8"/>
      <c r="M46">
        <v>1</v>
      </c>
      <c r="N46">
        <v>21</v>
      </c>
      <c r="O46">
        <v>16</v>
      </c>
      <c r="P46">
        <v>19</v>
      </c>
      <c r="Q46">
        <v>21</v>
      </c>
      <c r="R46">
        <v>5</v>
      </c>
      <c r="S46">
        <v>4</v>
      </c>
      <c r="T46">
        <v>8</v>
      </c>
      <c r="U46">
        <v>1</v>
      </c>
      <c r="X46">
        <v>2</v>
      </c>
      <c r="Y46">
        <v>6</v>
      </c>
      <c r="Z46">
        <v>5</v>
      </c>
      <c r="AA46">
        <v>6</v>
      </c>
      <c r="AB46">
        <v>3</v>
      </c>
      <c r="AC46">
        <v>1</v>
      </c>
      <c r="AD46">
        <v>1</v>
      </c>
      <c r="AE46">
        <v>1</v>
      </c>
    </row>
    <row r="47" spans="2:32">
      <c r="K47">
        <v>9</v>
      </c>
      <c r="L47" s="8"/>
      <c r="M47">
        <v>5</v>
      </c>
      <c r="N47">
        <v>6</v>
      </c>
      <c r="O47">
        <v>8</v>
      </c>
      <c r="P47">
        <v>9</v>
      </c>
      <c r="Q47">
        <v>18</v>
      </c>
      <c r="R47">
        <v>9</v>
      </c>
      <c r="S47">
        <v>5</v>
      </c>
      <c r="T47">
        <v>1</v>
      </c>
      <c r="U47">
        <v>1</v>
      </c>
      <c r="X47">
        <v>2</v>
      </c>
      <c r="Y47">
        <v>6</v>
      </c>
      <c r="Z47">
        <v>5</v>
      </c>
      <c r="AA47">
        <v>6</v>
      </c>
      <c r="AB47">
        <v>3</v>
      </c>
      <c r="AC47">
        <v>1</v>
      </c>
      <c r="AD47">
        <v>1</v>
      </c>
      <c r="AE47">
        <v>1</v>
      </c>
    </row>
    <row r="48" spans="2:32">
      <c r="K48">
        <v>10</v>
      </c>
      <c r="L48" s="8"/>
      <c r="M48">
        <v>5</v>
      </c>
      <c r="N48">
        <v>10</v>
      </c>
      <c r="O48">
        <v>2</v>
      </c>
      <c r="P48">
        <v>9</v>
      </c>
      <c r="Q48">
        <v>2</v>
      </c>
      <c r="R48">
        <v>2</v>
      </c>
      <c r="S48">
        <v>1</v>
      </c>
      <c r="T48">
        <v>16</v>
      </c>
      <c r="U48">
        <v>2</v>
      </c>
      <c r="X48">
        <v>2</v>
      </c>
      <c r="Y48">
        <v>6</v>
      </c>
      <c r="Z48">
        <v>6</v>
      </c>
      <c r="AA48">
        <v>8</v>
      </c>
      <c r="AB48">
        <v>3</v>
      </c>
      <c r="AC48">
        <v>2</v>
      </c>
      <c r="AD48">
        <v>1</v>
      </c>
      <c r="AE48">
        <v>1</v>
      </c>
    </row>
    <row r="49" spans="11:31">
      <c r="K49">
        <v>11</v>
      </c>
      <c r="L49" s="8"/>
      <c r="M49">
        <v>10</v>
      </c>
      <c r="N49">
        <v>17</v>
      </c>
      <c r="O49">
        <v>28</v>
      </c>
      <c r="P49">
        <v>24</v>
      </c>
      <c r="Q49">
        <v>11</v>
      </c>
      <c r="R49">
        <v>3</v>
      </c>
      <c r="S49">
        <v>1</v>
      </c>
      <c r="T49">
        <v>9</v>
      </c>
      <c r="U49">
        <v>3</v>
      </c>
      <c r="X49">
        <v>3</v>
      </c>
      <c r="Y49">
        <v>7</v>
      </c>
      <c r="Z49">
        <v>7</v>
      </c>
      <c r="AA49">
        <v>9</v>
      </c>
      <c r="AB49">
        <v>4</v>
      </c>
      <c r="AC49">
        <v>2</v>
      </c>
      <c r="AD49">
        <v>1</v>
      </c>
      <c r="AE49">
        <v>1</v>
      </c>
    </row>
    <row r="50" spans="11:31">
      <c r="K50">
        <v>12</v>
      </c>
      <c r="L50" s="8"/>
      <c r="M50">
        <v>3</v>
      </c>
      <c r="N50">
        <v>12</v>
      </c>
      <c r="O50">
        <v>8</v>
      </c>
      <c r="P50">
        <v>11</v>
      </c>
      <c r="Q50">
        <v>2</v>
      </c>
      <c r="R50">
        <v>21</v>
      </c>
      <c r="S50">
        <v>9</v>
      </c>
      <c r="T50">
        <v>12</v>
      </c>
      <c r="U50">
        <v>2</v>
      </c>
      <c r="X50">
        <v>3</v>
      </c>
      <c r="Y50">
        <v>8</v>
      </c>
      <c r="Z50">
        <v>7</v>
      </c>
      <c r="AA50">
        <v>9</v>
      </c>
      <c r="AB50">
        <v>4</v>
      </c>
      <c r="AC50">
        <v>2</v>
      </c>
      <c r="AD50">
        <v>1</v>
      </c>
      <c r="AE50">
        <v>1</v>
      </c>
    </row>
    <row r="51" spans="11:31">
      <c r="K51">
        <v>13</v>
      </c>
      <c r="L51" s="8"/>
      <c r="M51">
        <v>20</v>
      </c>
      <c r="N51">
        <v>7</v>
      </c>
      <c r="O51">
        <v>6</v>
      </c>
      <c r="P51">
        <v>17</v>
      </c>
      <c r="Q51">
        <v>6</v>
      </c>
      <c r="R51">
        <v>2</v>
      </c>
      <c r="S51">
        <v>6</v>
      </c>
      <c r="T51">
        <v>4</v>
      </c>
      <c r="U51">
        <v>1</v>
      </c>
      <c r="X51">
        <v>3</v>
      </c>
      <c r="Y51">
        <v>8</v>
      </c>
      <c r="Z51">
        <v>8</v>
      </c>
      <c r="AA51">
        <v>9</v>
      </c>
      <c r="AB51">
        <v>4</v>
      </c>
      <c r="AC51">
        <v>2</v>
      </c>
      <c r="AD51">
        <v>1</v>
      </c>
      <c r="AE51">
        <v>2</v>
      </c>
    </row>
    <row r="52" spans="11:31">
      <c r="K52">
        <v>14</v>
      </c>
      <c r="L52" s="8"/>
      <c r="M52">
        <v>12</v>
      </c>
      <c r="N52">
        <v>15</v>
      </c>
      <c r="O52">
        <v>5</v>
      </c>
      <c r="P52">
        <v>6</v>
      </c>
      <c r="Q52">
        <v>14</v>
      </c>
      <c r="R52">
        <v>1</v>
      </c>
      <c r="S52">
        <v>1</v>
      </c>
      <c r="T52">
        <v>3</v>
      </c>
      <c r="U52">
        <v>1</v>
      </c>
      <c r="X52">
        <v>4</v>
      </c>
      <c r="Y52">
        <v>9</v>
      </c>
      <c r="Z52">
        <v>8</v>
      </c>
      <c r="AA52">
        <v>10</v>
      </c>
      <c r="AB52">
        <v>6</v>
      </c>
      <c r="AC52">
        <v>2</v>
      </c>
      <c r="AD52">
        <v>1</v>
      </c>
      <c r="AE52">
        <v>2</v>
      </c>
    </row>
    <row r="53" spans="11:31">
      <c r="K53">
        <v>15</v>
      </c>
      <c r="L53" s="8"/>
      <c r="M53">
        <v>2</v>
      </c>
      <c r="N53">
        <v>11</v>
      </c>
      <c r="O53">
        <v>9</v>
      </c>
      <c r="P53">
        <v>1</v>
      </c>
      <c r="Q53">
        <v>2</v>
      </c>
      <c r="R53">
        <v>1</v>
      </c>
      <c r="S53">
        <v>1</v>
      </c>
      <c r="T53">
        <v>2</v>
      </c>
      <c r="U53">
        <v>1</v>
      </c>
      <c r="X53">
        <v>4</v>
      </c>
      <c r="Y53">
        <v>9</v>
      </c>
      <c r="Z53">
        <v>8</v>
      </c>
      <c r="AA53">
        <v>10</v>
      </c>
      <c r="AB53">
        <v>6</v>
      </c>
      <c r="AC53">
        <v>3</v>
      </c>
      <c r="AD53">
        <v>2</v>
      </c>
      <c r="AE53">
        <v>2</v>
      </c>
    </row>
    <row r="54" spans="11:31">
      <c r="K54">
        <v>16</v>
      </c>
      <c r="M54">
        <v>9</v>
      </c>
      <c r="N54">
        <v>6</v>
      </c>
      <c r="O54">
        <v>2</v>
      </c>
      <c r="P54">
        <v>34</v>
      </c>
      <c r="Q54">
        <v>2</v>
      </c>
      <c r="R54">
        <v>13</v>
      </c>
      <c r="S54">
        <v>1</v>
      </c>
      <c r="T54">
        <v>9</v>
      </c>
      <c r="U54">
        <v>2</v>
      </c>
      <c r="X54">
        <v>5</v>
      </c>
      <c r="Y54">
        <v>9</v>
      </c>
      <c r="Z54">
        <v>9</v>
      </c>
      <c r="AA54">
        <v>11</v>
      </c>
      <c r="AB54">
        <v>6</v>
      </c>
      <c r="AC54">
        <v>3</v>
      </c>
      <c r="AD54">
        <v>2</v>
      </c>
      <c r="AE54">
        <v>2</v>
      </c>
    </row>
    <row r="55" spans="11:31">
      <c r="K55">
        <v>17</v>
      </c>
      <c r="M55">
        <v>2</v>
      </c>
      <c r="N55">
        <v>1</v>
      </c>
      <c r="O55">
        <v>4</v>
      </c>
      <c r="P55">
        <v>11</v>
      </c>
      <c r="Q55">
        <v>2</v>
      </c>
      <c r="R55">
        <v>2</v>
      </c>
      <c r="S55">
        <v>2</v>
      </c>
      <c r="T55">
        <v>1</v>
      </c>
      <c r="X55">
        <v>5</v>
      </c>
      <c r="Y55">
        <v>10</v>
      </c>
      <c r="Z55">
        <v>9</v>
      </c>
      <c r="AA55">
        <v>11</v>
      </c>
      <c r="AB55">
        <v>7</v>
      </c>
      <c r="AC55">
        <v>4</v>
      </c>
      <c r="AD55">
        <v>3</v>
      </c>
      <c r="AE55">
        <v>2</v>
      </c>
    </row>
    <row r="56" spans="11:31">
      <c r="K56">
        <v>18</v>
      </c>
      <c r="M56">
        <v>2</v>
      </c>
      <c r="N56">
        <v>13</v>
      </c>
      <c r="O56">
        <v>4</v>
      </c>
      <c r="P56">
        <v>5</v>
      </c>
      <c r="Q56">
        <v>7</v>
      </c>
      <c r="R56">
        <v>5</v>
      </c>
      <c r="S56">
        <v>1</v>
      </c>
      <c r="T56">
        <v>7</v>
      </c>
      <c r="X56">
        <v>5</v>
      </c>
      <c r="Y56">
        <v>10</v>
      </c>
      <c r="Z56">
        <v>9</v>
      </c>
      <c r="AA56">
        <v>11</v>
      </c>
      <c r="AB56">
        <v>7</v>
      </c>
      <c r="AC56">
        <v>5</v>
      </c>
      <c r="AD56">
        <v>3</v>
      </c>
      <c r="AE56" s="11">
        <v>3</v>
      </c>
    </row>
    <row r="57" spans="11:31">
      <c r="K57">
        <v>19</v>
      </c>
      <c r="M57">
        <v>4</v>
      </c>
      <c r="N57">
        <v>21</v>
      </c>
      <c r="O57">
        <v>23</v>
      </c>
      <c r="P57">
        <v>14</v>
      </c>
      <c r="Q57">
        <v>3</v>
      </c>
      <c r="R57">
        <v>1</v>
      </c>
      <c r="S57">
        <v>1</v>
      </c>
      <c r="T57">
        <v>2</v>
      </c>
      <c r="X57">
        <v>6</v>
      </c>
      <c r="Y57">
        <v>11</v>
      </c>
      <c r="Z57">
        <v>11</v>
      </c>
      <c r="AA57">
        <v>12</v>
      </c>
      <c r="AB57">
        <v>7</v>
      </c>
      <c r="AC57">
        <v>5</v>
      </c>
      <c r="AD57">
        <v>4</v>
      </c>
      <c r="AE57">
        <v>3</v>
      </c>
    </row>
    <row r="58" spans="11:31">
      <c r="K58">
        <v>20</v>
      </c>
      <c r="M58">
        <v>19</v>
      </c>
      <c r="N58">
        <v>13</v>
      </c>
      <c r="O58">
        <v>11</v>
      </c>
      <c r="P58">
        <v>8</v>
      </c>
      <c r="Q58">
        <v>13</v>
      </c>
      <c r="R58">
        <v>4</v>
      </c>
      <c r="S58">
        <v>1</v>
      </c>
      <c r="T58">
        <v>1</v>
      </c>
      <c r="X58">
        <v>6</v>
      </c>
      <c r="Y58">
        <v>12</v>
      </c>
      <c r="Z58">
        <v>11</v>
      </c>
      <c r="AA58">
        <v>14</v>
      </c>
      <c r="AB58">
        <v>10</v>
      </c>
      <c r="AC58">
        <v>5</v>
      </c>
      <c r="AD58">
        <v>4</v>
      </c>
      <c r="AE58">
        <v>4</v>
      </c>
    </row>
    <row r="59" spans="11:31">
      <c r="K59">
        <v>21</v>
      </c>
      <c r="M59">
        <v>2</v>
      </c>
      <c r="N59">
        <v>27</v>
      </c>
      <c r="O59">
        <v>9</v>
      </c>
      <c r="P59">
        <v>14</v>
      </c>
      <c r="Q59">
        <v>7</v>
      </c>
      <c r="R59">
        <v>1</v>
      </c>
      <c r="S59">
        <v>5</v>
      </c>
      <c r="T59">
        <v>1</v>
      </c>
      <c r="X59">
        <v>6</v>
      </c>
      <c r="Y59">
        <v>13</v>
      </c>
      <c r="Z59">
        <v>12</v>
      </c>
      <c r="AA59">
        <v>14</v>
      </c>
      <c r="AB59">
        <v>11</v>
      </c>
      <c r="AC59">
        <v>7</v>
      </c>
      <c r="AD59">
        <v>5</v>
      </c>
      <c r="AE59">
        <v>5</v>
      </c>
    </row>
    <row r="60" spans="11:31">
      <c r="K60">
        <v>22</v>
      </c>
      <c r="M60">
        <v>4</v>
      </c>
      <c r="N60">
        <v>4</v>
      </c>
      <c r="O60">
        <v>12</v>
      </c>
      <c r="P60">
        <v>6</v>
      </c>
      <c r="Q60">
        <v>17</v>
      </c>
      <c r="R60">
        <v>11</v>
      </c>
      <c r="S60">
        <v>7</v>
      </c>
      <c r="T60">
        <v>1</v>
      </c>
      <c r="X60">
        <v>7</v>
      </c>
      <c r="Y60">
        <v>13</v>
      </c>
      <c r="Z60">
        <v>13</v>
      </c>
      <c r="AA60">
        <v>16</v>
      </c>
      <c r="AB60">
        <v>11</v>
      </c>
      <c r="AC60">
        <v>7</v>
      </c>
      <c r="AD60">
        <v>5</v>
      </c>
      <c r="AE60">
        <v>5</v>
      </c>
    </row>
    <row r="61" spans="11:31">
      <c r="K61">
        <v>23</v>
      </c>
      <c r="M61">
        <v>13</v>
      </c>
      <c r="N61">
        <v>9</v>
      </c>
      <c r="O61">
        <v>17</v>
      </c>
      <c r="P61">
        <v>10</v>
      </c>
      <c r="Q61">
        <v>6</v>
      </c>
      <c r="R61">
        <v>2</v>
      </c>
      <c r="S61">
        <v>7</v>
      </c>
      <c r="T61">
        <v>1</v>
      </c>
      <c r="X61">
        <v>9</v>
      </c>
      <c r="Y61">
        <v>13</v>
      </c>
      <c r="Z61">
        <v>15</v>
      </c>
      <c r="AA61">
        <v>17</v>
      </c>
      <c r="AB61">
        <v>12</v>
      </c>
      <c r="AC61">
        <v>9</v>
      </c>
      <c r="AD61">
        <v>6</v>
      </c>
      <c r="AE61">
        <v>6</v>
      </c>
    </row>
    <row r="62" spans="11:31">
      <c r="K62">
        <v>24</v>
      </c>
      <c r="M62">
        <v>6</v>
      </c>
      <c r="N62">
        <v>9</v>
      </c>
      <c r="O62">
        <v>11</v>
      </c>
      <c r="P62">
        <v>11</v>
      </c>
      <c r="Q62">
        <v>4</v>
      </c>
      <c r="R62">
        <v>7</v>
      </c>
      <c r="T62">
        <v>1</v>
      </c>
      <c r="X62">
        <v>10</v>
      </c>
      <c r="Y62">
        <v>15</v>
      </c>
      <c r="Z62">
        <v>16</v>
      </c>
      <c r="AA62">
        <v>17</v>
      </c>
      <c r="AB62">
        <v>12</v>
      </c>
      <c r="AC62">
        <v>9</v>
      </c>
      <c r="AD62">
        <v>7</v>
      </c>
      <c r="AE62">
        <v>7</v>
      </c>
    </row>
    <row r="63" spans="11:31">
      <c r="K63">
        <v>25</v>
      </c>
      <c r="M63">
        <v>11</v>
      </c>
      <c r="N63">
        <v>2</v>
      </c>
      <c r="O63">
        <v>20</v>
      </c>
      <c r="P63">
        <v>6</v>
      </c>
      <c r="Q63">
        <v>10</v>
      </c>
      <c r="R63">
        <v>5</v>
      </c>
      <c r="S63">
        <v>1</v>
      </c>
      <c r="T63">
        <v>1</v>
      </c>
      <c r="X63">
        <v>11</v>
      </c>
      <c r="Y63">
        <v>17</v>
      </c>
      <c r="Z63">
        <v>16</v>
      </c>
      <c r="AA63">
        <v>19</v>
      </c>
      <c r="AB63">
        <v>13</v>
      </c>
      <c r="AC63">
        <v>9</v>
      </c>
      <c r="AD63">
        <v>7</v>
      </c>
      <c r="AE63">
        <v>8</v>
      </c>
    </row>
    <row r="64" spans="11:31">
      <c r="K64">
        <v>26</v>
      </c>
      <c r="M64">
        <v>5</v>
      </c>
      <c r="N64">
        <v>6</v>
      </c>
      <c r="O64">
        <v>2</v>
      </c>
      <c r="P64">
        <v>16</v>
      </c>
      <c r="Q64">
        <v>21</v>
      </c>
      <c r="R64">
        <v>1</v>
      </c>
      <c r="S64">
        <v>10</v>
      </c>
      <c r="T64">
        <v>2</v>
      </c>
      <c r="X64">
        <v>12</v>
      </c>
      <c r="Y64">
        <v>17</v>
      </c>
      <c r="Z64">
        <v>16</v>
      </c>
      <c r="AA64">
        <v>19</v>
      </c>
      <c r="AB64">
        <v>13</v>
      </c>
      <c r="AC64">
        <v>10</v>
      </c>
      <c r="AD64">
        <v>8</v>
      </c>
      <c r="AE64">
        <v>9</v>
      </c>
    </row>
    <row r="65" spans="11:31">
      <c r="K65">
        <v>27</v>
      </c>
      <c r="M65">
        <v>21</v>
      </c>
      <c r="N65">
        <v>17</v>
      </c>
      <c r="O65">
        <v>19</v>
      </c>
      <c r="P65">
        <v>4</v>
      </c>
      <c r="Q65">
        <v>3</v>
      </c>
      <c r="R65">
        <v>2</v>
      </c>
      <c r="S65">
        <v>3</v>
      </c>
      <c r="T65">
        <v>5</v>
      </c>
      <c r="X65">
        <v>13</v>
      </c>
      <c r="Y65">
        <v>20</v>
      </c>
      <c r="Z65">
        <v>17</v>
      </c>
      <c r="AA65">
        <v>20</v>
      </c>
      <c r="AB65">
        <v>14</v>
      </c>
      <c r="AC65">
        <v>11</v>
      </c>
      <c r="AD65">
        <v>9</v>
      </c>
      <c r="AE65">
        <v>9</v>
      </c>
    </row>
    <row r="66" spans="11:31">
      <c r="K66">
        <v>28</v>
      </c>
      <c r="M66">
        <v>2</v>
      </c>
      <c r="N66">
        <v>20</v>
      </c>
      <c r="O66">
        <v>16</v>
      </c>
      <c r="P66">
        <v>20</v>
      </c>
      <c r="Q66">
        <v>11</v>
      </c>
      <c r="R66">
        <v>9</v>
      </c>
      <c r="S66">
        <v>20</v>
      </c>
      <c r="T66">
        <v>5</v>
      </c>
      <c r="X66">
        <v>18</v>
      </c>
      <c r="Y66">
        <v>21</v>
      </c>
      <c r="Z66">
        <v>17</v>
      </c>
      <c r="AA66">
        <v>21</v>
      </c>
      <c r="AB66">
        <v>17</v>
      </c>
      <c r="AC66">
        <v>13</v>
      </c>
      <c r="AD66">
        <v>10</v>
      </c>
      <c r="AE66">
        <v>10</v>
      </c>
    </row>
    <row r="67" spans="11:31">
      <c r="K67">
        <v>29</v>
      </c>
      <c r="M67">
        <v>3</v>
      </c>
      <c r="N67">
        <v>10</v>
      </c>
      <c r="O67">
        <v>16</v>
      </c>
      <c r="P67">
        <v>9</v>
      </c>
      <c r="Q67">
        <v>3</v>
      </c>
      <c r="R67">
        <v>7</v>
      </c>
      <c r="S67">
        <v>15</v>
      </c>
      <c r="T67">
        <v>6</v>
      </c>
      <c r="X67">
        <v>18</v>
      </c>
      <c r="Y67">
        <v>21</v>
      </c>
      <c r="Z67">
        <v>19</v>
      </c>
      <c r="AA67">
        <v>24</v>
      </c>
      <c r="AB67">
        <v>18</v>
      </c>
      <c r="AC67">
        <v>14</v>
      </c>
      <c r="AD67">
        <v>11</v>
      </c>
      <c r="AE67">
        <v>12</v>
      </c>
    </row>
    <row r="68" spans="11:31">
      <c r="K68">
        <v>30</v>
      </c>
      <c r="M68">
        <v>6</v>
      </c>
      <c r="N68">
        <v>8</v>
      </c>
      <c r="O68">
        <v>15</v>
      </c>
      <c r="P68">
        <v>19</v>
      </c>
      <c r="Q68">
        <v>7</v>
      </c>
      <c r="R68">
        <v>15</v>
      </c>
      <c r="S68">
        <v>1</v>
      </c>
      <c r="T68">
        <v>1</v>
      </c>
      <c r="X68">
        <v>19</v>
      </c>
      <c r="Y68">
        <v>24</v>
      </c>
      <c r="Z68">
        <v>20</v>
      </c>
      <c r="AA68">
        <v>27</v>
      </c>
      <c r="AB68">
        <v>20</v>
      </c>
      <c r="AC68">
        <v>15</v>
      </c>
      <c r="AD68">
        <v>15</v>
      </c>
      <c r="AE68">
        <v>13</v>
      </c>
    </row>
    <row r="69" spans="11:31">
      <c r="K69">
        <v>31</v>
      </c>
      <c r="M69">
        <v>18</v>
      </c>
      <c r="N69">
        <v>24</v>
      </c>
      <c r="O69">
        <v>4</v>
      </c>
      <c r="P69">
        <v>27</v>
      </c>
      <c r="Q69">
        <v>20</v>
      </c>
      <c r="R69">
        <v>9</v>
      </c>
      <c r="S69">
        <v>1</v>
      </c>
      <c r="T69">
        <v>10</v>
      </c>
      <c r="X69">
        <v>20</v>
      </c>
      <c r="Y69">
        <v>25</v>
      </c>
      <c r="Z69">
        <v>23</v>
      </c>
      <c r="AA69">
        <v>30</v>
      </c>
      <c r="AB69">
        <v>21</v>
      </c>
      <c r="AC69">
        <v>21</v>
      </c>
      <c r="AD69">
        <v>20</v>
      </c>
      <c r="AE69">
        <v>16</v>
      </c>
    </row>
    <row r="70" spans="11:31">
      <c r="K70">
        <v>32</v>
      </c>
      <c r="M70">
        <v>2</v>
      </c>
      <c r="N70">
        <v>5</v>
      </c>
      <c r="O70">
        <v>7</v>
      </c>
      <c r="P70">
        <v>21</v>
      </c>
      <c r="Q70">
        <v>13</v>
      </c>
      <c r="R70">
        <v>14</v>
      </c>
      <c r="S70">
        <v>1</v>
      </c>
      <c r="T70">
        <v>1</v>
      </c>
      <c r="X70">
        <v>21</v>
      </c>
      <c r="Y70">
        <v>27</v>
      </c>
      <c r="Z70">
        <v>28</v>
      </c>
      <c r="AA70">
        <v>34</v>
      </c>
      <c r="AB70">
        <v>21</v>
      </c>
      <c r="AC70">
        <v>41</v>
      </c>
      <c r="AE70">
        <v>17</v>
      </c>
    </row>
    <row r="71" spans="11:31">
      <c r="L71" t="e">
        <f t="shared" ref="L71:N71" si="17">AVERAGE(L39:L70)</f>
        <v>#DIV/0!</v>
      </c>
      <c r="M71">
        <f t="shared" si="17"/>
        <v>7.0625</v>
      </c>
      <c r="N71">
        <f t="shared" si="17"/>
        <v>11.28125</v>
      </c>
      <c r="O71">
        <f>AVERAGE(O39:O70)</f>
        <v>10.5625</v>
      </c>
      <c r="P71">
        <f>AVERAGE(P39:P70)</f>
        <v>12.875</v>
      </c>
      <c r="Q71">
        <f t="shared" ref="Q71:T71" si="18">AVERAGE(Q39:Q70)</f>
        <v>8.34375</v>
      </c>
      <c r="R71">
        <f t="shared" si="18"/>
        <v>6.5625</v>
      </c>
      <c r="S71">
        <f t="shared" si="18"/>
        <v>4.354838709677419</v>
      </c>
      <c r="T71">
        <f t="shared" si="18"/>
        <v>4.65625</v>
      </c>
      <c r="U71">
        <f t="shared" ref="U71" si="19">AVERAGE(U39:U70)</f>
        <v>2.75</v>
      </c>
      <c r="W71" s="14" t="s">
        <v>21</v>
      </c>
      <c r="X71" s="12">
        <f>COUNT(X39:X56)</f>
        <v>18</v>
      </c>
      <c r="Y71" s="12">
        <f>COUNT(Y39:Y45)</f>
        <v>7</v>
      </c>
      <c r="Z71" s="12">
        <f>COUNT(Z39:Z47)</f>
        <v>9</v>
      </c>
      <c r="AA71" s="12">
        <f>COUNT(AA39:AA43)</f>
        <v>5</v>
      </c>
      <c r="AB71" s="12">
        <f>COUNT(AB39:AB51)</f>
        <v>13</v>
      </c>
      <c r="AC71" s="12">
        <f>COUNT(AC39:AC58)</f>
        <v>20</v>
      </c>
      <c r="AD71" s="12">
        <f>COUNT(AD39:AD60)</f>
        <v>22</v>
      </c>
      <c r="AE71" s="12">
        <f>COUNT(AE39:AE60)</f>
        <v>22</v>
      </c>
    </row>
    <row r="72" spans="11:31">
      <c r="L72" t="e">
        <f t="shared" ref="L72" si="20">STDEV(L39:L70)</f>
        <v>#DIV/0!</v>
      </c>
      <c r="M72">
        <f>2*STDEV(M39:M70)/SQRT(32)</f>
        <v>2.1940857086208356</v>
      </c>
      <c r="N72">
        <f t="shared" ref="N72:T72" si="21">2*STDEV(N39:N70)/SQRT(32)</f>
        <v>2.4906832444519211</v>
      </c>
      <c r="O72">
        <f t="shared" si="21"/>
        <v>2.3191654157921664</v>
      </c>
      <c r="P72">
        <f t="shared" si="21"/>
        <v>2.8859364220748285</v>
      </c>
      <c r="Q72">
        <f t="shared" si="21"/>
        <v>2.1916435411102606</v>
      </c>
      <c r="R72">
        <f t="shared" si="21"/>
        <v>2.8637578233795784</v>
      </c>
      <c r="S72">
        <f t="shared" si="21"/>
        <v>1.657177286574911</v>
      </c>
      <c r="T72">
        <f t="shared" si="21"/>
        <v>1.6694826680838162</v>
      </c>
      <c r="U72">
        <f>2*STDEV(U39:U70)/SQRT(16)</f>
        <v>1.4200938936093861</v>
      </c>
      <c r="W72" s="13" t="s">
        <v>20</v>
      </c>
      <c r="X72" s="8">
        <f>COUNT(X57:X62)</f>
        <v>6</v>
      </c>
      <c r="Y72" s="8">
        <f>COUNT(Y46:Y56)</f>
        <v>11</v>
      </c>
      <c r="Z72" s="8">
        <f>COUNT(Z48:Z56)</f>
        <v>9</v>
      </c>
      <c r="AA72" s="8">
        <f>COUNT(AA44:AA53)</f>
        <v>10</v>
      </c>
      <c r="AB72" s="8">
        <f>COUNT(AB52:AB58)</f>
        <v>7</v>
      </c>
      <c r="AC72" s="8">
        <f>COUNT(AC59:AC64)</f>
        <v>6</v>
      </c>
      <c r="AD72" s="8">
        <f>COUNT(AD61:AD66)</f>
        <v>6</v>
      </c>
      <c r="AE72" s="8">
        <f>COUNT(AE61:AE66)</f>
        <v>6</v>
      </c>
    </row>
    <row r="73" spans="11:31">
      <c r="W73" s="13" t="s">
        <v>19</v>
      </c>
      <c r="X73" s="8">
        <f>COUNT(X63:X65)</f>
        <v>3</v>
      </c>
      <c r="Y73" s="8">
        <f>COUNT(Y57:Y62)</f>
        <v>6</v>
      </c>
      <c r="Z73" s="8">
        <f>COUNT(Z57:Z61)</f>
        <v>5</v>
      </c>
      <c r="AA73" s="8">
        <f>COUNT(AA54:AA59)</f>
        <v>6</v>
      </c>
      <c r="AB73" s="8">
        <f>COUNT(AB59:AB65)</f>
        <v>7</v>
      </c>
      <c r="AC73" s="8">
        <f>COUNT(AC65:AC68)</f>
        <v>4</v>
      </c>
      <c r="AD73" s="8">
        <f t="shared" ref="AD73" si="22">COUNT(AD59:AD65)</f>
        <v>7</v>
      </c>
      <c r="AE73" s="8">
        <f>COUNT(AE67:AE68)</f>
        <v>2</v>
      </c>
    </row>
    <row r="74" spans="11:31">
      <c r="K74" t="s">
        <v>13</v>
      </c>
      <c r="L74" s="10">
        <v>2</v>
      </c>
      <c r="M74" s="10">
        <v>3</v>
      </c>
      <c r="N74" s="10">
        <v>4</v>
      </c>
      <c r="O74" s="10">
        <v>5</v>
      </c>
      <c r="P74" s="10">
        <v>6</v>
      </c>
      <c r="Q74" s="10">
        <v>7</v>
      </c>
      <c r="R74" s="10">
        <v>8</v>
      </c>
      <c r="S74" s="10">
        <v>9</v>
      </c>
      <c r="T74" s="10">
        <v>10</v>
      </c>
      <c r="U74" s="10">
        <v>12</v>
      </c>
      <c r="V74" s="10"/>
      <c r="W74" s="14" t="s">
        <v>22</v>
      </c>
      <c r="X74" s="8">
        <f>COUNT(X66:X69)</f>
        <v>4</v>
      </c>
      <c r="Y74" s="8">
        <f>COUNT(Y63:Y65)</f>
        <v>3</v>
      </c>
      <c r="Z74" s="8">
        <f>COUNT(Z62:Z68)</f>
        <v>7</v>
      </c>
      <c r="AA74" s="8">
        <f>COUNT(AA60:AA65)</f>
        <v>6</v>
      </c>
      <c r="AB74" s="8">
        <f>COUNT(AB66:AB68)</f>
        <v>3</v>
      </c>
      <c r="AC74" s="8">
        <f>0</f>
        <v>0</v>
      </c>
      <c r="AD74" s="8">
        <f>COUNT(AD69)</f>
        <v>1</v>
      </c>
      <c r="AE74" s="8">
        <f>COUNT(AE69:AE70)</f>
        <v>2</v>
      </c>
    </row>
    <row r="75" spans="11:31">
      <c r="K75">
        <v>1</v>
      </c>
      <c r="M75">
        <v>2</v>
      </c>
      <c r="N75">
        <v>3</v>
      </c>
      <c r="O75" s="9">
        <v>11</v>
      </c>
      <c r="P75">
        <v>16</v>
      </c>
      <c r="Q75">
        <v>4</v>
      </c>
      <c r="R75">
        <v>2</v>
      </c>
      <c r="S75">
        <v>12</v>
      </c>
      <c r="T75">
        <v>3</v>
      </c>
      <c r="U75">
        <v>1</v>
      </c>
      <c r="W75" s="14" t="s">
        <v>18</v>
      </c>
      <c r="X75" s="8">
        <f>COUNT(X70)</f>
        <v>1</v>
      </c>
      <c r="Y75" s="8">
        <f>COUNT(Y66:Y70)</f>
        <v>5</v>
      </c>
      <c r="Z75" s="8">
        <f>COUNT(Z69:Z70)</f>
        <v>2</v>
      </c>
      <c r="AA75" s="8">
        <f>COUNT(AA66:AA70)</f>
        <v>5</v>
      </c>
      <c r="AB75" s="8">
        <f>COUNT(AB69:AB70)</f>
        <v>2</v>
      </c>
      <c r="AC75" s="8">
        <f>COUNT(AC69:AC70)</f>
        <v>2</v>
      </c>
      <c r="AD75" s="8">
        <v>0</v>
      </c>
      <c r="AE75" s="8">
        <v>0</v>
      </c>
    </row>
    <row r="76" spans="11:31">
      <c r="K76">
        <v>2</v>
      </c>
      <c r="M76">
        <v>2</v>
      </c>
      <c r="N76">
        <v>2</v>
      </c>
      <c r="O76">
        <v>3</v>
      </c>
      <c r="P76">
        <v>8</v>
      </c>
      <c r="Q76">
        <v>17</v>
      </c>
      <c r="R76">
        <v>1</v>
      </c>
      <c r="S76">
        <v>1</v>
      </c>
      <c r="T76">
        <v>1</v>
      </c>
      <c r="U76">
        <v>2</v>
      </c>
    </row>
    <row r="77" spans="11:31">
      <c r="K77">
        <v>3</v>
      </c>
      <c r="M77">
        <v>9</v>
      </c>
      <c r="N77">
        <v>3</v>
      </c>
      <c r="O77">
        <v>4</v>
      </c>
      <c r="P77">
        <v>9</v>
      </c>
      <c r="Q77">
        <v>19</v>
      </c>
      <c r="R77">
        <v>2</v>
      </c>
      <c r="S77">
        <v>6</v>
      </c>
      <c r="T77">
        <v>3</v>
      </c>
      <c r="U77">
        <v>1</v>
      </c>
    </row>
    <row r="78" spans="11:31">
      <c r="K78">
        <v>4</v>
      </c>
      <c r="M78">
        <v>14</v>
      </c>
      <c r="N78">
        <v>3</v>
      </c>
      <c r="O78">
        <v>8</v>
      </c>
      <c r="P78">
        <v>5</v>
      </c>
      <c r="Q78">
        <v>9</v>
      </c>
      <c r="R78">
        <v>5</v>
      </c>
      <c r="S78">
        <v>1</v>
      </c>
      <c r="T78">
        <v>1</v>
      </c>
      <c r="U78">
        <v>2</v>
      </c>
    </row>
    <row r="79" spans="11:31">
      <c r="K79">
        <v>5</v>
      </c>
      <c r="M79">
        <v>8</v>
      </c>
      <c r="N79">
        <v>7</v>
      </c>
      <c r="O79">
        <v>6</v>
      </c>
      <c r="P79">
        <v>10</v>
      </c>
      <c r="Q79">
        <v>10</v>
      </c>
      <c r="R79">
        <v>3</v>
      </c>
      <c r="S79">
        <v>1</v>
      </c>
      <c r="T79">
        <v>1</v>
      </c>
      <c r="U79">
        <v>1</v>
      </c>
    </row>
    <row r="80" spans="11:31">
      <c r="K80">
        <v>6</v>
      </c>
      <c r="M80">
        <v>5</v>
      </c>
      <c r="N80">
        <v>14</v>
      </c>
      <c r="O80">
        <v>6</v>
      </c>
      <c r="P80">
        <v>3</v>
      </c>
      <c r="Q80">
        <v>6</v>
      </c>
      <c r="R80">
        <v>7</v>
      </c>
      <c r="S80">
        <v>1</v>
      </c>
      <c r="T80">
        <v>9</v>
      </c>
      <c r="U80">
        <v>3</v>
      </c>
    </row>
    <row r="81" spans="11:21">
      <c r="K81">
        <v>7</v>
      </c>
      <c r="M81">
        <v>3</v>
      </c>
      <c r="N81">
        <v>5</v>
      </c>
      <c r="O81">
        <v>6</v>
      </c>
      <c r="P81">
        <v>7</v>
      </c>
      <c r="Q81">
        <v>3</v>
      </c>
      <c r="R81">
        <v>7</v>
      </c>
      <c r="S81">
        <v>2</v>
      </c>
      <c r="T81">
        <v>2</v>
      </c>
      <c r="U81">
        <v>1</v>
      </c>
    </row>
    <row r="82" spans="11:21">
      <c r="K82">
        <v>8</v>
      </c>
      <c r="M82">
        <v>14</v>
      </c>
      <c r="N82">
        <v>3</v>
      </c>
      <c r="O82" s="9">
        <v>5</v>
      </c>
      <c r="P82">
        <v>3</v>
      </c>
      <c r="Q82">
        <v>3</v>
      </c>
      <c r="R82">
        <v>3</v>
      </c>
      <c r="S82">
        <v>1</v>
      </c>
      <c r="T82">
        <v>1</v>
      </c>
      <c r="U82">
        <v>1</v>
      </c>
    </row>
    <row r="83" spans="11:21">
      <c r="K83">
        <v>9</v>
      </c>
      <c r="M83">
        <v>5</v>
      </c>
      <c r="N83">
        <v>4</v>
      </c>
      <c r="O83">
        <v>1</v>
      </c>
      <c r="P83">
        <v>12</v>
      </c>
      <c r="Q83">
        <v>3</v>
      </c>
      <c r="R83">
        <v>8</v>
      </c>
      <c r="S83">
        <v>1</v>
      </c>
      <c r="T83">
        <v>1</v>
      </c>
      <c r="U83">
        <v>1</v>
      </c>
    </row>
    <row r="84" spans="11:21">
      <c r="K84">
        <v>10</v>
      </c>
      <c r="M84">
        <v>15</v>
      </c>
      <c r="N84">
        <v>17</v>
      </c>
      <c r="O84">
        <v>2</v>
      </c>
      <c r="P84">
        <v>2</v>
      </c>
      <c r="Q84">
        <v>11</v>
      </c>
      <c r="R84">
        <v>16</v>
      </c>
      <c r="S84">
        <v>8</v>
      </c>
      <c r="T84">
        <v>3</v>
      </c>
      <c r="U84">
        <v>2</v>
      </c>
    </row>
    <row r="85" spans="11:21">
      <c r="K85">
        <v>11</v>
      </c>
      <c r="M85">
        <v>10</v>
      </c>
      <c r="N85">
        <v>2</v>
      </c>
      <c r="O85" s="9">
        <v>3</v>
      </c>
      <c r="P85">
        <v>4</v>
      </c>
      <c r="Q85">
        <v>1</v>
      </c>
      <c r="R85">
        <v>1</v>
      </c>
      <c r="S85">
        <v>7</v>
      </c>
      <c r="T85">
        <v>12</v>
      </c>
      <c r="U85">
        <v>1</v>
      </c>
    </row>
    <row r="86" spans="11:21">
      <c r="K86">
        <v>12</v>
      </c>
      <c r="M86">
        <v>4</v>
      </c>
      <c r="N86">
        <v>9</v>
      </c>
      <c r="O86">
        <v>20</v>
      </c>
      <c r="P86">
        <v>5</v>
      </c>
      <c r="Q86">
        <v>5</v>
      </c>
      <c r="R86">
        <v>1</v>
      </c>
      <c r="S86">
        <v>2</v>
      </c>
      <c r="T86">
        <v>3</v>
      </c>
      <c r="U86">
        <v>2</v>
      </c>
    </row>
    <row r="87" spans="11:21">
      <c r="K87">
        <v>13</v>
      </c>
      <c r="M87">
        <v>3</v>
      </c>
      <c r="N87">
        <v>8</v>
      </c>
      <c r="O87">
        <v>14</v>
      </c>
      <c r="P87">
        <v>11</v>
      </c>
      <c r="Q87">
        <v>2</v>
      </c>
      <c r="R87">
        <v>1</v>
      </c>
      <c r="S87">
        <v>13</v>
      </c>
      <c r="T87">
        <v>1</v>
      </c>
      <c r="U87">
        <v>2</v>
      </c>
    </row>
    <row r="88" spans="11:21">
      <c r="K88">
        <v>14</v>
      </c>
      <c r="M88">
        <v>8</v>
      </c>
      <c r="N88">
        <v>5</v>
      </c>
      <c r="O88">
        <v>21</v>
      </c>
      <c r="P88">
        <v>2</v>
      </c>
      <c r="Q88" s="9">
        <v>4</v>
      </c>
      <c r="R88">
        <v>4</v>
      </c>
      <c r="S88">
        <v>1</v>
      </c>
      <c r="T88">
        <v>4</v>
      </c>
      <c r="U88">
        <v>1</v>
      </c>
    </row>
    <row r="89" spans="11:21">
      <c r="K89">
        <v>15</v>
      </c>
      <c r="M89">
        <v>5</v>
      </c>
      <c r="N89">
        <v>8</v>
      </c>
      <c r="O89">
        <v>2</v>
      </c>
      <c r="P89">
        <v>6</v>
      </c>
      <c r="Q89">
        <v>23</v>
      </c>
      <c r="R89">
        <v>18</v>
      </c>
      <c r="S89">
        <v>2</v>
      </c>
      <c r="T89">
        <v>4</v>
      </c>
      <c r="U89">
        <v>2</v>
      </c>
    </row>
    <row r="90" spans="11:21">
      <c r="K90">
        <v>16</v>
      </c>
      <c r="M90">
        <v>5</v>
      </c>
      <c r="N90">
        <v>3</v>
      </c>
      <c r="O90">
        <v>17</v>
      </c>
      <c r="P90">
        <v>8</v>
      </c>
      <c r="Q90">
        <v>7</v>
      </c>
      <c r="R90">
        <v>1</v>
      </c>
      <c r="S90">
        <v>1</v>
      </c>
      <c r="T90">
        <v>2</v>
      </c>
      <c r="U90">
        <v>3</v>
      </c>
    </row>
    <row r="91" spans="11:21">
      <c r="K91">
        <v>17</v>
      </c>
      <c r="M91">
        <v>15</v>
      </c>
      <c r="N91">
        <v>1</v>
      </c>
      <c r="O91">
        <v>9</v>
      </c>
      <c r="P91">
        <v>9</v>
      </c>
      <c r="Q91">
        <v>3</v>
      </c>
      <c r="R91">
        <v>6</v>
      </c>
      <c r="S91">
        <v>1</v>
      </c>
      <c r="T91">
        <v>3</v>
      </c>
      <c r="U91">
        <v>1</v>
      </c>
    </row>
    <row r="92" spans="11:21">
      <c r="K92">
        <v>18</v>
      </c>
      <c r="M92">
        <v>3</v>
      </c>
      <c r="N92">
        <v>11</v>
      </c>
      <c r="O92">
        <v>13</v>
      </c>
      <c r="P92">
        <v>15</v>
      </c>
      <c r="Q92">
        <v>1</v>
      </c>
      <c r="R92">
        <v>12</v>
      </c>
      <c r="S92">
        <v>1</v>
      </c>
      <c r="T92">
        <v>5</v>
      </c>
      <c r="U92">
        <v>1</v>
      </c>
    </row>
    <row r="93" spans="11:21">
      <c r="K93">
        <v>19</v>
      </c>
      <c r="M93">
        <v>1</v>
      </c>
      <c r="N93">
        <v>6</v>
      </c>
      <c r="O93">
        <v>4</v>
      </c>
      <c r="P93">
        <v>5</v>
      </c>
      <c r="Q93">
        <v>10</v>
      </c>
      <c r="R93">
        <v>1</v>
      </c>
      <c r="S93">
        <v>1</v>
      </c>
      <c r="T93">
        <v>2</v>
      </c>
      <c r="U93">
        <v>1</v>
      </c>
    </row>
    <row r="94" spans="11:21">
      <c r="K94">
        <v>20</v>
      </c>
      <c r="M94">
        <v>3</v>
      </c>
      <c r="N94">
        <v>11</v>
      </c>
      <c r="O94">
        <v>4</v>
      </c>
      <c r="P94">
        <v>3</v>
      </c>
      <c r="Q94">
        <v>2</v>
      </c>
      <c r="R94">
        <v>1</v>
      </c>
      <c r="S94">
        <v>4</v>
      </c>
      <c r="T94">
        <v>2</v>
      </c>
      <c r="U94">
        <v>7</v>
      </c>
    </row>
    <row r="95" spans="11:21">
      <c r="K95">
        <v>21</v>
      </c>
      <c r="M95">
        <v>6</v>
      </c>
      <c r="N95">
        <v>19</v>
      </c>
      <c r="O95">
        <v>3</v>
      </c>
      <c r="P95">
        <v>21</v>
      </c>
      <c r="Q95">
        <v>1</v>
      </c>
      <c r="R95">
        <v>1</v>
      </c>
      <c r="S95">
        <v>1</v>
      </c>
      <c r="T95">
        <v>1</v>
      </c>
      <c r="U95">
        <v>1</v>
      </c>
    </row>
    <row r="96" spans="11:21">
      <c r="K96">
        <v>22</v>
      </c>
      <c r="M96">
        <v>2</v>
      </c>
      <c r="N96">
        <v>9</v>
      </c>
      <c r="O96">
        <v>10</v>
      </c>
      <c r="P96">
        <v>6</v>
      </c>
      <c r="Q96">
        <v>2</v>
      </c>
      <c r="R96">
        <v>6</v>
      </c>
      <c r="S96">
        <v>1</v>
      </c>
      <c r="T96">
        <v>1</v>
      </c>
      <c r="U96">
        <v>3</v>
      </c>
    </row>
    <row r="97" spans="11:21">
      <c r="K97">
        <v>23</v>
      </c>
      <c r="N97">
        <v>12</v>
      </c>
      <c r="O97">
        <v>12</v>
      </c>
      <c r="P97">
        <v>5</v>
      </c>
      <c r="Q97">
        <v>4</v>
      </c>
      <c r="R97">
        <v>1</v>
      </c>
      <c r="S97">
        <v>1</v>
      </c>
      <c r="T97">
        <v>10</v>
      </c>
      <c r="U97">
        <v>1</v>
      </c>
    </row>
    <row r="98" spans="11:21">
      <c r="K98">
        <v>24</v>
      </c>
      <c r="M98">
        <v>10</v>
      </c>
      <c r="N98">
        <v>7</v>
      </c>
      <c r="O98">
        <v>13</v>
      </c>
      <c r="P98">
        <v>1</v>
      </c>
      <c r="Q98">
        <v>6</v>
      </c>
      <c r="R98">
        <v>1</v>
      </c>
      <c r="S98">
        <v>1</v>
      </c>
      <c r="T98">
        <v>1</v>
      </c>
      <c r="U98">
        <v>1</v>
      </c>
    </row>
    <row r="99" spans="11:21">
      <c r="K99">
        <v>25</v>
      </c>
      <c r="M99">
        <v>7</v>
      </c>
      <c r="N99">
        <v>12</v>
      </c>
      <c r="O99">
        <v>2</v>
      </c>
      <c r="P99">
        <v>9</v>
      </c>
      <c r="Q99">
        <v>12</v>
      </c>
      <c r="R99">
        <v>2</v>
      </c>
      <c r="S99">
        <v>1</v>
      </c>
      <c r="T99">
        <v>2</v>
      </c>
      <c r="U99">
        <v>1</v>
      </c>
    </row>
    <row r="100" spans="11:21">
      <c r="K100">
        <v>26</v>
      </c>
      <c r="N100">
        <v>20</v>
      </c>
      <c r="O100">
        <v>1</v>
      </c>
      <c r="P100">
        <v>13</v>
      </c>
      <c r="Q100">
        <v>6</v>
      </c>
      <c r="R100">
        <v>10</v>
      </c>
      <c r="S100">
        <v>3</v>
      </c>
      <c r="T100">
        <v>7</v>
      </c>
      <c r="U100">
        <v>1</v>
      </c>
    </row>
    <row r="101" spans="11:21">
      <c r="K101">
        <v>27</v>
      </c>
      <c r="M101">
        <v>3</v>
      </c>
      <c r="N101">
        <v>5</v>
      </c>
      <c r="O101">
        <v>3</v>
      </c>
      <c r="P101">
        <v>18</v>
      </c>
      <c r="Q101">
        <v>4</v>
      </c>
      <c r="R101">
        <v>8</v>
      </c>
      <c r="S101">
        <v>1</v>
      </c>
      <c r="T101">
        <v>1</v>
      </c>
      <c r="U101">
        <v>3</v>
      </c>
    </row>
    <row r="102" spans="11:21">
      <c r="K102">
        <v>28</v>
      </c>
      <c r="M102">
        <v>7</v>
      </c>
      <c r="N102">
        <v>5</v>
      </c>
      <c r="O102">
        <v>13</v>
      </c>
      <c r="P102">
        <v>3</v>
      </c>
      <c r="Q102">
        <v>10</v>
      </c>
      <c r="R102">
        <v>3</v>
      </c>
      <c r="S102">
        <v>12</v>
      </c>
      <c r="T102">
        <v>1</v>
      </c>
      <c r="U102">
        <v>9</v>
      </c>
    </row>
    <row r="103" spans="11:21">
      <c r="K103">
        <v>29</v>
      </c>
      <c r="M103">
        <v>3</v>
      </c>
      <c r="N103">
        <v>10</v>
      </c>
      <c r="O103">
        <v>7</v>
      </c>
      <c r="P103">
        <v>9</v>
      </c>
      <c r="Q103">
        <v>2</v>
      </c>
      <c r="R103">
        <v>1</v>
      </c>
      <c r="S103">
        <v>7</v>
      </c>
      <c r="T103">
        <v>2</v>
      </c>
      <c r="U103">
        <v>2</v>
      </c>
    </row>
    <row r="104" spans="11:21">
      <c r="K104">
        <v>30</v>
      </c>
      <c r="M104">
        <v>3</v>
      </c>
      <c r="N104">
        <v>1</v>
      </c>
      <c r="O104">
        <v>13</v>
      </c>
      <c r="P104">
        <v>23</v>
      </c>
      <c r="Q104">
        <v>3</v>
      </c>
      <c r="R104">
        <v>18</v>
      </c>
      <c r="S104">
        <v>20</v>
      </c>
      <c r="T104">
        <v>3</v>
      </c>
      <c r="U104">
        <v>1</v>
      </c>
    </row>
    <row r="105" spans="11:21">
      <c r="K105">
        <v>31</v>
      </c>
      <c r="M105">
        <v>6</v>
      </c>
      <c r="N105">
        <v>11</v>
      </c>
      <c r="O105">
        <v>14</v>
      </c>
      <c r="P105">
        <v>17</v>
      </c>
      <c r="Q105">
        <v>5</v>
      </c>
      <c r="R105">
        <v>2</v>
      </c>
      <c r="S105">
        <v>1</v>
      </c>
      <c r="T105">
        <v>1</v>
      </c>
      <c r="U105">
        <v>3</v>
      </c>
    </row>
    <row r="106" spans="11:21">
      <c r="K106">
        <v>32</v>
      </c>
      <c r="M106">
        <v>4</v>
      </c>
      <c r="N106">
        <v>5</v>
      </c>
      <c r="O106">
        <v>9</v>
      </c>
      <c r="P106">
        <v>3</v>
      </c>
      <c r="Q106">
        <v>8</v>
      </c>
      <c r="R106">
        <v>1</v>
      </c>
      <c r="S106">
        <v>7</v>
      </c>
      <c r="T106">
        <v>1</v>
      </c>
      <c r="U106">
        <v>1</v>
      </c>
    </row>
    <row r="107" spans="11:21">
      <c r="L107" t="e">
        <f t="shared" ref="L107:O107" si="23">AVERAGE(L75:L106)</f>
        <v>#DIV/0!</v>
      </c>
      <c r="M107">
        <f t="shared" si="23"/>
        <v>6.166666666666667</v>
      </c>
      <c r="N107">
        <f t="shared" si="23"/>
        <v>7.53125</v>
      </c>
      <c r="O107">
        <f t="shared" si="23"/>
        <v>8.09375</v>
      </c>
      <c r="P107">
        <f>AVERAGE(P75:P106)</f>
        <v>8.46875</v>
      </c>
      <c r="Q107">
        <f t="shared" ref="Q107:U107" si="24">AVERAGE(Q75:Q106)</f>
        <v>6.4375</v>
      </c>
      <c r="R107">
        <f t="shared" si="24"/>
        <v>4.8125</v>
      </c>
      <c r="S107">
        <f t="shared" si="24"/>
        <v>3.84375</v>
      </c>
      <c r="T107">
        <f t="shared" si="24"/>
        <v>2.9375</v>
      </c>
      <c r="U107">
        <f t="shared" si="24"/>
        <v>1.96875</v>
      </c>
    </row>
    <row r="108" spans="11:21">
      <c r="L108" t="e">
        <f t="shared" ref="L108" si="25">STDEV(L75:L106)</f>
        <v>#DIV/0!</v>
      </c>
      <c r="M108">
        <f>2*STDEV(M75:M106)/SQRT(32)</f>
        <v>1.4505745987941008</v>
      </c>
      <c r="N108">
        <f t="shared" ref="N108:U108" si="26">2*STDEV(N75:N106)/SQRT(32)</f>
        <v>1.7982616493929406</v>
      </c>
      <c r="O108">
        <f t="shared" si="26"/>
        <v>1.9804678801216513</v>
      </c>
      <c r="P108">
        <f t="shared" si="26"/>
        <v>2.0536835022513458</v>
      </c>
      <c r="Q108">
        <f t="shared" si="26"/>
        <v>1.90275161533959</v>
      </c>
      <c r="R108">
        <f t="shared" si="26"/>
        <v>1.7970349683351614</v>
      </c>
      <c r="S108">
        <f t="shared" si="26"/>
        <v>1.6634335239827522</v>
      </c>
      <c r="T108">
        <f t="shared" si="26"/>
        <v>0.99570650877299338</v>
      </c>
      <c r="U108">
        <f t="shared" si="26"/>
        <v>0.62530234622424719</v>
      </c>
    </row>
    <row r="110" spans="11:21">
      <c r="L110" t="e">
        <f t="shared" ref="L110:M110" si="27">AVERAGE(L75:L90)</f>
        <v>#DIV/0!</v>
      </c>
      <c r="M110">
        <f t="shared" si="27"/>
        <v>7</v>
      </c>
      <c r="N110">
        <f>AVERAGE(N75:N90)</f>
        <v>6</v>
      </c>
      <c r="O110">
        <f>AVERAGE(O75:O90)</f>
        <v>8.0625</v>
      </c>
      <c r="P110">
        <f t="shared" ref="P110:U110" si="28">AVERAGE(P75:P90)</f>
        <v>6.9375</v>
      </c>
      <c r="Q110">
        <f t="shared" si="28"/>
        <v>7.9375</v>
      </c>
      <c r="R110">
        <f t="shared" si="28"/>
        <v>5</v>
      </c>
      <c r="S110">
        <f t="shared" si="28"/>
        <v>3.75</v>
      </c>
      <c r="T110">
        <f t="shared" si="28"/>
        <v>3.1875</v>
      </c>
      <c r="U110">
        <f t="shared" si="28"/>
        <v>1.625</v>
      </c>
    </row>
    <row r="111" spans="11:21">
      <c r="L111" t="e">
        <f t="shared" ref="L111:M111" si="29">AVERAGE(L91:L106)</f>
        <v>#DIV/0!</v>
      </c>
      <c r="M111">
        <f t="shared" si="29"/>
        <v>5.2142857142857144</v>
      </c>
      <c r="N111">
        <f>AVERAGE(N91:N106)</f>
        <v>9.0625</v>
      </c>
      <c r="O111">
        <f>AVERAGE(O91:O106)</f>
        <v>8.125</v>
      </c>
      <c r="P111">
        <f t="shared" ref="P111:U111" si="30">AVERAGE(P91:P106)</f>
        <v>10</v>
      </c>
      <c r="Q111">
        <f t="shared" si="30"/>
        <v>4.9375</v>
      </c>
      <c r="R111">
        <f t="shared" si="30"/>
        <v>4.625</v>
      </c>
      <c r="S111">
        <f t="shared" si="30"/>
        <v>3.9375</v>
      </c>
      <c r="T111">
        <f t="shared" si="30"/>
        <v>2.6875</v>
      </c>
      <c r="U111">
        <f t="shared" si="30"/>
        <v>2.3125</v>
      </c>
    </row>
    <row r="113" spans="10:20">
      <c r="J113" t="s">
        <v>15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</row>
    <row r="114" spans="10:20">
      <c r="N114">
        <v>1</v>
      </c>
      <c r="O114">
        <v>1</v>
      </c>
      <c r="P114">
        <v>2</v>
      </c>
      <c r="Q114">
        <v>1</v>
      </c>
      <c r="R114">
        <v>1</v>
      </c>
      <c r="S114">
        <v>1</v>
      </c>
      <c r="T114">
        <v>1</v>
      </c>
    </row>
    <row r="115" spans="10:20">
      <c r="N115">
        <v>2</v>
      </c>
      <c r="O115">
        <v>2</v>
      </c>
      <c r="P115">
        <v>2</v>
      </c>
      <c r="Q115">
        <v>1</v>
      </c>
      <c r="R115">
        <v>1</v>
      </c>
      <c r="S115">
        <v>1</v>
      </c>
      <c r="T115">
        <v>1</v>
      </c>
    </row>
    <row r="116" spans="10:20">
      <c r="N116">
        <v>2</v>
      </c>
      <c r="O116">
        <v>2</v>
      </c>
      <c r="P116">
        <v>3</v>
      </c>
      <c r="Q116">
        <v>2</v>
      </c>
      <c r="R116">
        <v>1</v>
      </c>
      <c r="S116">
        <v>1</v>
      </c>
      <c r="T116">
        <v>1</v>
      </c>
    </row>
    <row r="117" spans="10:20">
      <c r="N117">
        <v>3</v>
      </c>
      <c r="O117">
        <v>2</v>
      </c>
      <c r="P117">
        <v>3</v>
      </c>
      <c r="Q117">
        <v>2</v>
      </c>
      <c r="R117">
        <v>1</v>
      </c>
      <c r="S117">
        <v>1</v>
      </c>
      <c r="T117">
        <v>1</v>
      </c>
    </row>
    <row r="118" spans="10:20">
      <c r="N118">
        <v>3</v>
      </c>
      <c r="O118">
        <v>3</v>
      </c>
      <c r="P118">
        <v>3</v>
      </c>
      <c r="Q118">
        <v>2</v>
      </c>
      <c r="R118">
        <v>1</v>
      </c>
      <c r="S118">
        <v>1</v>
      </c>
      <c r="T118">
        <v>1</v>
      </c>
    </row>
    <row r="119" spans="10:20">
      <c r="N119">
        <v>3</v>
      </c>
      <c r="O119" s="9">
        <v>3</v>
      </c>
      <c r="P119">
        <v>3</v>
      </c>
      <c r="Q119">
        <v>2</v>
      </c>
      <c r="R119">
        <v>1</v>
      </c>
      <c r="S119">
        <v>1</v>
      </c>
      <c r="T119">
        <v>1</v>
      </c>
    </row>
    <row r="120" spans="10:20">
      <c r="N120">
        <v>3</v>
      </c>
      <c r="O120">
        <v>3</v>
      </c>
      <c r="P120">
        <v>3</v>
      </c>
      <c r="Q120">
        <v>3</v>
      </c>
      <c r="R120">
        <v>1</v>
      </c>
      <c r="S120">
        <v>1</v>
      </c>
      <c r="T120">
        <v>1</v>
      </c>
    </row>
    <row r="121" spans="10:20">
      <c r="N121">
        <v>3</v>
      </c>
      <c r="O121">
        <v>3</v>
      </c>
      <c r="P121">
        <v>4</v>
      </c>
      <c r="Q121">
        <v>3</v>
      </c>
      <c r="R121">
        <v>1</v>
      </c>
      <c r="S121">
        <v>1</v>
      </c>
      <c r="T121">
        <v>1</v>
      </c>
    </row>
    <row r="122" spans="10:20">
      <c r="N122">
        <v>4</v>
      </c>
      <c r="O122">
        <v>4</v>
      </c>
      <c r="P122">
        <v>5</v>
      </c>
      <c r="Q122">
        <v>3</v>
      </c>
      <c r="R122">
        <v>1</v>
      </c>
      <c r="S122">
        <v>1</v>
      </c>
      <c r="T122">
        <v>1</v>
      </c>
    </row>
    <row r="123" spans="10:20">
      <c r="N123">
        <v>5</v>
      </c>
      <c r="O123">
        <v>4</v>
      </c>
      <c r="P123">
        <v>5</v>
      </c>
      <c r="Q123">
        <v>3</v>
      </c>
      <c r="R123">
        <v>1</v>
      </c>
      <c r="S123">
        <v>1</v>
      </c>
      <c r="T123">
        <v>1</v>
      </c>
    </row>
    <row r="124" spans="10:20">
      <c r="N124">
        <v>5</v>
      </c>
      <c r="O124">
        <v>4</v>
      </c>
      <c r="P124">
        <v>5</v>
      </c>
      <c r="Q124">
        <v>3</v>
      </c>
      <c r="R124">
        <v>1</v>
      </c>
      <c r="S124">
        <v>1</v>
      </c>
      <c r="T124">
        <v>1</v>
      </c>
    </row>
    <row r="125" spans="10:20">
      <c r="N125">
        <v>5</v>
      </c>
      <c r="O125" s="9">
        <v>5</v>
      </c>
      <c r="P125">
        <v>5</v>
      </c>
      <c r="Q125">
        <v>4</v>
      </c>
      <c r="R125">
        <v>2</v>
      </c>
      <c r="S125">
        <v>1</v>
      </c>
      <c r="T125">
        <v>1</v>
      </c>
    </row>
    <row r="126" spans="10:20">
      <c r="N126">
        <v>5</v>
      </c>
      <c r="O126">
        <v>6</v>
      </c>
      <c r="P126">
        <v>6</v>
      </c>
      <c r="Q126" s="9">
        <v>4</v>
      </c>
      <c r="R126">
        <v>2</v>
      </c>
      <c r="S126">
        <v>1</v>
      </c>
      <c r="T126">
        <v>2</v>
      </c>
    </row>
    <row r="127" spans="10:20">
      <c r="N127">
        <v>5</v>
      </c>
      <c r="O127">
        <v>6</v>
      </c>
      <c r="P127">
        <v>6</v>
      </c>
      <c r="Q127">
        <v>4</v>
      </c>
      <c r="R127">
        <v>2</v>
      </c>
      <c r="S127">
        <v>1</v>
      </c>
      <c r="T127">
        <v>2</v>
      </c>
    </row>
    <row r="128" spans="10:20">
      <c r="N128">
        <v>6</v>
      </c>
      <c r="O128">
        <v>6</v>
      </c>
      <c r="P128">
        <v>7</v>
      </c>
      <c r="Q128">
        <v>4</v>
      </c>
      <c r="R128">
        <v>2</v>
      </c>
      <c r="S128">
        <v>1</v>
      </c>
      <c r="T128">
        <v>2</v>
      </c>
    </row>
    <row r="129" spans="14:20">
      <c r="N129">
        <v>7</v>
      </c>
      <c r="O129">
        <v>7</v>
      </c>
      <c r="P129">
        <v>8</v>
      </c>
      <c r="Q129">
        <v>5</v>
      </c>
      <c r="R129">
        <v>3</v>
      </c>
      <c r="S129">
        <v>1</v>
      </c>
      <c r="T129">
        <v>2</v>
      </c>
    </row>
    <row r="130" spans="14:20">
      <c r="N130">
        <v>7</v>
      </c>
      <c r="O130">
        <v>8</v>
      </c>
      <c r="P130">
        <v>8</v>
      </c>
      <c r="Q130">
        <v>5</v>
      </c>
      <c r="R130">
        <v>3</v>
      </c>
      <c r="S130">
        <v>1</v>
      </c>
      <c r="T130">
        <v>2</v>
      </c>
    </row>
    <row r="131" spans="14:20">
      <c r="N131">
        <v>8</v>
      </c>
      <c r="O131">
        <v>9</v>
      </c>
      <c r="P131">
        <v>9</v>
      </c>
      <c r="Q131">
        <v>6</v>
      </c>
      <c r="R131">
        <v>3</v>
      </c>
      <c r="S131">
        <v>2</v>
      </c>
      <c r="T131">
        <v>2</v>
      </c>
    </row>
    <row r="132" spans="14:20">
      <c r="N132">
        <v>8</v>
      </c>
      <c r="O132">
        <v>9</v>
      </c>
      <c r="P132">
        <v>9</v>
      </c>
      <c r="Q132">
        <v>6</v>
      </c>
      <c r="R132">
        <v>4</v>
      </c>
      <c r="S132">
        <v>2</v>
      </c>
      <c r="T132">
        <v>3</v>
      </c>
    </row>
    <row r="133" spans="14:20">
      <c r="N133">
        <v>9</v>
      </c>
      <c r="O133">
        <v>10</v>
      </c>
      <c r="P133">
        <v>9</v>
      </c>
      <c r="Q133">
        <v>6</v>
      </c>
      <c r="R133">
        <v>5</v>
      </c>
      <c r="S133">
        <v>2</v>
      </c>
      <c r="T133">
        <v>3</v>
      </c>
    </row>
    <row r="134" spans="14:20">
      <c r="N134">
        <v>9</v>
      </c>
      <c r="O134" s="9">
        <v>11</v>
      </c>
      <c r="P134">
        <v>9</v>
      </c>
      <c r="Q134">
        <v>7</v>
      </c>
      <c r="R134">
        <v>6</v>
      </c>
      <c r="S134">
        <v>3</v>
      </c>
      <c r="T134">
        <v>3</v>
      </c>
    </row>
    <row r="135" spans="14:20">
      <c r="N135">
        <v>10</v>
      </c>
      <c r="O135">
        <v>12</v>
      </c>
      <c r="P135">
        <v>10</v>
      </c>
      <c r="Q135">
        <v>8</v>
      </c>
      <c r="R135">
        <v>6</v>
      </c>
      <c r="S135">
        <v>4</v>
      </c>
      <c r="T135">
        <v>3</v>
      </c>
    </row>
    <row r="136" spans="14:20">
      <c r="N136">
        <v>11</v>
      </c>
      <c r="O136">
        <v>13</v>
      </c>
      <c r="P136">
        <v>11</v>
      </c>
      <c r="Q136">
        <v>9</v>
      </c>
      <c r="R136">
        <v>7</v>
      </c>
      <c r="S136">
        <v>6</v>
      </c>
      <c r="T136">
        <v>3</v>
      </c>
    </row>
    <row r="137" spans="14:20">
      <c r="N137">
        <v>11</v>
      </c>
      <c r="O137">
        <v>13</v>
      </c>
      <c r="P137">
        <v>12</v>
      </c>
      <c r="Q137">
        <v>10</v>
      </c>
      <c r="R137">
        <v>7</v>
      </c>
      <c r="S137">
        <v>7</v>
      </c>
      <c r="T137">
        <v>3</v>
      </c>
    </row>
    <row r="138" spans="14:20">
      <c r="N138">
        <v>11</v>
      </c>
      <c r="O138">
        <v>13</v>
      </c>
      <c r="P138">
        <v>13</v>
      </c>
      <c r="Q138">
        <v>10</v>
      </c>
      <c r="R138">
        <v>8</v>
      </c>
      <c r="S138">
        <v>7</v>
      </c>
      <c r="T138">
        <v>4</v>
      </c>
    </row>
    <row r="139" spans="14:20">
      <c r="N139">
        <v>12</v>
      </c>
      <c r="O139">
        <v>13</v>
      </c>
      <c r="P139">
        <v>15</v>
      </c>
      <c r="Q139">
        <v>10</v>
      </c>
      <c r="R139">
        <v>8</v>
      </c>
      <c r="S139">
        <v>7</v>
      </c>
      <c r="T139">
        <v>4</v>
      </c>
    </row>
    <row r="140" spans="14:20">
      <c r="N140">
        <v>12</v>
      </c>
      <c r="O140">
        <v>14</v>
      </c>
      <c r="P140">
        <v>16</v>
      </c>
      <c r="Q140">
        <v>11</v>
      </c>
      <c r="R140">
        <v>10</v>
      </c>
      <c r="S140">
        <v>8</v>
      </c>
      <c r="T140">
        <v>5</v>
      </c>
    </row>
    <row r="141" spans="14:20">
      <c r="N141">
        <v>14</v>
      </c>
      <c r="O141">
        <v>14</v>
      </c>
      <c r="P141">
        <v>17</v>
      </c>
      <c r="Q141">
        <v>12</v>
      </c>
      <c r="R141">
        <v>12</v>
      </c>
      <c r="S141">
        <v>12</v>
      </c>
      <c r="T141">
        <v>7</v>
      </c>
    </row>
    <row r="142" spans="14:20">
      <c r="N142">
        <v>17</v>
      </c>
      <c r="O142">
        <v>17</v>
      </c>
      <c r="P142">
        <v>18</v>
      </c>
      <c r="Q142">
        <v>17</v>
      </c>
      <c r="R142">
        <v>16</v>
      </c>
      <c r="S142">
        <v>12</v>
      </c>
      <c r="T142">
        <v>9</v>
      </c>
    </row>
    <row r="143" spans="14:20">
      <c r="N143">
        <v>19</v>
      </c>
      <c r="O143">
        <v>20</v>
      </c>
      <c r="P143">
        <v>21</v>
      </c>
      <c r="Q143">
        <v>19</v>
      </c>
      <c r="R143">
        <v>18</v>
      </c>
      <c r="S143">
        <v>13</v>
      </c>
      <c r="T143">
        <v>10</v>
      </c>
    </row>
    <row r="144" spans="14:20">
      <c r="N144">
        <v>20</v>
      </c>
      <c r="O144">
        <v>21</v>
      </c>
      <c r="P144">
        <v>23</v>
      </c>
      <c r="Q144">
        <v>23</v>
      </c>
      <c r="R144">
        <v>18</v>
      </c>
      <c r="S144">
        <v>20</v>
      </c>
      <c r="T144">
        <v>12</v>
      </c>
    </row>
    <row r="145" spans="11:21">
      <c r="K145" s="14" t="s">
        <v>16</v>
      </c>
      <c r="L145" s="12"/>
      <c r="M145" s="12"/>
      <c r="N145" s="12">
        <f>COUNT(N113:N127)</f>
        <v>15</v>
      </c>
      <c r="O145" s="12">
        <f>COUNT(O113:O125)</f>
        <v>13</v>
      </c>
      <c r="P145" s="12">
        <f>COUNT(P113:P125)</f>
        <v>13</v>
      </c>
      <c r="Q145" s="12">
        <f>COUNT(Q113:Q130)</f>
        <v>18</v>
      </c>
      <c r="R145" s="12">
        <f>COUNT(R113:R133)</f>
        <v>21</v>
      </c>
      <c r="S145" s="12">
        <f>COUNT(S113:S135)</f>
        <v>23</v>
      </c>
      <c r="T145" s="12">
        <f>COUNT(T113:T140)</f>
        <v>28</v>
      </c>
      <c r="U145" s="12"/>
    </row>
    <row r="146" spans="11:21">
      <c r="K146" s="13" t="s">
        <v>20</v>
      </c>
      <c r="N146" s="8">
        <f>COUNT(N128:N135)</f>
        <v>8</v>
      </c>
      <c r="O146" s="8">
        <f>COUNT(O126:O133)</f>
        <v>8</v>
      </c>
      <c r="P146" s="8">
        <f>COUNT(P126:P135)</f>
        <v>10</v>
      </c>
      <c r="Q146" s="8">
        <f>COUNT(Q131:Q139)</f>
        <v>9</v>
      </c>
      <c r="R146" s="8">
        <f>COUNT(R134:R140)</f>
        <v>7</v>
      </c>
      <c r="S146" s="8">
        <f>COUNT(S136:S140)</f>
        <v>5</v>
      </c>
      <c r="T146" s="8">
        <f>COUNT(T141:T143)</f>
        <v>3</v>
      </c>
    </row>
    <row r="147" spans="11:21">
      <c r="K147" s="13" t="s">
        <v>19</v>
      </c>
      <c r="N147" s="8">
        <f>COUNT(N136:N141)</f>
        <v>6</v>
      </c>
      <c r="O147" s="8">
        <f>COUNT(O134:O141)</f>
        <v>8</v>
      </c>
      <c r="P147" s="8">
        <f>COUNT(P136:P139)</f>
        <v>4</v>
      </c>
      <c r="Q147" s="8">
        <f>COUNT(Q140:Q143)</f>
        <v>4</v>
      </c>
      <c r="R147" s="8">
        <f>COUNT(R141)</f>
        <v>1</v>
      </c>
      <c r="S147" s="8">
        <f>COUNT(S141:S143)</f>
        <v>3</v>
      </c>
      <c r="T147" s="8">
        <f>COUNT(T144)</f>
        <v>1</v>
      </c>
    </row>
    <row r="148" spans="11:21">
      <c r="K148" s="14" t="s">
        <v>17</v>
      </c>
      <c r="N148" s="8">
        <f>COUNT(N142:N144)</f>
        <v>3</v>
      </c>
      <c r="O148" s="8">
        <f>COUNT(O142:O143)</f>
        <v>2</v>
      </c>
      <c r="P148" s="8">
        <f>COUNT(P140:P142)</f>
        <v>3</v>
      </c>
      <c r="Q148" s="8">
        <f>COUNT(Q140:Q142)</f>
        <v>3</v>
      </c>
      <c r="R148" s="8">
        <f>COUNT(R142:R144)</f>
        <v>3</v>
      </c>
      <c r="S148" s="8">
        <f>COUNT(S144)</f>
        <v>1</v>
      </c>
      <c r="T148" s="8">
        <v>0</v>
      </c>
    </row>
    <row r="149" spans="11:21">
      <c r="K149" s="14" t="s">
        <v>18</v>
      </c>
      <c r="N149" s="8">
        <v>0</v>
      </c>
      <c r="O149" s="8">
        <f>COUNT(O144)</f>
        <v>1</v>
      </c>
      <c r="P149" s="8">
        <f>COUNT(P143:P144)</f>
        <v>2</v>
      </c>
      <c r="Q149" s="8">
        <f>COUNT(Q144)</f>
        <v>1</v>
      </c>
      <c r="R149" s="8">
        <v>0</v>
      </c>
      <c r="S149" s="8">
        <v>0</v>
      </c>
      <c r="T149" s="8">
        <v>0</v>
      </c>
    </row>
  </sheetData>
  <sortState ref="T113:T144">
    <sortCondition ref="T113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showRuler="0" zoomScale="75" zoomScaleNormal="75" zoomScalePageLayoutView="75" workbookViewId="0">
      <selection activeCell="J34" sqref="J34"/>
    </sheetView>
  </sheetViews>
  <sheetFormatPr baseColWidth="10" defaultColWidth="11" defaultRowHeight="15" x14ac:dyDescent="0"/>
  <sheetData>
    <row r="1" spans="1:10">
      <c r="B1" s="10">
        <v>2</v>
      </c>
      <c r="C1" s="10">
        <v>3</v>
      </c>
      <c r="D1" s="10">
        <v>4</v>
      </c>
      <c r="E1" s="10">
        <v>5</v>
      </c>
      <c r="F1" s="10">
        <v>6</v>
      </c>
      <c r="G1" s="10">
        <v>7</v>
      </c>
      <c r="H1" s="10">
        <v>8</v>
      </c>
      <c r="I1" s="10">
        <v>9</v>
      </c>
      <c r="J1" s="10">
        <v>10</v>
      </c>
    </row>
    <row r="2" spans="1:10">
      <c r="A2">
        <v>1</v>
      </c>
      <c r="B2">
        <v>1</v>
      </c>
      <c r="C2">
        <v>1</v>
      </c>
      <c r="D2">
        <v>5</v>
      </c>
      <c r="E2">
        <v>8</v>
      </c>
      <c r="F2">
        <v>7</v>
      </c>
      <c r="G2">
        <v>1</v>
      </c>
      <c r="H2">
        <v>1</v>
      </c>
      <c r="I2">
        <v>8</v>
      </c>
      <c r="J2">
        <v>1</v>
      </c>
    </row>
    <row r="3" spans="1:10">
      <c r="A3">
        <v>2</v>
      </c>
      <c r="B3">
        <v>1</v>
      </c>
      <c r="C3">
        <v>5</v>
      </c>
      <c r="D3">
        <v>3</v>
      </c>
      <c r="E3">
        <v>2</v>
      </c>
      <c r="F3">
        <v>8</v>
      </c>
      <c r="G3">
        <v>8</v>
      </c>
      <c r="H3">
        <v>2</v>
      </c>
      <c r="I3">
        <v>5</v>
      </c>
      <c r="J3">
        <v>5</v>
      </c>
    </row>
    <row r="4" spans="1:10">
      <c r="A4">
        <v>3</v>
      </c>
      <c r="C4">
        <v>13</v>
      </c>
      <c r="D4">
        <v>4</v>
      </c>
      <c r="E4">
        <v>11</v>
      </c>
      <c r="F4">
        <v>16</v>
      </c>
      <c r="G4">
        <v>5</v>
      </c>
      <c r="H4">
        <v>3</v>
      </c>
      <c r="I4">
        <v>29</v>
      </c>
      <c r="J4">
        <v>10</v>
      </c>
    </row>
    <row r="5" spans="1:10">
      <c r="A5">
        <v>4</v>
      </c>
      <c r="C5">
        <v>12</v>
      </c>
      <c r="D5">
        <v>6</v>
      </c>
      <c r="E5">
        <v>16</v>
      </c>
      <c r="F5">
        <v>30</v>
      </c>
      <c r="G5">
        <v>21</v>
      </c>
      <c r="H5">
        <v>15</v>
      </c>
      <c r="I5">
        <v>2</v>
      </c>
      <c r="J5">
        <v>2</v>
      </c>
    </row>
    <row r="6" spans="1:10">
      <c r="A6">
        <v>5</v>
      </c>
      <c r="C6">
        <v>20</v>
      </c>
      <c r="D6">
        <v>3</v>
      </c>
      <c r="E6">
        <v>9</v>
      </c>
      <c r="F6">
        <v>17</v>
      </c>
      <c r="G6">
        <v>14</v>
      </c>
      <c r="H6">
        <v>15</v>
      </c>
      <c r="I6">
        <v>1</v>
      </c>
      <c r="J6">
        <v>21</v>
      </c>
    </row>
    <row r="7" spans="1:10">
      <c r="A7">
        <v>6</v>
      </c>
      <c r="C7">
        <v>8</v>
      </c>
      <c r="D7">
        <v>24</v>
      </c>
      <c r="E7">
        <v>8</v>
      </c>
      <c r="F7">
        <v>3</v>
      </c>
      <c r="G7">
        <v>13</v>
      </c>
      <c r="H7">
        <v>3</v>
      </c>
      <c r="I7">
        <v>2</v>
      </c>
      <c r="J7">
        <v>1</v>
      </c>
    </row>
    <row r="8" spans="1:10">
      <c r="A8">
        <v>7</v>
      </c>
      <c r="C8">
        <v>4</v>
      </c>
      <c r="D8">
        <v>8</v>
      </c>
      <c r="E8">
        <v>12</v>
      </c>
      <c r="F8">
        <v>8</v>
      </c>
      <c r="G8">
        <v>3</v>
      </c>
      <c r="H8">
        <v>4</v>
      </c>
      <c r="I8">
        <v>1</v>
      </c>
      <c r="J8">
        <v>16</v>
      </c>
    </row>
    <row r="9" spans="1:10">
      <c r="A9">
        <v>8</v>
      </c>
      <c r="C9">
        <v>22</v>
      </c>
      <c r="D9">
        <v>3</v>
      </c>
      <c r="E9">
        <v>5</v>
      </c>
      <c r="F9">
        <v>1</v>
      </c>
      <c r="G9">
        <v>5</v>
      </c>
      <c r="H9">
        <v>8</v>
      </c>
      <c r="I9">
        <v>8</v>
      </c>
      <c r="J9">
        <v>20</v>
      </c>
    </row>
    <row r="10" spans="1:10">
      <c r="A10">
        <v>9</v>
      </c>
      <c r="C10">
        <v>12</v>
      </c>
      <c r="D10">
        <v>10</v>
      </c>
      <c r="E10">
        <v>3</v>
      </c>
      <c r="F10">
        <v>21</v>
      </c>
      <c r="G10">
        <v>6</v>
      </c>
      <c r="H10">
        <v>17</v>
      </c>
      <c r="I10">
        <v>2</v>
      </c>
      <c r="J10">
        <v>1</v>
      </c>
    </row>
    <row r="11" spans="1:10">
      <c r="A11">
        <v>10</v>
      </c>
      <c r="C11">
        <v>6</v>
      </c>
      <c r="D11">
        <v>14</v>
      </c>
      <c r="E11">
        <v>6</v>
      </c>
      <c r="F11">
        <v>3</v>
      </c>
      <c r="G11">
        <v>12</v>
      </c>
      <c r="H11">
        <v>2</v>
      </c>
      <c r="I11">
        <v>10</v>
      </c>
      <c r="J11">
        <v>10</v>
      </c>
    </row>
    <row r="12" spans="1:10">
      <c r="A12">
        <v>11</v>
      </c>
      <c r="C12">
        <v>6</v>
      </c>
      <c r="D12">
        <v>5</v>
      </c>
      <c r="E12">
        <v>4</v>
      </c>
      <c r="F12">
        <v>15</v>
      </c>
      <c r="G12">
        <v>1</v>
      </c>
      <c r="H12">
        <v>5</v>
      </c>
      <c r="I12">
        <v>13</v>
      </c>
      <c r="J12">
        <v>9</v>
      </c>
    </row>
    <row r="13" spans="1:10">
      <c r="A13">
        <v>12</v>
      </c>
      <c r="C13">
        <v>3</v>
      </c>
      <c r="D13">
        <v>10</v>
      </c>
      <c r="E13">
        <v>4</v>
      </c>
      <c r="F13">
        <v>7</v>
      </c>
      <c r="G13">
        <v>16</v>
      </c>
      <c r="H13">
        <v>5</v>
      </c>
      <c r="I13">
        <v>6</v>
      </c>
      <c r="J13">
        <v>12</v>
      </c>
    </row>
    <row r="14" spans="1:10">
      <c r="A14">
        <v>13</v>
      </c>
      <c r="C14">
        <v>10</v>
      </c>
      <c r="D14">
        <v>8</v>
      </c>
      <c r="E14">
        <v>9</v>
      </c>
      <c r="F14">
        <v>14</v>
      </c>
      <c r="G14">
        <v>2</v>
      </c>
      <c r="H14">
        <v>1</v>
      </c>
      <c r="I14">
        <v>6</v>
      </c>
      <c r="J14">
        <v>5</v>
      </c>
    </row>
    <row r="15" spans="1:10">
      <c r="A15">
        <v>14</v>
      </c>
      <c r="C15">
        <v>5</v>
      </c>
      <c r="D15">
        <v>4</v>
      </c>
      <c r="E15">
        <v>62</v>
      </c>
      <c r="F15">
        <v>6</v>
      </c>
      <c r="G15">
        <v>6</v>
      </c>
      <c r="H15">
        <v>5</v>
      </c>
      <c r="I15">
        <v>1</v>
      </c>
      <c r="J15">
        <v>9</v>
      </c>
    </row>
    <row r="16" spans="1:10">
      <c r="A16">
        <v>15</v>
      </c>
      <c r="C16">
        <v>7</v>
      </c>
      <c r="D16">
        <v>10</v>
      </c>
      <c r="E16">
        <v>1</v>
      </c>
      <c r="F16">
        <v>13</v>
      </c>
      <c r="G16">
        <v>4</v>
      </c>
      <c r="H16">
        <v>12</v>
      </c>
      <c r="I16">
        <v>1</v>
      </c>
      <c r="J16">
        <v>4</v>
      </c>
    </row>
    <row r="17" spans="1:10">
      <c r="A17">
        <v>16</v>
      </c>
      <c r="C17">
        <v>5</v>
      </c>
      <c r="D17">
        <v>6</v>
      </c>
      <c r="E17">
        <v>6</v>
      </c>
      <c r="F17">
        <v>7</v>
      </c>
      <c r="G17">
        <v>5</v>
      </c>
      <c r="H17">
        <v>1</v>
      </c>
      <c r="I17">
        <v>4</v>
      </c>
      <c r="J17">
        <v>8</v>
      </c>
    </row>
    <row r="18" spans="1:10">
      <c r="A18">
        <v>17</v>
      </c>
      <c r="J18">
        <v>6</v>
      </c>
    </row>
    <row r="19" spans="1:10">
      <c r="A19">
        <v>18</v>
      </c>
      <c r="J19">
        <v>13</v>
      </c>
    </row>
    <row r="20" spans="1:10">
      <c r="A20">
        <v>19</v>
      </c>
      <c r="J20">
        <v>4</v>
      </c>
    </row>
    <row r="21" spans="1:10">
      <c r="A21">
        <v>20</v>
      </c>
      <c r="J21">
        <v>2</v>
      </c>
    </row>
    <row r="22" spans="1:10">
      <c r="A22">
        <v>21</v>
      </c>
      <c r="J22">
        <v>6</v>
      </c>
    </row>
    <row r="23" spans="1:10">
      <c r="A23">
        <v>22</v>
      </c>
      <c r="J23">
        <v>1</v>
      </c>
    </row>
    <row r="24" spans="1:10">
      <c r="A24">
        <v>23</v>
      </c>
      <c r="J24">
        <v>9</v>
      </c>
    </row>
    <row r="25" spans="1:10">
      <c r="A25">
        <v>24</v>
      </c>
      <c r="J25">
        <v>2</v>
      </c>
    </row>
    <row r="26" spans="1:10">
      <c r="A26">
        <v>25</v>
      </c>
      <c r="J26">
        <v>9</v>
      </c>
    </row>
    <row r="27" spans="1:10">
      <c r="A27">
        <v>26</v>
      </c>
      <c r="J27">
        <v>33</v>
      </c>
    </row>
    <row r="28" spans="1:10">
      <c r="A28">
        <v>27</v>
      </c>
      <c r="J28">
        <v>4</v>
      </c>
    </row>
    <row r="29" spans="1:10">
      <c r="A29">
        <v>28</v>
      </c>
      <c r="J29">
        <v>1</v>
      </c>
    </row>
    <row r="30" spans="1:10">
      <c r="A30">
        <v>29</v>
      </c>
      <c r="J30">
        <v>4</v>
      </c>
    </row>
    <row r="31" spans="1:10">
      <c r="A31">
        <v>30</v>
      </c>
      <c r="J31">
        <v>13</v>
      </c>
    </row>
    <row r="32" spans="1:10">
      <c r="A32">
        <v>31</v>
      </c>
      <c r="J32">
        <v>1</v>
      </c>
    </row>
    <row r="33" spans="1:10">
      <c r="A33">
        <v>32</v>
      </c>
      <c r="J33">
        <v>1</v>
      </c>
    </row>
    <row r="34" spans="1:10">
      <c r="B34">
        <f>AVERAGE(B2:B17)</f>
        <v>1</v>
      </c>
      <c r="C34">
        <f>AVERAGE(C2:C33)</f>
        <v>8.6875</v>
      </c>
      <c r="D34">
        <f t="shared" ref="D34:J34" si="0">AVERAGE(D2:D33)</f>
        <v>7.6875</v>
      </c>
      <c r="E34">
        <f t="shared" si="0"/>
        <v>10.375</v>
      </c>
      <c r="F34">
        <f t="shared" si="0"/>
        <v>11</v>
      </c>
      <c r="G34">
        <f t="shared" si="0"/>
        <v>7.625</v>
      </c>
      <c r="H34">
        <f t="shared" si="0"/>
        <v>6.1875</v>
      </c>
      <c r="I34">
        <f t="shared" si="0"/>
        <v>6.1875</v>
      </c>
      <c r="J34">
        <f t="shared" si="0"/>
        <v>7.59375</v>
      </c>
    </row>
    <row r="35" spans="1:10">
      <c r="B35">
        <f>2*STDEV(B2:B33)/SQRT(COUNT(B2:B33))</f>
        <v>0</v>
      </c>
      <c r="C35">
        <f>2*STDEV(C2:C33)/SQRT(COUNT(C2:C33))</f>
        <v>2.9423275933632316</v>
      </c>
      <c r="D35">
        <f t="shared" ref="D35:J35" si="1">2*STDEV(D2:D33)/SQRT(COUNT(D2:D33))</f>
        <v>2.6939360917933199</v>
      </c>
      <c r="E35">
        <f t="shared" si="1"/>
        <v>7.1597835162803634</v>
      </c>
      <c r="F35">
        <f t="shared" si="1"/>
        <v>3.8078865529319543</v>
      </c>
      <c r="G35">
        <f t="shared" si="1"/>
        <v>2.9375443259067029</v>
      </c>
      <c r="H35">
        <f t="shared" si="1"/>
        <v>2.7520825447891881</v>
      </c>
      <c r="I35">
        <f t="shared" si="1"/>
        <v>3.5459777683078237</v>
      </c>
      <c r="J35">
        <f t="shared" si="1"/>
        <v>2.5524488162698615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showRuler="0" zoomScale="75" zoomScaleNormal="75" zoomScalePageLayoutView="75" workbookViewId="0">
      <selection activeCell="E23" sqref="E23"/>
    </sheetView>
  </sheetViews>
  <sheetFormatPr baseColWidth="10" defaultColWidth="11" defaultRowHeight="15" x14ac:dyDescent="0"/>
  <sheetData>
    <row r="1" spans="1:12">
      <c r="A1" t="s">
        <v>23</v>
      </c>
      <c r="B1" t="s">
        <v>24</v>
      </c>
    </row>
    <row r="2" spans="1:12">
      <c r="B2" s="10">
        <v>2</v>
      </c>
      <c r="C2" s="10">
        <v>3</v>
      </c>
      <c r="D2" s="10">
        <v>4</v>
      </c>
      <c r="E2" s="10">
        <v>5</v>
      </c>
      <c r="F2" s="10">
        <v>6</v>
      </c>
      <c r="G2" s="10">
        <v>7</v>
      </c>
      <c r="H2" s="10">
        <v>8</v>
      </c>
      <c r="I2" s="10">
        <v>9</v>
      </c>
      <c r="J2" s="10">
        <v>10</v>
      </c>
      <c r="K2" s="10">
        <v>12</v>
      </c>
      <c r="L2" s="10">
        <v>16</v>
      </c>
    </row>
    <row r="3" spans="1:12">
      <c r="A3">
        <v>1</v>
      </c>
      <c r="B3">
        <v>1</v>
      </c>
      <c r="C3">
        <v>11</v>
      </c>
      <c r="D3">
        <v>5</v>
      </c>
      <c r="E3">
        <v>18</v>
      </c>
      <c r="F3">
        <v>2</v>
      </c>
      <c r="G3">
        <v>14</v>
      </c>
      <c r="H3">
        <v>7</v>
      </c>
      <c r="I3">
        <v>12</v>
      </c>
      <c r="J3">
        <v>1</v>
      </c>
      <c r="K3">
        <v>1</v>
      </c>
    </row>
    <row r="4" spans="1:12">
      <c r="A4">
        <v>2</v>
      </c>
      <c r="B4">
        <v>1</v>
      </c>
      <c r="C4">
        <v>3</v>
      </c>
      <c r="D4">
        <v>5</v>
      </c>
      <c r="E4">
        <v>10</v>
      </c>
      <c r="F4">
        <v>20</v>
      </c>
      <c r="G4">
        <v>7</v>
      </c>
      <c r="H4">
        <v>3</v>
      </c>
      <c r="I4">
        <v>11</v>
      </c>
      <c r="J4">
        <v>5</v>
      </c>
      <c r="K4">
        <v>24</v>
      </c>
    </row>
    <row r="5" spans="1:12">
      <c r="A5">
        <v>3</v>
      </c>
      <c r="B5">
        <v>1</v>
      </c>
      <c r="C5">
        <v>12</v>
      </c>
      <c r="D5">
        <v>2</v>
      </c>
      <c r="E5">
        <v>11</v>
      </c>
      <c r="F5">
        <v>19</v>
      </c>
      <c r="G5">
        <v>7</v>
      </c>
      <c r="H5">
        <v>3</v>
      </c>
      <c r="I5">
        <v>11</v>
      </c>
      <c r="J5">
        <v>6</v>
      </c>
      <c r="K5">
        <v>1</v>
      </c>
    </row>
    <row r="6" spans="1:12">
      <c r="A6">
        <v>4</v>
      </c>
      <c r="B6">
        <v>1</v>
      </c>
      <c r="C6">
        <v>4</v>
      </c>
      <c r="D6">
        <v>7</v>
      </c>
      <c r="E6">
        <v>6</v>
      </c>
      <c r="F6">
        <v>10</v>
      </c>
      <c r="G6">
        <v>14</v>
      </c>
      <c r="H6">
        <v>15</v>
      </c>
      <c r="I6">
        <v>7</v>
      </c>
      <c r="J6">
        <v>1</v>
      </c>
      <c r="K6">
        <v>7</v>
      </c>
    </row>
    <row r="7" spans="1:12">
      <c r="A7">
        <v>5</v>
      </c>
      <c r="B7">
        <v>1</v>
      </c>
      <c r="C7">
        <v>14</v>
      </c>
      <c r="D7">
        <v>19</v>
      </c>
      <c r="E7">
        <v>11</v>
      </c>
      <c r="F7">
        <v>4</v>
      </c>
      <c r="G7">
        <v>10</v>
      </c>
      <c r="H7">
        <v>5</v>
      </c>
      <c r="I7">
        <v>12</v>
      </c>
      <c r="J7">
        <v>13</v>
      </c>
      <c r="K7">
        <v>24</v>
      </c>
    </row>
    <row r="8" spans="1:12">
      <c r="A8">
        <v>6</v>
      </c>
      <c r="B8">
        <v>1</v>
      </c>
      <c r="C8">
        <v>2</v>
      </c>
      <c r="D8">
        <v>3</v>
      </c>
      <c r="E8">
        <v>22</v>
      </c>
      <c r="F8">
        <v>5</v>
      </c>
      <c r="G8">
        <v>13</v>
      </c>
      <c r="H8">
        <v>5</v>
      </c>
      <c r="I8">
        <v>1</v>
      </c>
      <c r="J8">
        <v>5</v>
      </c>
      <c r="K8">
        <v>4</v>
      </c>
    </row>
    <row r="9" spans="1:12">
      <c r="A9">
        <v>7</v>
      </c>
      <c r="B9">
        <v>1</v>
      </c>
      <c r="C9">
        <v>12</v>
      </c>
      <c r="D9">
        <v>13</v>
      </c>
      <c r="E9">
        <v>15</v>
      </c>
      <c r="F9">
        <v>3</v>
      </c>
      <c r="G9">
        <v>15</v>
      </c>
      <c r="H9">
        <v>1</v>
      </c>
      <c r="I9">
        <v>3</v>
      </c>
      <c r="J9">
        <v>1</v>
      </c>
      <c r="K9">
        <v>8</v>
      </c>
    </row>
    <row r="10" spans="1:12">
      <c r="A10">
        <v>8</v>
      </c>
      <c r="B10">
        <v>1</v>
      </c>
      <c r="C10">
        <v>3</v>
      </c>
      <c r="D10">
        <v>6</v>
      </c>
      <c r="E10">
        <v>12</v>
      </c>
      <c r="F10">
        <v>2</v>
      </c>
      <c r="G10">
        <v>6</v>
      </c>
      <c r="H10">
        <v>4</v>
      </c>
      <c r="I10">
        <v>1</v>
      </c>
      <c r="J10">
        <v>6</v>
      </c>
      <c r="K10">
        <v>3</v>
      </c>
    </row>
    <row r="11" spans="1:12">
      <c r="A11">
        <v>9</v>
      </c>
      <c r="C11">
        <v>14</v>
      </c>
      <c r="D11">
        <v>25</v>
      </c>
      <c r="E11">
        <v>7</v>
      </c>
      <c r="F11">
        <v>20</v>
      </c>
      <c r="G11">
        <v>14</v>
      </c>
      <c r="H11">
        <v>15</v>
      </c>
      <c r="I11">
        <v>4</v>
      </c>
      <c r="J11">
        <v>6</v>
      </c>
      <c r="K11">
        <v>1</v>
      </c>
    </row>
    <row r="12" spans="1:12">
      <c r="A12">
        <v>10</v>
      </c>
      <c r="C12">
        <v>5</v>
      </c>
      <c r="D12">
        <v>10</v>
      </c>
      <c r="E12">
        <v>3</v>
      </c>
      <c r="F12">
        <v>2</v>
      </c>
      <c r="G12">
        <v>9</v>
      </c>
      <c r="H12">
        <v>1</v>
      </c>
      <c r="I12">
        <v>7</v>
      </c>
      <c r="J12">
        <v>5</v>
      </c>
      <c r="K12">
        <v>3</v>
      </c>
    </row>
    <row r="13" spans="1:12">
      <c r="A13">
        <v>11</v>
      </c>
      <c r="C13">
        <v>16</v>
      </c>
      <c r="D13">
        <v>7</v>
      </c>
      <c r="E13">
        <v>5</v>
      </c>
      <c r="F13">
        <v>15</v>
      </c>
      <c r="G13">
        <v>1</v>
      </c>
      <c r="H13">
        <v>6</v>
      </c>
      <c r="I13">
        <v>5</v>
      </c>
      <c r="J13">
        <v>9</v>
      </c>
      <c r="K13">
        <v>2</v>
      </c>
    </row>
    <row r="14" spans="1:12">
      <c r="A14">
        <v>12</v>
      </c>
      <c r="C14">
        <v>24</v>
      </c>
      <c r="D14">
        <v>14</v>
      </c>
      <c r="E14">
        <v>3</v>
      </c>
      <c r="F14">
        <v>8</v>
      </c>
      <c r="G14">
        <v>29</v>
      </c>
      <c r="H14">
        <v>5</v>
      </c>
      <c r="I14">
        <v>5</v>
      </c>
      <c r="J14">
        <v>12</v>
      </c>
      <c r="K14">
        <v>8</v>
      </c>
    </row>
    <row r="15" spans="1:12">
      <c r="A15">
        <v>13</v>
      </c>
      <c r="C15">
        <v>8</v>
      </c>
      <c r="D15">
        <v>10</v>
      </c>
      <c r="E15">
        <v>8</v>
      </c>
      <c r="F15">
        <v>13</v>
      </c>
      <c r="G15">
        <v>1</v>
      </c>
      <c r="H15">
        <v>6</v>
      </c>
      <c r="I15">
        <v>16</v>
      </c>
      <c r="J15">
        <v>5</v>
      </c>
      <c r="K15">
        <v>25</v>
      </c>
    </row>
    <row r="16" spans="1:12">
      <c r="A16">
        <v>14</v>
      </c>
      <c r="C16">
        <v>9</v>
      </c>
      <c r="D16">
        <v>8</v>
      </c>
      <c r="E16">
        <v>10</v>
      </c>
      <c r="F16">
        <v>6</v>
      </c>
      <c r="G16">
        <v>13</v>
      </c>
      <c r="H16">
        <v>25</v>
      </c>
      <c r="I16">
        <v>2</v>
      </c>
      <c r="J16">
        <v>29</v>
      </c>
      <c r="K16">
        <v>1</v>
      </c>
    </row>
    <row r="17" spans="1:11">
      <c r="A17">
        <v>15</v>
      </c>
      <c r="C17">
        <v>5</v>
      </c>
      <c r="D17">
        <v>2</v>
      </c>
      <c r="E17">
        <v>5</v>
      </c>
      <c r="F17">
        <v>17</v>
      </c>
      <c r="G17">
        <v>9</v>
      </c>
      <c r="H17">
        <v>9</v>
      </c>
      <c r="I17">
        <v>9</v>
      </c>
      <c r="J17">
        <v>19</v>
      </c>
      <c r="K17">
        <v>16</v>
      </c>
    </row>
    <row r="18" spans="1:11">
      <c r="A18">
        <v>16</v>
      </c>
      <c r="C18">
        <v>3</v>
      </c>
      <c r="D18">
        <v>8</v>
      </c>
      <c r="E18">
        <v>3</v>
      </c>
      <c r="F18">
        <v>9</v>
      </c>
      <c r="G18">
        <v>8</v>
      </c>
      <c r="H18">
        <v>3</v>
      </c>
      <c r="I18">
        <v>1</v>
      </c>
      <c r="J18">
        <v>12</v>
      </c>
      <c r="K18">
        <v>11</v>
      </c>
    </row>
    <row r="19" spans="1:11">
      <c r="A19">
        <v>17</v>
      </c>
      <c r="C19">
        <v>3</v>
      </c>
      <c r="D19">
        <v>3</v>
      </c>
      <c r="E19">
        <v>4</v>
      </c>
      <c r="F19">
        <v>1</v>
      </c>
      <c r="G19">
        <v>4</v>
      </c>
      <c r="H19">
        <v>7</v>
      </c>
      <c r="I19">
        <v>9</v>
      </c>
      <c r="K19">
        <v>7</v>
      </c>
    </row>
    <row r="20" spans="1:11">
      <c r="A20">
        <v>18</v>
      </c>
      <c r="C20">
        <v>5</v>
      </c>
      <c r="D20">
        <v>4</v>
      </c>
      <c r="E20">
        <v>2</v>
      </c>
      <c r="F20">
        <v>11</v>
      </c>
      <c r="G20">
        <v>11</v>
      </c>
      <c r="H20">
        <v>2</v>
      </c>
      <c r="I20">
        <v>12</v>
      </c>
      <c r="K20">
        <v>5</v>
      </c>
    </row>
    <row r="21" spans="1:11">
      <c r="A21">
        <v>19</v>
      </c>
      <c r="C21">
        <v>4</v>
      </c>
      <c r="D21">
        <v>3</v>
      </c>
      <c r="E21">
        <v>3</v>
      </c>
      <c r="F21">
        <v>2</v>
      </c>
      <c r="G21">
        <v>15</v>
      </c>
      <c r="H21">
        <v>2</v>
      </c>
      <c r="I21">
        <v>1</v>
      </c>
    </row>
    <row r="22" spans="1:11">
      <c r="A22">
        <v>20</v>
      </c>
      <c r="C22">
        <v>2</v>
      </c>
      <c r="D22">
        <v>13</v>
      </c>
      <c r="E22">
        <v>28</v>
      </c>
      <c r="F22">
        <v>4</v>
      </c>
      <c r="G22">
        <v>11</v>
      </c>
      <c r="H22">
        <v>8</v>
      </c>
      <c r="I22">
        <v>5</v>
      </c>
      <c r="K22">
        <v>15</v>
      </c>
    </row>
    <row r="23" spans="1:11">
      <c r="A23">
        <v>21</v>
      </c>
      <c r="C23">
        <v>24</v>
      </c>
      <c r="D23">
        <v>11</v>
      </c>
      <c r="E23">
        <v>9</v>
      </c>
      <c r="F23">
        <v>6</v>
      </c>
      <c r="G23">
        <v>2</v>
      </c>
      <c r="H23">
        <v>7</v>
      </c>
      <c r="I23">
        <v>16</v>
      </c>
      <c r="K23">
        <v>4</v>
      </c>
    </row>
    <row r="24" spans="1:11">
      <c r="A24">
        <v>22</v>
      </c>
      <c r="C24">
        <v>4</v>
      </c>
      <c r="D24">
        <v>12</v>
      </c>
      <c r="E24">
        <v>6</v>
      </c>
      <c r="F24">
        <v>9</v>
      </c>
      <c r="G24">
        <v>3</v>
      </c>
      <c r="H24">
        <v>6</v>
      </c>
      <c r="I24">
        <v>6</v>
      </c>
      <c r="K24">
        <v>4</v>
      </c>
    </row>
    <row r="25" spans="1:11">
      <c r="A25">
        <v>23</v>
      </c>
      <c r="C25">
        <v>22</v>
      </c>
      <c r="D25">
        <v>4</v>
      </c>
      <c r="E25">
        <v>18</v>
      </c>
      <c r="F25">
        <v>9</v>
      </c>
      <c r="G25">
        <v>10</v>
      </c>
      <c r="H25">
        <v>10</v>
      </c>
      <c r="I25">
        <v>10</v>
      </c>
      <c r="K25">
        <v>1</v>
      </c>
    </row>
    <row r="26" spans="1:11">
      <c r="A26">
        <v>24</v>
      </c>
      <c r="C26">
        <v>4</v>
      </c>
      <c r="D26">
        <v>5</v>
      </c>
      <c r="E26">
        <v>6</v>
      </c>
      <c r="F26">
        <v>1</v>
      </c>
      <c r="G26">
        <v>16</v>
      </c>
      <c r="H26">
        <v>12</v>
      </c>
      <c r="I26">
        <v>1</v>
      </c>
      <c r="K26">
        <v>25</v>
      </c>
    </row>
    <row r="27" spans="1:11">
      <c r="A27">
        <v>25</v>
      </c>
      <c r="C27">
        <v>3</v>
      </c>
      <c r="D27">
        <v>13</v>
      </c>
      <c r="E27">
        <v>5</v>
      </c>
      <c r="F27">
        <v>2</v>
      </c>
      <c r="G27">
        <v>1</v>
      </c>
      <c r="H27">
        <v>5</v>
      </c>
      <c r="I27">
        <v>4</v>
      </c>
      <c r="K27">
        <v>3</v>
      </c>
    </row>
    <row r="28" spans="1:11">
      <c r="A28">
        <v>26</v>
      </c>
      <c r="C28">
        <v>7</v>
      </c>
      <c r="D28">
        <v>3</v>
      </c>
      <c r="E28">
        <v>12</v>
      </c>
      <c r="F28">
        <v>8</v>
      </c>
      <c r="G28">
        <v>10</v>
      </c>
      <c r="H28">
        <v>15</v>
      </c>
      <c r="I28">
        <v>6</v>
      </c>
      <c r="K28">
        <v>2</v>
      </c>
    </row>
    <row r="29" spans="1:11">
      <c r="A29">
        <v>27</v>
      </c>
      <c r="C29">
        <v>2</v>
      </c>
      <c r="D29">
        <v>4</v>
      </c>
      <c r="E29">
        <v>11</v>
      </c>
      <c r="F29">
        <v>20</v>
      </c>
      <c r="G29">
        <v>10</v>
      </c>
      <c r="H29">
        <v>6</v>
      </c>
      <c r="I29">
        <v>2</v>
      </c>
      <c r="K29">
        <v>1</v>
      </c>
    </row>
    <row r="30" spans="1:11">
      <c r="A30">
        <v>28</v>
      </c>
      <c r="C30">
        <v>6</v>
      </c>
      <c r="E30">
        <v>32</v>
      </c>
      <c r="F30">
        <v>11</v>
      </c>
      <c r="G30">
        <v>4</v>
      </c>
      <c r="H30">
        <v>19</v>
      </c>
      <c r="I30">
        <v>17</v>
      </c>
      <c r="K30">
        <v>5</v>
      </c>
    </row>
    <row r="31" spans="1:11">
      <c r="A31">
        <v>29</v>
      </c>
      <c r="C31">
        <v>5</v>
      </c>
      <c r="D31">
        <v>4</v>
      </c>
      <c r="E31">
        <v>16</v>
      </c>
      <c r="F31">
        <v>13</v>
      </c>
      <c r="G31">
        <v>4</v>
      </c>
      <c r="H31">
        <v>19</v>
      </c>
      <c r="I31">
        <v>9</v>
      </c>
      <c r="K31">
        <v>2</v>
      </c>
    </row>
    <row r="32" spans="1:11">
      <c r="A32">
        <v>30</v>
      </c>
      <c r="C32">
        <v>3</v>
      </c>
      <c r="D32">
        <v>2</v>
      </c>
      <c r="E32">
        <v>9</v>
      </c>
      <c r="F32">
        <v>11</v>
      </c>
      <c r="G32">
        <v>6</v>
      </c>
      <c r="H32">
        <v>11</v>
      </c>
      <c r="I32">
        <v>9</v>
      </c>
      <c r="K32">
        <v>6</v>
      </c>
    </row>
    <row r="33" spans="1:12">
      <c r="A33">
        <v>31</v>
      </c>
      <c r="C33">
        <v>11</v>
      </c>
      <c r="D33">
        <v>2</v>
      </c>
      <c r="E33">
        <v>7</v>
      </c>
      <c r="F33">
        <v>13</v>
      </c>
      <c r="G33">
        <v>9</v>
      </c>
      <c r="H33">
        <v>34</v>
      </c>
      <c r="I33">
        <v>16</v>
      </c>
    </row>
    <row r="34" spans="1:12">
      <c r="A34">
        <v>32</v>
      </c>
      <c r="C34">
        <v>5</v>
      </c>
      <c r="D34">
        <v>9</v>
      </c>
      <c r="E34">
        <v>17</v>
      </c>
      <c r="F34">
        <v>4</v>
      </c>
      <c r="G34">
        <v>3</v>
      </c>
      <c r="H34">
        <v>1</v>
      </c>
      <c r="I34">
        <v>7</v>
      </c>
      <c r="K34">
        <v>3</v>
      </c>
    </row>
    <row r="35" spans="1:12">
      <c r="B35">
        <f>AVERAGE(B3:B34)</f>
        <v>1</v>
      </c>
      <c r="C35">
        <f>AVERAGE(C3:C34)</f>
        <v>7.96875</v>
      </c>
      <c r="D35">
        <f t="shared" ref="D35:K35" si="0">AVERAGE(D3:D34)</f>
        <v>7.612903225806452</v>
      </c>
      <c r="E35">
        <f t="shared" si="0"/>
        <v>10.4375</v>
      </c>
      <c r="F35">
        <f t="shared" si="0"/>
        <v>8.75</v>
      </c>
      <c r="G35">
        <f t="shared" si="0"/>
        <v>9.03125</v>
      </c>
      <c r="H35">
        <f t="shared" si="0"/>
        <v>8.65625</v>
      </c>
      <c r="I35">
        <f t="shared" si="0"/>
        <v>7.40625</v>
      </c>
      <c r="J35">
        <f t="shared" si="0"/>
        <v>8.4375</v>
      </c>
      <c r="K35">
        <f t="shared" si="0"/>
        <v>7.4</v>
      </c>
      <c r="L35" t="e">
        <f t="shared" ref="L35" si="1">AVERAGE(L3:L34)</f>
        <v>#DIV/0!</v>
      </c>
    </row>
    <row r="36" spans="1:12">
      <c r="B36">
        <f>STDEV(B3:B34)</f>
        <v>0</v>
      </c>
      <c r="C36">
        <f>STDEV(C3:C34)</f>
        <v>6.3929617297008239</v>
      </c>
      <c r="D36">
        <f t="shared" ref="D36:K36" si="2">STDEV(D3:D34)</f>
        <v>5.4508557086928331</v>
      </c>
      <c r="E36">
        <f t="shared" si="2"/>
        <v>7.2687466195593062</v>
      </c>
      <c r="F36">
        <f t="shared" si="2"/>
        <v>6.0694900673301504</v>
      </c>
      <c r="G36">
        <f t="shared" si="2"/>
        <v>5.8336309447890171</v>
      </c>
      <c r="H36">
        <f t="shared" si="2"/>
        <v>7.4816307304689111</v>
      </c>
      <c r="I36">
        <f t="shared" si="2"/>
        <v>4.9112075579656942</v>
      </c>
      <c r="J36">
        <f t="shared" si="2"/>
        <v>7.3572526575255432</v>
      </c>
      <c r="K36">
        <f t="shared" si="2"/>
        <v>7.8239244055300201</v>
      </c>
      <c r="L36" t="e">
        <f t="shared" ref="L36" si="3">STDEV(L3:L34)</f>
        <v>#DIV/0!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showRuler="0" zoomScale="75" zoomScaleNormal="75" zoomScalePageLayoutView="75" workbookViewId="0">
      <selection activeCell="M18" sqref="M18"/>
    </sheetView>
  </sheetViews>
  <sheetFormatPr baseColWidth="10" defaultColWidth="11" defaultRowHeight="15" x14ac:dyDescent="0"/>
  <sheetData>
    <row r="1" spans="1:16">
      <c r="A1" t="s">
        <v>26</v>
      </c>
      <c r="D1" t="s">
        <v>27</v>
      </c>
    </row>
    <row r="2" spans="1:16">
      <c r="B2" s="10">
        <v>7</v>
      </c>
      <c r="C2" s="10">
        <v>8</v>
      </c>
      <c r="D2" s="10">
        <v>9</v>
      </c>
      <c r="E2" s="10">
        <v>10</v>
      </c>
      <c r="F2" s="10">
        <v>12</v>
      </c>
      <c r="G2" s="10">
        <v>14</v>
      </c>
      <c r="H2" s="10">
        <v>16</v>
      </c>
      <c r="I2" s="10">
        <v>18</v>
      </c>
      <c r="J2" s="10">
        <v>20</v>
      </c>
      <c r="K2" s="10">
        <v>22</v>
      </c>
      <c r="L2" s="10">
        <v>24</v>
      </c>
      <c r="M2" s="10">
        <v>26</v>
      </c>
      <c r="N2" s="10">
        <v>28</v>
      </c>
      <c r="O2" s="10">
        <v>30</v>
      </c>
      <c r="P2" s="10">
        <v>38</v>
      </c>
    </row>
    <row r="3" spans="1:16">
      <c r="A3">
        <v>1</v>
      </c>
      <c r="B3">
        <v>1</v>
      </c>
      <c r="C3">
        <v>3</v>
      </c>
      <c r="D3">
        <v>6</v>
      </c>
      <c r="E3">
        <v>2</v>
      </c>
      <c r="F3">
        <v>48</v>
      </c>
      <c r="G3">
        <v>12</v>
      </c>
      <c r="H3">
        <v>10</v>
      </c>
      <c r="I3">
        <v>3</v>
      </c>
      <c r="J3">
        <v>1</v>
      </c>
      <c r="K3">
        <v>1</v>
      </c>
      <c r="L3">
        <v>4</v>
      </c>
      <c r="M3">
        <v>9</v>
      </c>
      <c r="N3">
        <v>6</v>
      </c>
      <c r="O3">
        <v>1</v>
      </c>
    </row>
    <row r="4" spans="1:16">
      <c r="A4">
        <v>2</v>
      </c>
      <c r="B4">
        <v>1</v>
      </c>
      <c r="C4">
        <v>2</v>
      </c>
      <c r="D4">
        <v>6</v>
      </c>
      <c r="E4">
        <v>15</v>
      </c>
      <c r="F4">
        <v>1</v>
      </c>
      <c r="G4">
        <v>1</v>
      </c>
      <c r="H4">
        <v>13</v>
      </c>
      <c r="I4">
        <v>2</v>
      </c>
      <c r="J4">
        <v>5</v>
      </c>
      <c r="K4">
        <v>4</v>
      </c>
      <c r="L4">
        <v>11</v>
      </c>
      <c r="M4">
        <v>1</v>
      </c>
      <c r="N4">
        <v>5</v>
      </c>
      <c r="O4">
        <v>8</v>
      </c>
    </row>
    <row r="5" spans="1:16">
      <c r="A5">
        <v>3</v>
      </c>
      <c r="B5">
        <v>1</v>
      </c>
      <c r="C5">
        <v>3</v>
      </c>
      <c r="D5">
        <v>4</v>
      </c>
      <c r="E5">
        <v>10</v>
      </c>
      <c r="F5">
        <v>1</v>
      </c>
      <c r="G5">
        <v>20</v>
      </c>
      <c r="H5">
        <v>27</v>
      </c>
      <c r="I5">
        <v>5</v>
      </c>
      <c r="J5">
        <v>9</v>
      </c>
      <c r="K5">
        <v>4</v>
      </c>
      <c r="L5">
        <v>3</v>
      </c>
      <c r="M5">
        <v>2</v>
      </c>
      <c r="N5">
        <v>3</v>
      </c>
      <c r="O5">
        <v>6</v>
      </c>
    </row>
    <row r="6" spans="1:16">
      <c r="A6">
        <v>4</v>
      </c>
      <c r="B6">
        <v>1</v>
      </c>
      <c r="C6">
        <v>17</v>
      </c>
      <c r="D6">
        <v>10</v>
      </c>
      <c r="E6">
        <v>14</v>
      </c>
      <c r="F6">
        <v>13</v>
      </c>
      <c r="G6">
        <v>3</v>
      </c>
      <c r="H6">
        <v>3</v>
      </c>
      <c r="I6">
        <v>3</v>
      </c>
      <c r="J6">
        <v>4</v>
      </c>
      <c r="K6">
        <v>1</v>
      </c>
      <c r="L6">
        <v>4</v>
      </c>
      <c r="M6">
        <v>1</v>
      </c>
      <c r="N6">
        <v>1</v>
      </c>
      <c r="O6">
        <v>4</v>
      </c>
    </row>
    <row r="7" spans="1:16">
      <c r="A7">
        <v>5</v>
      </c>
      <c r="B7">
        <v>1</v>
      </c>
      <c r="C7">
        <v>7</v>
      </c>
      <c r="D7">
        <v>6</v>
      </c>
      <c r="E7">
        <v>12</v>
      </c>
      <c r="F7">
        <v>1</v>
      </c>
      <c r="G7">
        <v>39</v>
      </c>
      <c r="H7">
        <v>2</v>
      </c>
      <c r="I7">
        <v>6</v>
      </c>
      <c r="J7">
        <v>1</v>
      </c>
      <c r="K7">
        <v>23</v>
      </c>
      <c r="L7">
        <v>7</v>
      </c>
      <c r="M7">
        <v>2</v>
      </c>
      <c r="N7">
        <v>3</v>
      </c>
      <c r="O7">
        <v>2</v>
      </c>
    </row>
    <row r="8" spans="1:16">
      <c r="A8">
        <v>6</v>
      </c>
      <c r="B8">
        <v>1</v>
      </c>
      <c r="C8">
        <v>5</v>
      </c>
      <c r="D8">
        <v>6</v>
      </c>
      <c r="E8">
        <v>10</v>
      </c>
      <c r="F8">
        <v>5</v>
      </c>
      <c r="G8">
        <v>2</v>
      </c>
      <c r="H8">
        <v>8</v>
      </c>
      <c r="I8">
        <v>18</v>
      </c>
      <c r="J8">
        <v>4</v>
      </c>
      <c r="K8">
        <v>22</v>
      </c>
      <c r="L8">
        <v>5</v>
      </c>
      <c r="M8">
        <v>1</v>
      </c>
      <c r="N8">
        <v>1</v>
      </c>
      <c r="O8">
        <v>6</v>
      </c>
    </row>
    <row r="9" spans="1:16">
      <c r="A9">
        <v>7</v>
      </c>
      <c r="B9">
        <v>1</v>
      </c>
      <c r="C9">
        <v>5</v>
      </c>
      <c r="D9">
        <v>9</v>
      </c>
      <c r="E9">
        <v>5</v>
      </c>
      <c r="F9">
        <v>6</v>
      </c>
      <c r="G9">
        <v>11</v>
      </c>
      <c r="H9">
        <v>1</v>
      </c>
      <c r="I9">
        <v>3</v>
      </c>
      <c r="J9">
        <v>1</v>
      </c>
      <c r="K9">
        <v>2</v>
      </c>
      <c r="L9">
        <v>7</v>
      </c>
      <c r="M9">
        <v>1</v>
      </c>
      <c r="N9">
        <v>1</v>
      </c>
      <c r="O9">
        <v>1</v>
      </c>
    </row>
    <row r="10" spans="1:16">
      <c r="A10">
        <v>8</v>
      </c>
      <c r="B10">
        <v>1</v>
      </c>
      <c r="C10">
        <v>5</v>
      </c>
      <c r="D10">
        <v>4</v>
      </c>
      <c r="E10">
        <v>4</v>
      </c>
      <c r="F10">
        <v>14</v>
      </c>
      <c r="G10">
        <v>2</v>
      </c>
      <c r="H10">
        <v>1</v>
      </c>
      <c r="I10">
        <v>1</v>
      </c>
      <c r="J10">
        <v>1</v>
      </c>
      <c r="K10">
        <v>1</v>
      </c>
      <c r="L10">
        <v>23</v>
      </c>
      <c r="M10">
        <v>6</v>
      </c>
      <c r="N10">
        <v>2</v>
      </c>
      <c r="O10">
        <v>2</v>
      </c>
    </row>
    <row r="11" spans="1:16">
      <c r="A11">
        <v>9</v>
      </c>
      <c r="C11">
        <v>3</v>
      </c>
      <c r="D11">
        <v>6</v>
      </c>
      <c r="E11">
        <v>10</v>
      </c>
      <c r="F11">
        <v>2</v>
      </c>
      <c r="G11">
        <v>6</v>
      </c>
      <c r="H11">
        <v>1</v>
      </c>
      <c r="I11">
        <v>15</v>
      </c>
      <c r="J11">
        <v>6</v>
      </c>
      <c r="K11">
        <v>2</v>
      </c>
      <c r="L11">
        <v>4</v>
      </c>
      <c r="M11">
        <v>1</v>
      </c>
      <c r="N11">
        <v>31</v>
      </c>
      <c r="O11">
        <v>6</v>
      </c>
    </row>
    <row r="12" spans="1:16">
      <c r="A12">
        <v>10</v>
      </c>
      <c r="C12">
        <v>6</v>
      </c>
      <c r="D12">
        <v>10</v>
      </c>
      <c r="E12">
        <v>24</v>
      </c>
      <c r="F12">
        <v>8</v>
      </c>
      <c r="G12">
        <v>2</v>
      </c>
      <c r="H12">
        <v>5</v>
      </c>
      <c r="I12">
        <v>1</v>
      </c>
      <c r="J12">
        <v>1</v>
      </c>
      <c r="K12">
        <v>9</v>
      </c>
      <c r="L12">
        <v>1</v>
      </c>
      <c r="M12">
        <v>1</v>
      </c>
      <c r="N12">
        <v>2</v>
      </c>
      <c r="O12">
        <v>23</v>
      </c>
    </row>
    <row r="13" spans="1:16">
      <c r="A13">
        <v>11</v>
      </c>
      <c r="C13">
        <v>2</v>
      </c>
      <c r="D13">
        <v>4</v>
      </c>
      <c r="E13">
        <v>19</v>
      </c>
      <c r="F13">
        <v>2</v>
      </c>
      <c r="G13">
        <v>5</v>
      </c>
      <c r="H13">
        <v>2</v>
      </c>
      <c r="I13">
        <v>6</v>
      </c>
      <c r="J13">
        <v>3</v>
      </c>
      <c r="K13">
        <v>7</v>
      </c>
      <c r="L13">
        <v>14</v>
      </c>
      <c r="M13">
        <v>2</v>
      </c>
      <c r="N13">
        <v>5</v>
      </c>
      <c r="O13">
        <v>4</v>
      </c>
    </row>
    <row r="14" spans="1:16">
      <c r="A14">
        <v>12</v>
      </c>
      <c r="C14">
        <v>8</v>
      </c>
      <c r="D14">
        <v>2</v>
      </c>
      <c r="E14">
        <v>21</v>
      </c>
      <c r="F14">
        <v>2</v>
      </c>
      <c r="G14">
        <v>5</v>
      </c>
      <c r="H14">
        <v>6</v>
      </c>
      <c r="I14">
        <v>4</v>
      </c>
      <c r="J14">
        <v>49</v>
      </c>
      <c r="K14">
        <v>2</v>
      </c>
      <c r="L14">
        <v>18</v>
      </c>
      <c r="M14">
        <v>5</v>
      </c>
      <c r="N14">
        <v>1</v>
      </c>
      <c r="O14">
        <v>4</v>
      </c>
    </row>
    <row r="15" spans="1:16">
      <c r="A15">
        <v>13</v>
      </c>
      <c r="C15">
        <v>5</v>
      </c>
      <c r="D15">
        <v>5</v>
      </c>
      <c r="E15">
        <v>9</v>
      </c>
      <c r="F15">
        <v>9</v>
      </c>
      <c r="G15">
        <v>4</v>
      </c>
      <c r="H15">
        <v>1</v>
      </c>
      <c r="I15">
        <v>1</v>
      </c>
      <c r="J15">
        <v>2</v>
      </c>
      <c r="K15">
        <v>1</v>
      </c>
      <c r="L15">
        <v>20</v>
      </c>
      <c r="M15">
        <v>1</v>
      </c>
      <c r="N15">
        <v>3</v>
      </c>
      <c r="O15">
        <v>4</v>
      </c>
    </row>
    <row r="16" spans="1:16">
      <c r="A16">
        <v>14</v>
      </c>
      <c r="C16">
        <v>5</v>
      </c>
      <c r="D16">
        <v>3</v>
      </c>
      <c r="E16">
        <v>3</v>
      </c>
      <c r="F16">
        <v>20</v>
      </c>
      <c r="G16">
        <v>13</v>
      </c>
      <c r="H16">
        <v>24</v>
      </c>
      <c r="I16">
        <v>1</v>
      </c>
      <c r="J16">
        <v>3</v>
      </c>
      <c r="K16">
        <v>1</v>
      </c>
      <c r="L16">
        <v>8</v>
      </c>
      <c r="M16">
        <v>8</v>
      </c>
      <c r="N16">
        <v>26</v>
      </c>
      <c r="O16">
        <v>4</v>
      </c>
    </row>
    <row r="17" spans="1:17">
      <c r="A17">
        <v>15</v>
      </c>
      <c r="C17">
        <v>4</v>
      </c>
      <c r="D17">
        <v>2</v>
      </c>
      <c r="E17">
        <v>22</v>
      </c>
      <c r="F17">
        <v>6</v>
      </c>
      <c r="G17" s="15">
        <v>3</v>
      </c>
      <c r="H17">
        <v>1</v>
      </c>
      <c r="I17">
        <v>1</v>
      </c>
      <c r="J17">
        <v>7</v>
      </c>
      <c r="K17">
        <v>15</v>
      </c>
      <c r="L17">
        <v>1</v>
      </c>
      <c r="M17">
        <v>1</v>
      </c>
      <c r="N17">
        <v>7</v>
      </c>
      <c r="O17">
        <v>5</v>
      </c>
    </row>
    <row r="18" spans="1:17">
      <c r="A18">
        <v>16</v>
      </c>
      <c r="C18">
        <v>2</v>
      </c>
      <c r="D18">
        <v>10</v>
      </c>
      <c r="E18">
        <v>4</v>
      </c>
      <c r="F18">
        <v>18</v>
      </c>
      <c r="G18">
        <v>9</v>
      </c>
      <c r="H18">
        <v>2</v>
      </c>
      <c r="I18">
        <v>5</v>
      </c>
      <c r="J18">
        <v>8</v>
      </c>
      <c r="K18">
        <v>19</v>
      </c>
      <c r="L18">
        <v>18</v>
      </c>
      <c r="M18">
        <v>9</v>
      </c>
      <c r="N18">
        <v>1</v>
      </c>
      <c r="O18">
        <v>6</v>
      </c>
    </row>
    <row r="19" spans="1:17">
      <c r="A19">
        <v>17</v>
      </c>
      <c r="C19">
        <v>2</v>
      </c>
      <c r="D19">
        <v>11</v>
      </c>
      <c r="E19">
        <v>12</v>
      </c>
      <c r="F19">
        <v>16</v>
      </c>
      <c r="G19">
        <v>5</v>
      </c>
      <c r="H19">
        <v>8</v>
      </c>
      <c r="I19">
        <v>6</v>
      </c>
      <c r="J19">
        <v>1</v>
      </c>
      <c r="K19">
        <v>8</v>
      </c>
      <c r="L19">
        <v>1</v>
      </c>
      <c r="M19">
        <v>16</v>
      </c>
      <c r="N19">
        <v>1</v>
      </c>
      <c r="O19">
        <v>14</v>
      </c>
      <c r="Q19">
        <f>SUM(C35:L35)</f>
        <v>79.03125</v>
      </c>
    </row>
    <row r="20" spans="1:17">
      <c r="A20">
        <v>18</v>
      </c>
      <c r="C20">
        <v>12</v>
      </c>
      <c r="D20">
        <v>10</v>
      </c>
      <c r="E20">
        <v>4</v>
      </c>
      <c r="F20">
        <v>2</v>
      </c>
      <c r="G20">
        <v>5</v>
      </c>
      <c r="H20">
        <v>9</v>
      </c>
      <c r="I20">
        <v>1</v>
      </c>
      <c r="J20">
        <v>2</v>
      </c>
      <c r="K20">
        <v>2</v>
      </c>
      <c r="L20">
        <v>11</v>
      </c>
      <c r="M20">
        <v>34</v>
      </c>
      <c r="N20">
        <v>2</v>
      </c>
      <c r="O20">
        <v>2</v>
      </c>
    </row>
    <row r="21" spans="1:17">
      <c r="A21">
        <v>19</v>
      </c>
      <c r="C21">
        <v>5</v>
      </c>
      <c r="D21">
        <v>40</v>
      </c>
      <c r="E21">
        <v>6</v>
      </c>
      <c r="F21">
        <v>10</v>
      </c>
      <c r="G21">
        <v>5</v>
      </c>
      <c r="H21">
        <v>1</v>
      </c>
      <c r="I21">
        <v>22</v>
      </c>
      <c r="J21">
        <v>2</v>
      </c>
      <c r="K21">
        <v>3</v>
      </c>
      <c r="L21">
        <v>46</v>
      </c>
      <c r="M21">
        <v>43</v>
      </c>
      <c r="N21">
        <v>1</v>
      </c>
      <c r="O21">
        <v>2</v>
      </c>
    </row>
    <row r="22" spans="1:17">
      <c r="A22">
        <v>20</v>
      </c>
      <c r="C22">
        <v>2</v>
      </c>
      <c r="D22">
        <v>19</v>
      </c>
      <c r="E22">
        <v>3</v>
      </c>
      <c r="F22">
        <v>13</v>
      </c>
      <c r="G22">
        <v>1</v>
      </c>
      <c r="H22">
        <v>24</v>
      </c>
      <c r="I22">
        <v>3</v>
      </c>
      <c r="J22">
        <v>3</v>
      </c>
      <c r="K22">
        <v>5</v>
      </c>
      <c r="L22">
        <v>2</v>
      </c>
      <c r="M22">
        <v>8</v>
      </c>
      <c r="N22">
        <v>1</v>
      </c>
      <c r="O22">
        <v>4</v>
      </c>
    </row>
    <row r="23" spans="1:17">
      <c r="A23">
        <v>21</v>
      </c>
      <c r="C23">
        <v>3</v>
      </c>
      <c r="D23">
        <v>5</v>
      </c>
      <c r="E23">
        <v>17</v>
      </c>
      <c r="F23">
        <v>1</v>
      </c>
      <c r="G23">
        <v>11</v>
      </c>
      <c r="H23">
        <v>17</v>
      </c>
      <c r="I23">
        <v>1</v>
      </c>
      <c r="J23">
        <v>3</v>
      </c>
      <c r="K23">
        <v>17</v>
      </c>
      <c r="L23">
        <v>2</v>
      </c>
      <c r="M23">
        <v>2</v>
      </c>
      <c r="N23">
        <v>2</v>
      </c>
      <c r="O23">
        <v>15</v>
      </c>
    </row>
    <row r="24" spans="1:17">
      <c r="A24">
        <v>22</v>
      </c>
      <c r="C24">
        <v>3</v>
      </c>
      <c r="D24">
        <v>13</v>
      </c>
      <c r="E24">
        <v>8</v>
      </c>
      <c r="F24">
        <v>39</v>
      </c>
      <c r="G24">
        <v>1</v>
      </c>
      <c r="H24">
        <v>7</v>
      </c>
      <c r="I24">
        <v>14</v>
      </c>
      <c r="J24">
        <v>2</v>
      </c>
      <c r="K24">
        <v>7</v>
      </c>
      <c r="L24">
        <v>1</v>
      </c>
      <c r="M24">
        <v>9</v>
      </c>
      <c r="N24">
        <v>2</v>
      </c>
      <c r="O24">
        <v>5</v>
      </c>
    </row>
    <row r="25" spans="1:17">
      <c r="A25">
        <v>23</v>
      </c>
      <c r="C25">
        <v>6</v>
      </c>
      <c r="D25">
        <v>10</v>
      </c>
      <c r="E25">
        <v>4</v>
      </c>
      <c r="F25">
        <v>6</v>
      </c>
      <c r="G25">
        <v>4</v>
      </c>
      <c r="H25">
        <v>10</v>
      </c>
      <c r="I25">
        <v>5</v>
      </c>
      <c r="J25">
        <v>1</v>
      </c>
      <c r="K25">
        <v>4</v>
      </c>
      <c r="L25">
        <v>4</v>
      </c>
      <c r="M25">
        <v>1</v>
      </c>
      <c r="N25">
        <v>4</v>
      </c>
      <c r="O25">
        <v>5</v>
      </c>
    </row>
    <row r="26" spans="1:17">
      <c r="A26">
        <v>24</v>
      </c>
      <c r="C26">
        <v>2</v>
      </c>
      <c r="D26">
        <v>8</v>
      </c>
      <c r="E26">
        <v>15</v>
      </c>
      <c r="F26">
        <v>3</v>
      </c>
      <c r="G26">
        <v>18</v>
      </c>
      <c r="H26">
        <v>3</v>
      </c>
      <c r="I26">
        <v>5</v>
      </c>
      <c r="J26">
        <v>1</v>
      </c>
      <c r="K26">
        <v>1</v>
      </c>
      <c r="L26">
        <v>1</v>
      </c>
      <c r="M26">
        <v>13</v>
      </c>
      <c r="N26">
        <v>20</v>
      </c>
      <c r="O26">
        <v>2</v>
      </c>
    </row>
    <row r="27" spans="1:17">
      <c r="A27">
        <v>25</v>
      </c>
      <c r="C27">
        <v>2</v>
      </c>
      <c r="D27">
        <v>4</v>
      </c>
      <c r="E27">
        <v>9</v>
      </c>
      <c r="F27">
        <v>4</v>
      </c>
      <c r="G27">
        <v>10</v>
      </c>
      <c r="H27">
        <v>24</v>
      </c>
      <c r="I27">
        <v>3</v>
      </c>
      <c r="J27">
        <v>4</v>
      </c>
      <c r="K27">
        <v>2</v>
      </c>
      <c r="L27">
        <v>6</v>
      </c>
      <c r="M27">
        <v>1</v>
      </c>
      <c r="N27">
        <v>4</v>
      </c>
      <c r="O27">
        <v>2</v>
      </c>
    </row>
    <row r="28" spans="1:17">
      <c r="A28">
        <v>26</v>
      </c>
      <c r="C28">
        <v>2</v>
      </c>
      <c r="D28">
        <v>3</v>
      </c>
      <c r="E28">
        <v>24</v>
      </c>
      <c r="F28">
        <v>8</v>
      </c>
      <c r="G28">
        <v>4</v>
      </c>
      <c r="H28">
        <v>2</v>
      </c>
      <c r="I28">
        <v>7</v>
      </c>
      <c r="J28">
        <v>2</v>
      </c>
      <c r="K28">
        <v>2</v>
      </c>
      <c r="L28">
        <v>2</v>
      </c>
      <c r="M28">
        <v>9</v>
      </c>
      <c r="N28">
        <v>2</v>
      </c>
      <c r="O28">
        <v>1</v>
      </c>
    </row>
    <row r="29" spans="1:17">
      <c r="A29">
        <v>27</v>
      </c>
      <c r="C29">
        <v>4</v>
      </c>
      <c r="D29">
        <v>3</v>
      </c>
      <c r="E29">
        <v>15</v>
      </c>
      <c r="F29">
        <v>1</v>
      </c>
      <c r="G29">
        <v>7</v>
      </c>
      <c r="H29">
        <v>2</v>
      </c>
      <c r="I29">
        <v>17</v>
      </c>
      <c r="J29">
        <v>22</v>
      </c>
      <c r="K29">
        <v>19</v>
      </c>
      <c r="L29">
        <v>5</v>
      </c>
      <c r="M29">
        <v>5</v>
      </c>
      <c r="N29">
        <v>8</v>
      </c>
      <c r="O29">
        <v>6</v>
      </c>
    </row>
    <row r="30" spans="1:17">
      <c r="A30">
        <v>28</v>
      </c>
      <c r="C30">
        <v>2</v>
      </c>
      <c r="D30">
        <v>7</v>
      </c>
      <c r="E30">
        <v>5</v>
      </c>
      <c r="F30">
        <v>1</v>
      </c>
      <c r="G30">
        <v>8</v>
      </c>
      <c r="H30">
        <v>1</v>
      </c>
      <c r="I30">
        <v>23</v>
      </c>
      <c r="J30">
        <v>17</v>
      </c>
      <c r="K30">
        <v>30</v>
      </c>
      <c r="L30">
        <v>2</v>
      </c>
      <c r="M30">
        <v>5</v>
      </c>
      <c r="N30">
        <v>9</v>
      </c>
      <c r="O30">
        <v>1</v>
      </c>
    </row>
    <row r="31" spans="1:17">
      <c r="A31">
        <v>29</v>
      </c>
      <c r="C31">
        <v>4</v>
      </c>
      <c r="D31">
        <v>23</v>
      </c>
      <c r="E31">
        <v>5</v>
      </c>
      <c r="F31">
        <v>4</v>
      </c>
      <c r="G31">
        <v>3</v>
      </c>
      <c r="H31">
        <v>38</v>
      </c>
      <c r="I31">
        <v>2</v>
      </c>
      <c r="J31">
        <v>40</v>
      </c>
      <c r="K31">
        <v>1</v>
      </c>
      <c r="L31">
        <v>5</v>
      </c>
      <c r="M31">
        <v>1</v>
      </c>
      <c r="N31">
        <v>2</v>
      </c>
      <c r="O31">
        <v>25</v>
      </c>
    </row>
    <row r="32" spans="1:17">
      <c r="A32">
        <v>30</v>
      </c>
      <c r="C32">
        <v>6</v>
      </c>
      <c r="D32">
        <v>19</v>
      </c>
      <c r="E32">
        <v>30</v>
      </c>
      <c r="F32">
        <v>48</v>
      </c>
      <c r="G32">
        <v>2</v>
      </c>
      <c r="H32">
        <v>15</v>
      </c>
      <c r="I32">
        <v>1</v>
      </c>
      <c r="J32">
        <v>3</v>
      </c>
      <c r="K32">
        <v>9</v>
      </c>
      <c r="L32">
        <v>2</v>
      </c>
      <c r="M32">
        <v>1</v>
      </c>
      <c r="N32">
        <v>3</v>
      </c>
      <c r="O32">
        <v>3</v>
      </c>
    </row>
    <row r="33" spans="1:16">
      <c r="A33">
        <v>31</v>
      </c>
      <c r="C33">
        <v>8</v>
      </c>
      <c r="D33">
        <v>7</v>
      </c>
      <c r="E33">
        <v>18</v>
      </c>
      <c r="F33">
        <v>4</v>
      </c>
      <c r="G33">
        <v>4</v>
      </c>
      <c r="H33">
        <v>1</v>
      </c>
      <c r="I33">
        <v>7</v>
      </c>
      <c r="J33">
        <v>2</v>
      </c>
      <c r="K33">
        <v>11</v>
      </c>
      <c r="L33">
        <v>1</v>
      </c>
      <c r="M33">
        <v>2</v>
      </c>
      <c r="N33">
        <v>28</v>
      </c>
      <c r="O33">
        <v>2</v>
      </c>
    </row>
    <row r="34" spans="1:16">
      <c r="A34">
        <v>32</v>
      </c>
      <c r="C34">
        <v>2</v>
      </c>
      <c r="D34">
        <v>6</v>
      </c>
      <c r="E34">
        <v>13</v>
      </c>
      <c r="F34">
        <v>1</v>
      </c>
      <c r="G34">
        <v>10</v>
      </c>
      <c r="H34">
        <v>15</v>
      </c>
      <c r="I34">
        <v>10</v>
      </c>
      <c r="J34">
        <v>2</v>
      </c>
      <c r="K34">
        <v>1</v>
      </c>
      <c r="L34">
        <v>4</v>
      </c>
      <c r="M34">
        <v>8</v>
      </c>
      <c r="N34">
        <v>2</v>
      </c>
      <c r="O34">
        <v>14</v>
      </c>
    </row>
    <row r="35" spans="1:16">
      <c r="B35">
        <f t="shared" ref="B35:L35" si="0">AVERAGE(B3:B34)</f>
        <v>1</v>
      </c>
      <c r="C35">
        <f t="shared" si="0"/>
        <v>4.59375</v>
      </c>
      <c r="D35">
        <f t="shared" ref="D35" si="1">AVERAGE(D3:D34)</f>
        <v>8.78125</v>
      </c>
      <c r="E35">
        <f t="shared" si="0"/>
        <v>11.625</v>
      </c>
      <c r="F35">
        <f t="shared" si="0"/>
        <v>9.90625</v>
      </c>
      <c r="G35">
        <f t="shared" si="0"/>
        <v>7.34375</v>
      </c>
      <c r="H35">
        <f t="shared" si="0"/>
        <v>8.875</v>
      </c>
      <c r="I35">
        <f t="shared" si="0"/>
        <v>6.3125</v>
      </c>
      <c r="J35">
        <f t="shared" si="0"/>
        <v>6.625</v>
      </c>
      <c r="K35">
        <f t="shared" si="0"/>
        <v>7.375</v>
      </c>
      <c r="L35">
        <f t="shared" si="0"/>
        <v>7.59375</v>
      </c>
      <c r="M35">
        <f t="shared" ref="M35" si="2">AVERAGE(M3:M34)</f>
        <v>6.53125</v>
      </c>
      <c r="N35">
        <f t="shared" ref="N35:O35" si="3">AVERAGE(N3:N34)</f>
        <v>5.90625</v>
      </c>
      <c r="O35">
        <f t="shared" si="3"/>
        <v>5.90625</v>
      </c>
      <c r="P35" t="e">
        <f t="shared" ref="P35" si="4">AVERAGE(P3:P34)</f>
        <v>#DIV/0!</v>
      </c>
    </row>
    <row r="36" spans="1:16">
      <c r="B36">
        <f t="shared" ref="B36:L36" si="5">STDEV(B3:B34)/SQRT(COUNT(B3:B34))</f>
        <v>0</v>
      </c>
      <c r="C36">
        <f t="shared" si="5"/>
        <v>0.57301441003948861</v>
      </c>
      <c r="D36">
        <f t="shared" ref="D36" si="6">STDEV(D3:D34)/SQRT(COUNT(D3:D34))</f>
        <v>1.3400878454294485</v>
      </c>
      <c r="E36">
        <f t="shared" si="5"/>
        <v>1.3003954113293585</v>
      </c>
      <c r="F36">
        <f t="shared" si="5"/>
        <v>2.2506089565722487</v>
      </c>
      <c r="G36">
        <f t="shared" si="5"/>
        <v>1.3241014718144866</v>
      </c>
      <c r="H36">
        <f t="shared" si="5"/>
        <v>1.6960283301803047</v>
      </c>
      <c r="I36">
        <f t="shared" si="5"/>
        <v>1.1247199472212712</v>
      </c>
      <c r="J36">
        <f t="shared" si="5"/>
        <v>1.9451915487402061</v>
      </c>
      <c r="K36">
        <f t="shared" si="5"/>
        <v>1.408320608201084</v>
      </c>
      <c r="L36">
        <f t="shared" si="5"/>
        <v>1.6417310979523627</v>
      </c>
      <c r="M36">
        <f>STDEV(M3:M34)/SQRT(COUNT(M3:M34))</f>
        <v>1.6570866724222224</v>
      </c>
      <c r="N36">
        <f t="shared" ref="N36:O36" si="7">STDEV(N3:N34)/SQRT(COUNT(N3:N34))</f>
        <v>1.4524446681760041</v>
      </c>
      <c r="O36">
        <f t="shared" si="7"/>
        <v>1.0581475130028863</v>
      </c>
      <c r="P36" t="e">
        <f t="shared" ref="P36" si="8">STDEV(P3:P34)/SQRT(COUNT(P3:P34))</f>
        <v>#DIV/0!</v>
      </c>
    </row>
  </sheetData>
  <pageMargins left="0.75" right="0.75" top="1" bottom="1" header="0.5" footer="0.5"/>
  <pageSetup orientation="portrait" horizontalDpi="4294967294" verticalDpi="4294967294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0"/>
  <sheetViews>
    <sheetView showRuler="0" topLeftCell="A14" zoomScale="75" zoomScaleNormal="75" zoomScalePageLayoutView="75" workbookViewId="0">
      <selection activeCell="P28" sqref="P28"/>
    </sheetView>
  </sheetViews>
  <sheetFormatPr baseColWidth="10" defaultColWidth="11" defaultRowHeight="15" x14ac:dyDescent="0"/>
  <sheetData>
    <row r="1" spans="1:12">
      <c r="A1" t="s">
        <v>25</v>
      </c>
      <c r="D1" t="s">
        <v>28</v>
      </c>
    </row>
    <row r="2" spans="1:12">
      <c r="B2" s="10">
        <v>6</v>
      </c>
      <c r="C2" s="10">
        <v>7</v>
      </c>
      <c r="D2" s="10">
        <v>8</v>
      </c>
      <c r="E2" s="10">
        <v>9</v>
      </c>
      <c r="F2" s="10">
        <v>10</v>
      </c>
      <c r="G2" s="10">
        <v>12</v>
      </c>
      <c r="H2" s="10">
        <v>14</v>
      </c>
      <c r="I2" s="10">
        <v>16</v>
      </c>
      <c r="J2" s="10">
        <v>18</v>
      </c>
      <c r="K2" s="10">
        <v>20</v>
      </c>
      <c r="L2" s="10"/>
    </row>
    <row r="3" spans="1:12">
      <c r="A3">
        <v>1</v>
      </c>
      <c r="B3">
        <v>1</v>
      </c>
      <c r="C3">
        <v>1</v>
      </c>
      <c r="D3">
        <v>3</v>
      </c>
      <c r="E3">
        <v>21</v>
      </c>
      <c r="F3">
        <v>15</v>
      </c>
      <c r="G3">
        <v>15</v>
      </c>
      <c r="H3">
        <v>7</v>
      </c>
      <c r="I3">
        <v>7</v>
      </c>
      <c r="J3">
        <v>1</v>
      </c>
      <c r="K3">
        <v>1</v>
      </c>
    </row>
    <row r="4" spans="1:12">
      <c r="A4">
        <v>2</v>
      </c>
      <c r="B4">
        <v>1</v>
      </c>
      <c r="C4">
        <v>1</v>
      </c>
      <c r="D4">
        <v>2</v>
      </c>
      <c r="E4">
        <v>20</v>
      </c>
      <c r="F4">
        <v>5</v>
      </c>
      <c r="G4">
        <v>7</v>
      </c>
      <c r="H4">
        <v>18</v>
      </c>
      <c r="I4">
        <v>2</v>
      </c>
      <c r="J4">
        <v>3</v>
      </c>
      <c r="K4">
        <v>1</v>
      </c>
    </row>
    <row r="5" spans="1:12">
      <c r="A5">
        <v>3</v>
      </c>
      <c r="B5">
        <v>1</v>
      </c>
      <c r="C5">
        <v>1</v>
      </c>
      <c r="D5">
        <v>4</v>
      </c>
      <c r="E5">
        <v>15</v>
      </c>
      <c r="F5">
        <v>10</v>
      </c>
      <c r="G5">
        <v>11</v>
      </c>
      <c r="H5">
        <v>5</v>
      </c>
      <c r="I5">
        <v>15</v>
      </c>
      <c r="J5">
        <v>3</v>
      </c>
      <c r="K5">
        <v>7</v>
      </c>
    </row>
    <row r="6" spans="1:12">
      <c r="A6">
        <v>4</v>
      </c>
      <c r="B6">
        <v>1</v>
      </c>
      <c r="C6">
        <v>1</v>
      </c>
      <c r="D6">
        <v>3</v>
      </c>
      <c r="E6">
        <v>4</v>
      </c>
      <c r="F6">
        <v>10</v>
      </c>
      <c r="G6">
        <v>3</v>
      </c>
      <c r="H6">
        <v>3</v>
      </c>
      <c r="I6">
        <v>7</v>
      </c>
      <c r="J6">
        <v>4</v>
      </c>
      <c r="K6">
        <v>2</v>
      </c>
    </row>
    <row r="7" spans="1:12">
      <c r="A7">
        <v>5</v>
      </c>
      <c r="B7">
        <v>1</v>
      </c>
      <c r="C7">
        <v>1</v>
      </c>
      <c r="D7">
        <v>11</v>
      </c>
      <c r="E7">
        <v>3</v>
      </c>
      <c r="F7">
        <v>13</v>
      </c>
      <c r="G7">
        <v>3</v>
      </c>
      <c r="H7">
        <v>5</v>
      </c>
      <c r="I7">
        <v>10</v>
      </c>
      <c r="J7">
        <v>3</v>
      </c>
      <c r="K7">
        <v>4</v>
      </c>
    </row>
    <row r="8" spans="1:12">
      <c r="A8">
        <v>6</v>
      </c>
      <c r="B8">
        <v>1</v>
      </c>
      <c r="C8">
        <v>1</v>
      </c>
      <c r="D8">
        <v>5</v>
      </c>
      <c r="E8">
        <v>12</v>
      </c>
      <c r="F8">
        <v>7</v>
      </c>
      <c r="G8">
        <v>8</v>
      </c>
      <c r="H8">
        <v>8</v>
      </c>
      <c r="I8">
        <v>3</v>
      </c>
      <c r="J8">
        <v>3</v>
      </c>
      <c r="K8">
        <v>3</v>
      </c>
    </row>
    <row r="9" spans="1:12">
      <c r="A9">
        <v>7</v>
      </c>
      <c r="B9">
        <v>1</v>
      </c>
      <c r="C9">
        <v>1</v>
      </c>
      <c r="D9">
        <v>5</v>
      </c>
      <c r="E9">
        <v>6</v>
      </c>
      <c r="F9">
        <v>9</v>
      </c>
      <c r="G9">
        <v>9</v>
      </c>
      <c r="H9">
        <v>3</v>
      </c>
      <c r="I9">
        <v>1</v>
      </c>
      <c r="J9">
        <v>5</v>
      </c>
      <c r="K9">
        <v>1</v>
      </c>
    </row>
    <row r="10" spans="1:12">
      <c r="A10">
        <v>8</v>
      </c>
      <c r="B10">
        <v>1</v>
      </c>
      <c r="C10">
        <v>1</v>
      </c>
      <c r="D10">
        <v>3</v>
      </c>
      <c r="E10">
        <v>2</v>
      </c>
      <c r="F10">
        <v>14</v>
      </c>
      <c r="G10">
        <v>20</v>
      </c>
      <c r="H10">
        <v>7</v>
      </c>
      <c r="I10">
        <v>1</v>
      </c>
      <c r="J10">
        <v>1</v>
      </c>
      <c r="K10">
        <v>2</v>
      </c>
    </row>
    <row r="11" spans="1:12">
      <c r="A11">
        <v>9</v>
      </c>
      <c r="C11">
        <v>1</v>
      </c>
      <c r="D11">
        <v>2</v>
      </c>
      <c r="E11">
        <v>6</v>
      </c>
      <c r="F11">
        <v>5</v>
      </c>
      <c r="G11">
        <v>17</v>
      </c>
      <c r="H11">
        <v>3</v>
      </c>
      <c r="I11">
        <v>3</v>
      </c>
      <c r="J11">
        <v>3</v>
      </c>
      <c r="K11">
        <v>1</v>
      </c>
    </row>
    <row r="12" spans="1:12">
      <c r="A12">
        <v>10</v>
      </c>
      <c r="C12">
        <v>1</v>
      </c>
      <c r="D12">
        <v>6</v>
      </c>
      <c r="E12">
        <v>6</v>
      </c>
      <c r="F12">
        <v>17</v>
      </c>
      <c r="G12">
        <v>16</v>
      </c>
      <c r="H12">
        <v>4</v>
      </c>
      <c r="I12">
        <v>2</v>
      </c>
      <c r="J12">
        <v>4</v>
      </c>
      <c r="K12">
        <v>2</v>
      </c>
    </row>
    <row r="13" spans="1:12">
      <c r="A13">
        <v>11</v>
      </c>
      <c r="C13">
        <v>1</v>
      </c>
      <c r="D13">
        <v>3</v>
      </c>
      <c r="E13">
        <v>6</v>
      </c>
      <c r="F13">
        <v>20</v>
      </c>
      <c r="G13">
        <v>2</v>
      </c>
      <c r="H13">
        <v>1</v>
      </c>
      <c r="I13">
        <v>9</v>
      </c>
      <c r="J13">
        <v>2</v>
      </c>
      <c r="K13">
        <v>2</v>
      </c>
    </row>
    <row r="14" spans="1:12">
      <c r="A14">
        <v>12</v>
      </c>
      <c r="C14">
        <v>1</v>
      </c>
      <c r="D14">
        <v>9</v>
      </c>
      <c r="E14">
        <v>4</v>
      </c>
      <c r="F14">
        <v>8</v>
      </c>
      <c r="G14">
        <v>3</v>
      </c>
      <c r="H14">
        <v>5</v>
      </c>
      <c r="I14">
        <v>9</v>
      </c>
      <c r="J14">
        <v>13</v>
      </c>
      <c r="K14">
        <v>2</v>
      </c>
    </row>
    <row r="15" spans="1:12">
      <c r="A15">
        <v>13</v>
      </c>
      <c r="C15">
        <v>1</v>
      </c>
      <c r="D15">
        <v>2</v>
      </c>
      <c r="E15">
        <v>5</v>
      </c>
      <c r="F15">
        <v>11</v>
      </c>
      <c r="G15">
        <v>2</v>
      </c>
      <c r="H15">
        <v>11</v>
      </c>
      <c r="I15">
        <v>1</v>
      </c>
      <c r="J15">
        <v>3</v>
      </c>
      <c r="K15">
        <v>8</v>
      </c>
    </row>
    <row r="16" spans="1:12">
      <c r="A16">
        <v>14</v>
      </c>
      <c r="C16">
        <v>1</v>
      </c>
      <c r="D16">
        <v>4</v>
      </c>
      <c r="E16">
        <v>7</v>
      </c>
      <c r="F16">
        <v>3</v>
      </c>
      <c r="G16">
        <v>6</v>
      </c>
      <c r="H16">
        <v>14</v>
      </c>
      <c r="I16">
        <v>6</v>
      </c>
      <c r="J16">
        <v>2</v>
      </c>
      <c r="K16">
        <v>1</v>
      </c>
    </row>
    <row r="17" spans="1:40">
      <c r="A17">
        <v>15</v>
      </c>
      <c r="C17">
        <v>1</v>
      </c>
      <c r="D17">
        <v>6</v>
      </c>
      <c r="E17">
        <v>8</v>
      </c>
      <c r="F17">
        <v>9</v>
      </c>
      <c r="G17">
        <v>4</v>
      </c>
      <c r="H17">
        <v>11</v>
      </c>
      <c r="I17">
        <v>2</v>
      </c>
      <c r="J17">
        <v>5</v>
      </c>
      <c r="K17">
        <v>2</v>
      </c>
    </row>
    <row r="18" spans="1:40">
      <c r="A18">
        <v>16</v>
      </c>
      <c r="C18">
        <v>1</v>
      </c>
      <c r="D18">
        <v>3</v>
      </c>
      <c r="E18">
        <v>8</v>
      </c>
      <c r="F18">
        <v>7</v>
      </c>
      <c r="G18">
        <v>6</v>
      </c>
      <c r="H18">
        <v>7</v>
      </c>
      <c r="I18">
        <v>2</v>
      </c>
      <c r="J18">
        <v>2</v>
      </c>
      <c r="K18">
        <v>4</v>
      </c>
    </row>
    <row r="19" spans="1:40">
      <c r="B19">
        <f>AVERAGE(B3:B18)</f>
        <v>1</v>
      </c>
      <c r="C19">
        <f t="shared" ref="C19:L19" si="0">AVERAGE(C3:C18)</f>
        <v>1</v>
      </c>
      <c r="D19">
        <f t="shared" ref="D19:E19" si="1">AVERAGE(D3:D18)</f>
        <v>4.4375</v>
      </c>
      <c r="E19">
        <f t="shared" si="1"/>
        <v>8.3125</v>
      </c>
      <c r="F19">
        <f t="shared" si="0"/>
        <v>10.1875</v>
      </c>
      <c r="G19">
        <f t="shared" si="0"/>
        <v>8.25</v>
      </c>
      <c r="H19">
        <f t="shared" si="0"/>
        <v>7</v>
      </c>
      <c r="I19">
        <f t="shared" si="0"/>
        <v>5</v>
      </c>
      <c r="J19">
        <f>AVERAGE(J3:J18)</f>
        <v>3.5625</v>
      </c>
      <c r="K19">
        <f t="shared" si="0"/>
        <v>2.6875</v>
      </c>
      <c r="L19" t="e">
        <f t="shared" si="0"/>
        <v>#DIV/0!</v>
      </c>
    </row>
    <row r="20" spans="1:40">
      <c r="B20">
        <f>STDEV(B3:B18)</f>
        <v>0</v>
      </c>
      <c r="C20">
        <f t="shared" ref="C20:L20" si="2">STDEV(C3:C18)</f>
        <v>0</v>
      </c>
      <c r="D20">
        <f t="shared" ref="D20:E20" si="3">STDEV(D3:D18)</f>
        <v>2.5552234083669996</v>
      </c>
      <c r="E20">
        <f t="shared" si="3"/>
        <v>5.7471007183332592</v>
      </c>
      <c r="F20">
        <f t="shared" si="2"/>
        <v>4.6363599227554939</v>
      </c>
      <c r="G20">
        <f t="shared" si="2"/>
        <v>5.8821764679410968</v>
      </c>
      <c r="H20">
        <f t="shared" si="2"/>
        <v>4.5313721247910479</v>
      </c>
      <c r="I20">
        <f t="shared" si="2"/>
        <v>4.1472882706655438</v>
      </c>
      <c r="J20">
        <f t="shared" si="2"/>
        <v>2.7801378862687129</v>
      </c>
      <c r="K20">
        <f t="shared" si="2"/>
        <v>2.1203380233664002</v>
      </c>
      <c r="L20" t="e">
        <f t="shared" si="2"/>
        <v>#DIV/0!</v>
      </c>
    </row>
    <row r="21" spans="1:40">
      <c r="A21" t="s">
        <v>26</v>
      </c>
      <c r="D21" t="s">
        <v>28</v>
      </c>
      <c r="Z21">
        <v>13.84375</v>
      </c>
      <c r="AA21">
        <v>15.25</v>
      </c>
      <c r="AB21">
        <v>16.125</v>
      </c>
      <c r="AC21">
        <v>15.4375</v>
      </c>
      <c r="AD21">
        <v>16.1875</v>
      </c>
      <c r="AE21">
        <v>14</v>
      </c>
    </row>
    <row r="22" spans="1:40">
      <c r="B22" s="10">
        <v>6</v>
      </c>
      <c r="C22" s="10">
        <v>7</v>
      </c>
      <c r="D22" s="10">
        <v>8</v>
      </c>
      <c r="E22" s="10">
        <v>9</v>
      </c>
      <c r="F22" s="10">
        <v>10</v>
      </c>
      <c r="G22" s="10">
        <v>12</v>
      </c>
      <c r="H22" s="10">
        <v>14</v>
      </c>
      <c r="I22" s="10">
        <v>16</v>
      </c>
      <c r="J22" s="10">
        <v>18</v>
      </c>
      <c r="K22" s="10">
        <v>20</v>
      </c>
      <c r="L22" s="10">
        <v>22</v>
      </c>
      <c r="M22" s="10">
        <v>24</v>
      </c>
      <c r="N22" s="10">
        <v>26</v>
      </c>
      <c r="O22" s="10">
        <v>28</v>
      </c>
      <c r="P22" s="10">
        <v>30</v>
      </c>
      <c r="Q22" s="10">
        <v>32</v>
      </c>
      <c r="R22" s="10">
        <v>34</v>
      </c>
      <c r="S22" s="10">
        <v>36</v>
      </c>
      <c r="T22" s="10">
        <v>38</v>
      </c>
      <c r="X22" s="10">
        <v>8</v>
      </c>
      <c r="Y22" s="10">
        <v>9</v>
      </c>
      <c r="Z22" s="10">
        <v>10</v>
      </c>
      <c r="AA22" s="10">
        <v>12</v>
      </c>
      <c r="AB22" s="10">
        <v>14</v>
      </c>
      <c r="AC22" s="10">
        <v>16</v>
      </c>
      <c r="AD22" s="10">
        <v>18</v>
      </c>
      <c r="AE22" s="10">
        <v>20</v>
      </c>
      <c r="AF22" s="10">
        <v>22</v>
      </c>
      <c r="AG22" s="10">
        <v>24</v>
      </c>
      <c r="AH22" s="10">
        <v>26</v>
      </c>
      <c r="AI22" s="10">
        <v>28</v>
      </c>
      <c r="AJ22" s="10">
        <v>30</v>
      </c>
      <c r="AK22" s="10">
        <v>32</v>
      </c>
      <c r="AL22" s="10">
        <v>34</v>
      </c>
      <c r="AM22" s="10">
        <v>36</v>
      </c>
      <c r="AN22" s="10">
        <v>38</v>
      </c>
    </row>
    <row r="23" spans="1:40">
      <c r="A23">
        <v>1</v>
      </c>
      <c r="C23">
        <v>1</v>
      </c>
      <c r="D23">
        <v>3</v>
      </c>
      <c r="E23">
        <v>20</v>
      </c>
      <c r="F23">
        <v>17</v>
      </c>
      <c r="G23">
        <v>26</v>
      </c>
      <c r="H23">
        <v>27</v>
      </c>
      <c r="I23">
        <v>38</v>
      </c>
      <c r="J23">
        <v>65</v>
      </c>
      <c r="K23">
        <v>2</v>
      </c>
      <c r="L23">
        <v>13</v>
      </c>
      <c r="M23">
        <v>2</v>
      </c>
      <c r="N23">
        <v>23</v>
      </c>
      <c r="O23">
        <v>3</v>
      </c>
      <c r="P23" s="11">
        <v>6</v>
      </c>
      <c r="Q23" s="11">
        <v>3</v>
      </c>
      <c r="R23">
        <v>7</v>
      </c>
      <c r="S23">
        <v>38</v>
      </c>
      <c r="T23">
        <v>5</v>
      </c>
      <c r="X23">
        <v>2</v>
      </c>
      <c r="Y23">
        <v>2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2</v>
      </c>
      <c r="AH23">
        <v>1</v>
      </c>
      <c r="AI23">
        <v>1</v>
      </c>
      <c r="AJ23">
        <v>1</v>
      </c>
      <c r="AK23">
        <v>1</v>
      </c>
      <c r="AL23">
        <v>2</v>
      </c>
      <c r="AM23">
        <v>1</v>
      </c>
      <c r="AN23">
        <v>1</v>
      </c>
    </row>
    <row r="24" spans="1:40">
      <c r="A24">
        <v>2</v>
      </c>
      <c r="C24">
        <v>1</v>
      </c>
      <c r="D24">
        <v>2</v>
      </c>
      <c r="E24">
        <v>8</v>
      </c>
      <c r="F24">
        <v>10</v>
      </c>
      <c r="G24">
        <v>8</v>
      </c>
      <c r="H24">
        <v>18</v>
      </c>
      <c r="I24">
        <v>2</v>
      </c>
      <c r="J24">
        <v>3</v>
      </c>
      <c r="K24">
        <v>33</v>
      </c>
      <c r="L24">
        <v>9</v>
      </c>
      <c r="M24">
        <v>15</v>
      </c>
      <c r="N24">
        <v>31</v>
      </c>
      <c r="O24">
        <v>3</v>
      </c>
      <c r="P24">
        <v>5</v>
      </c>
      <c r="Q24">
        <v>36</v>
      </c>
      <c r="R24">
        <v>27</v>
      </c>
      <c r="S24">
        <v>7</v>
      </c>
      <c r="T24">
        <v>1</v>
      </c>
      <c r="X24">
        <v>2</v>
      </c>
      <c r="Y24">
        <v>3</v>
      </c>
      <c r="Z24">
        <v>1</v>
      </c>
      <c r="AA24">
        <v>1</v>
      </c>
      <c r="AB24">
        <v>2</v>
      </c>
      <c r="AC24">
        <v>1</v>
      </c>
      <c r="AD24">
        <v>1</v>
      </c>
      <c r="AE24">
        <v>1</v>
      </c>
      <c r="AF24">
        <v>2</v>
      </c>
      <c r="AG24">
        <v>2</v>
      </c>
      <c r="AH24">
        <v>1</v>
      </c>
      <c r="AI24">
        <v>1</v>
      </c>
      <c r="AJ24">
        <v>2</v>
      </c>
      <c r="AK24">
        <v>1</v>
      </c>
      <c r="AL24">
        <v>2</v>
      </c>
      <c r="AM24">
        <v>2</v>
      </c>
      <c r="AN24">
        <v>1</v>
      </c>
    </row>
    <row r="25" spans="1:40">
      <c r="A25">
        <v>3</v>
      </c>
      <c r="C25">
        <v>1</v>
      </c>
      <c r="D25">
        <v>4</v>
      </c>
      <c r="E25">
        <v>17</v>
      </c>
      <c r="F25">
        <v>30</v>
      </c>
      <c r="G25">
        <v>11</v>
      </c>
      <c r="H25">
        <v>23</v>
      </c>
      <c r="I25">
        <v>17</v>
      </c>
      <c r="J25">
        <v>21</v>
      </c>
      <c r="K25">
        <v>18</v>
      </c>
      <c r="L25">
        <v>2</v>
      </c>
      <c r="M25">
        <v>25</v>
      </c>
      <c r="N25">
        <v>13</v>
      </c>
      <c r="O25">
        <v>21</v>
      </c>
      <c r="P25">
        <v>17</v>
      </c>
      <c r="Q25">
        <v>33</v>
      </c>
      <c r="R25">
        <v>10</v>
      </c>
      <c r="S25">
        <v>2</v>
      </c>
      <c r="T25">
        <v>1</v>
      </c>
      <c r="X25">
        <v>2</v>
      </c>
      <c r="Y25">
        <v>4</v>
      </c>
      <c r="Z25">
        <v>1</v>
      </c>
      <c r="AA25">
        <v>2</v>
      </c>
      <c r="AB25">
        <v>3</v>
      </c>
      <c r="AC25">
        <v>1</v>
      </c>
      <c r="AD25">
        <v>1</v>
      </c>
      <c r="AE25">
        <v>1</v>
      </c>
      <c r="AF25">
        <v>2</v>
      </c>
      <c r="AG25">
        <v>3</v>
      </c>
      <c r="AH25">
        <v>1</v>
      </c>
      <c r="AI25">
        <v>1</v>
      </c>
      <c r="AJ25">
        <v>3</v>
      </c>
      <c r="AK25">
        <v>2</v>
      </c>
      <c r="AL25">
        <v>3</v>
      </c>
      <c r="AM25">
        <v>2</v>
      </c>
      <c r="AN25">
        <v>1</v>
      </c>
    </row>
    <row r="26" spans="1:40">
      <c r="A26">
        <v>4</v>
      </c>
      <c r="C26">
        <v>1</v>
      </c>
      <c r="D26">
        <v>3</v>
      </c>
      <c r="E26">
        <v>4</v>
      </c>
      <c r="F26">
        <v>9</v>
      </c>
      <c r="G26">
        <v>33</v>
      </c>
      <c r="H26">
        <v>13</v>
      </c>
      <c r="I26">
        <v>17</v>
      </c>
      <c r="J26">
        <v>13</v>
      </c>
      <c r="K26">
        <v>2</v>
      </c>
      <c r="L26">
        <v>4</v>
      </c>
      <c r="M26">
        <v>4</v>
      </c>
      <c r="N26">
        <v>12</v>
      </c>
      <c r="O26">
        <v>1</v>
      </c>
      <c r="P26">
        <v>7</v>
      </c>
      <c r="Q26">
        <v>4</v>
      </c>
      <c r="R26">
        <v>6</v>
      </c>
      <c r="S26">
        <v>28</v>
      </c>
      <c r="T26">
        <v>3</v>
      </c>
      <c r="X26">
        <v>3</v>
      </c>
      <c r="Y26">
        <v>4</v>
      </c>
      <c r="Z26">
        <v>3</v>
      </c>
      <c r="AA26">
        <v>2</v>
      </c>
      <c r="AB26">
        <v>4</v>
      </c>
      <c r="AC26">
        <v>1</v>
      </c>
      <c r="AD26">
        <v>2</v>
      </c>
      <c r="AE26">
        <v>2</v>
      </c>
      <c r="AF26">
        <v>2</v>
      </c>
      <c r="AG26">
        <v>3</v>
      </c>
      <c r="AH26">
        <v>2</v>
      </c>
      <c r="AI26">
        <v>1</v>
      </c>
      <c r="AJ26">
        <v>3</v>
      </c>
      <c r="AK26">
        <v>2</v>
      </c>
      <c r="AL26">
        <v>4</v>
      </c>
      <c r="AM26">
        <v>2</v>
      </c>
      <c r="AN26">
        <v>1</v>
      </c>
    </row>
    <row r="27" spans="1:40">
      <c r="A27">
        <v>5</v>
      </c>
      <c r="C27">
        <v>1</v>
      </c>
      <c r="D27">
        <v>7</v>
      </c>
      <c r="E27">
        <v>3</v>
      </c>
      <c r="F27">
        <v>17</v>
      </c>
      <c r="G27">
        <v>1</v>
      </c>
      <c r="H27">
        <v>27</v>
      </c>
      <c r="I27">
        <v>34</v>
      </c>
      <c r="J27">
        <v>14</v>
      </c>
      <c r="K27">
        <v>3</v>
      </c>
      <c r="L27">
        <v>1</v>
      </c>
      <c r="M27">
        <v>2</v>
      </c>
      <c r="N27">
        <v>1</v>
      </c>
      <c r="O27">
        <v>48</v>
      </c>
      <c r="P27">
        <v>2</v>
      </c>
      <c r="Q27">
        <v>19</v>
      </c>
      <c r="R27">
        <v>14</v>
      </c>
      <c r="S27">
        <v>38</v>
      </c>
      <c r="T27">
        <v>6</v>
      </c>
      <c r="X27">
        <v>3</v>
      </c>
      <c r="Y27">
        <v>5</v>
      </c>
      <c r="Z27">
        <v>4</v>
      </c>
      <c r="AA27">
        <v>4</v>
      </c>
      <c r="AB27">
        <v>4</v>
      </c>
      <c r="AC27">
        <v>2</v>
      </c>
      <c r="AD27">
        <v>2</v>
      </c>
      <c r="AE27">
        <v>2</v>
      </c>
      <c r="AF27">
        <v>4</v>
      </c>
      <c r="AG27">
        <v>4</v>
      </c>
      <c r="AH27">
        <v>3</v>
      </c>
      <c r="AI27">
        <v>3</v>
      </c>
      <c r="AJ27">
        <v>5</v>
      </c>
      <c r="AK27" s="11">
        <v>3</v>
      </c>
      <c r="AL27">
        <v>5</v>
      </c>
      <c r="AM27">
        <v>3</v>
      </c>
      <c r="AN27">
        <v>2</v>
      </c>
    </row>
    <row r="28" spans="1:40">
      <c r="A28">
        <v>6</v>
      </c>
      <c r="C28">
        <v>1</v>
      </c>
      <c r="D28">
        <v>5</v>
      </c>
      <c r="E28">
        <v>5</v>
      </c>
      <c r="F28">
        <v>5</v>
      </c>
      <c r="G28">
        <v>6</v>
      </c>
      <c r="H28">
        <v>26</v>
      </c>
      <c r="I28">
        <v>68</v>
      </c>
      <c r="J28">
        <v>30</v>
      </c>
      <c r="K28">
        <v>7</v>
      </c>
      <c r="L28">
        <v>2</v>
      </c>
      <c r="M28">
        <v>16</v>
      </c>
      <c r="N28">
        <v>15</v>
      </c>
      <c r="O28">
        <v>3</v>
      </c>
      <c r="P28">
        <v>10</v>
      </c>
      <c r="Q28">
        <v>1</v>
      </c>
      <c r="R28">
        <v>25</v>
      </c>
      <c r="S28">
        <v>5</v>
      </c>
      <c r="T28">
        <v>1</v>
      </c>
      <c r="X28">
        <v>3</v>
      </c>
      <c r="Y28">
        <v>6</v>
      </c>
      <c r="Z28">
        <v>4</v>
      </c>
      <c r="AA28">
        <v>6</v>
      </c>
      <c r="AB28">
        <v>5</v>
      </c>
      <c r="AC28">
        <v>2</v>
      </c>
      <c r="AD28">
        <v>3</v>
      </c>
      <c r="AE28">
        <v>2</v>
      </c>
      <c r="AF28">
        <v>4</v>
      </c>
      <c r="AG28">
        <v>5</v>
      </c>
      <c r="AH28">
        <v>3</v>
      </c>
      <c r="AI28">
        <v>3</v>
      </c>
      <c r="AJ28">
        <v>5</v>
      </c>
      <c r="AK28">
        <v>4</v>
      </c>
      <c r="AL28">
        <v>6</v>
      </c>
      <c r="AM28">
        <v>3</v>
      </c>
      <c r="AN28">
        <v>2</v>
      </c>
    </row>
    <row r="29" spans="1:40">
      <c r="A29">
        <v>7</v>
      </c>
      <c r="C29">
        <v>1</v>
      </c>
      <c r="D29">
        <v>5</v>
      </c>
      <c r="E29">
        <v>8</v>
      </c>
      <c r="F29">
        <v>16</v>
      </c>
      <c r="G29">
        <v>11</v>
      </c>
      <c r="H29">
        <v>15</v>
      </c>
      <c r="I29">
        <v>1</v>
      </c>
      <c r="J29">
        <v>58</v>
      </c>
      <c r="K29">
        <v>15</v>
      </c>
      <c r="L29">
        <v>2</v>
      </c>
      <c r="M29">
        <v>6</v>
      </c>
      <c r="N29">
        <v>1</v>
      </c>
      <c r="O29">
        <v>1</v>
      </c>
      <c r="P29">
        <v>1</v>
      </c>
      <c r="Q29">
        <v>2</v>
      </c>
      <c r="R29">
        <v>13</v>
      </c>
      <c r="S29">
        <v>5</v>
      </c>
      <c r="T29">
        <v>5</v>
      </c>
      <c r="X29">
        <v>3</v>
      </c>
      <c r="Y29">
        <v>7</v>
      </c>
      <c r="Z29">
        <v>5</v>
      </c>
      <c r="AA29">
        <v>6</v>
      </c>
      <c r="AB29">
        <v>5</v>
      </c>
      <c r="AC29">
        <v>2</v>
      </c>
      <c r="AD29">
        <v>3</v>
      </c>
      <c r="AE29">
        <v>2</v>
      </c>
      <c r="AF29">
        <v>7</v>
      </c>
      <c r="AG29">
        <v>6</v>
      </c>
      <c r="AH29">
        <v>5</v>
      </c>
      <c r="AI29">
        <v>4</v>
      </c>
      <c r="AJ29" s="11">
        <v>6</v>
      </c>
      <c r="AK29">
        <v>8</v>
      </c>
      <c r="AL29">
        <v>7</v>
      </c>
      <c r="AM29">
        <v>5</v>
      </c>
      <c r="AN29">
        <v>3</v>
      </c>
    </row>
    <row r="30" spans="1:40">
      <c r="A30">
        <v>8</v>
      </c>
      <c r="C30">
        <v>1</v>
      </c>
      <c r="D30">
        <v>3</v>
      </c>
      <c r="E30">
        <v>2</v>
      </c>
      <c r="F30">
        <v>27</v>
      </c>
      <c r="G30">
        <v>26</v>
      </c>
      <c r="H30">
        <v>6</v>
      </c>
      <c r="I30">
        <v>1</v>
      </c>
      <c r="J30">
        <v>1</v>
      </c>
      <c r="K30">
        <v>2</v>
      </c>
      <c r="L30">
        <v>67</v>
      </c>
      <c r="M30">
        <v>24</v>
      </c>
      <c r="N30">
        <v>14</v>
      </c>
      <c r="O30">
        <v>14</v>
      </c>
      <c r="P30">
        <v>3</v>
      </c>
      <c r="Q30">
        <v>8</v>
      </c>
      <c r="R30">
        <v>2</v>
      </c>
      <c r="S30">
        <v>6</v>
      </c>
      <c r="T30">
        <v>6</v>
      </c>
      <c r="X30">
        <v>3</v>
      </c>
      <c r="Y30">
        <v>7</v>
      </c>
      <c r="Z30">
        <v>5</v>
      </c>
      <c r="AA30">
        <v>6</v>
      </c>
      <c r="AB30">
        <v>5</v>
      </c>
      <c r="AC30">
        <v>2</v>
      </c>
      <c r="AD30">
        <v>3</v>
      </c>
      <c r="AE30">
        <v>2</v>
      </c>
      <c r="AF30">
        <v>9</v>
      </c>
      <c r="AG30">
        <v>7</v>
      </c>
      <c r="AH30">
        <v>10</v>
      </c>
      <c r="AI30">
        <v>4</v>
      </c>
      <c r="AJ30">
        <v>7</v>
      </c>
      <c r="AK30">
        <v>8</v>
      </c>
      <c r="AL30">
        <v>8</v>
      </c>
      <c r="AM30">
        <v>5</v>
      </c>
      <c r="AN30">
        <v>3</v>
      </c>
    </row>
    <row r="31" spans="1:40">
      <c r="A31">
        <v>9</v>
      </c>
      <c r="C31">
        <v>1</v>
      </c>
      <c r="D31">
        <v>2</v>
      </c>
      <c r="E31">
        <v>4</v>
      </c>
      <c r="F31">
        <v>5</v>
      </c>
      <c r="G31">
        <v>19</v>
      </c>
      <c r="H31">
        <v>26</v>
      </c>
      <c r="I31">
        <v>23</v>
      </c>
      <c r="J31">
        <v>12</v>
      </c>
      <c r="K31">
        <v>20</v>
      </c>
      <c r="L31">
        <v>15</v>
      </c>
      <c r="M31">
        <v>25</v>
      </c>
      <c r="N31">
        <v>3</v>
      </c>
      <c r="O31">
        <v>7</v>
      </c>
      <c r="P31">
        <v>5</v>
      </c>
      <c r="Q31">
        <v>13</v>
      </c>
      <c r="R31">
        <v>3</v>
      </c>
      <c r="S31">
        <v>1</v>
      </c>
      <c r="T31">
        <v>1</v>
      </c>
      <c r="X31">
        <v>4</v>
      </c>
      <c r="Y31">
        <v>8</v>
      </c>
      <c r="Z31">
        <v>5</v>
      </c>
      <c r="AA31">
        <v>7</v>
      </c>
      <c r="AB31">
        <v>6</v>
      </c>
      <c r="AC31">
        <v>3</v>
      </c>
      <c r="AD31">
        <v>4</v>
      </c>
      <c r="AE31">
        <v>3</v>
      </c>
      <c r="AF31">
        <v>9</v>
      </c>
      <c r="AG31">
        <v>10</v>
      </c>
      <c r="AH31">
        <v>12</v>
      </c>
      <c r="AI31">
        <v>7</v>
      </c>
      <c r="AJ31">
        <v>10</v>
      </c>
      <c r="AK31">
        <v>12</v>
      </c>
      <c r="AL31">
        <v>10</v>
      </c>
      <c r="AM31">
        <v>6</v>
      </c>
      <c r="AN31">
        <v>3</v>
      </c>
    </row>
    <row r="32" spans="1:40">
      <c r="A32">
        <v>10</v>
      </c>
      <c r="C32">
        <v>1</v>
      </c>
      <c r="D32">
        <v>12</v>
      </c>
      <c r="E32">
        <v>7</v>
      </c>
      <c r="F32">
        <v>43</v>
      </c>
      <c r="G32">
        <v>17</v>
      </c>
      <c r="H32">
        <v>3</v>
      </c>
      <c r="I32">
        <v>3</v>
      </c>
      <c r="J32">
        <v>3</v>
      </c>
      <c r="K32">
        <v>1</v>
      </c>
      <c r="L32">
        <v>11</v>
      </c>
      <c r="M32">
        <v>37</v>
      </c>
      <c r="N32">
        <v>5</v>
      </c>
      <c r="O32">
        <v>1</v>
      </c>
      <c r="P32">
        <v>3</v>
      </c>
      <c r="Q32">
        <v>12</v>
      </c>
      <c r="R32">
        <v>4</v>
      </c>
      <c r="S32">
        <v>9</v>
      </c>
      <c r="T32">
        <v>9</v>
      </c>
      <c r="X32">
        <v>4</v>
      </c>
      <c r="Y32">
        <v>8</v>
      </c>
      <c r="Z32">
        <v>6</v>
      </c>
      <c r="AA32">
        <v>8</v>
      </c>
      <c r="AB32">
        <v>6</v>
      </c>
      <c r="AC32">
        <v>4</v>
      </c>
      <c r="AD32">
        <v>4</v>
      </c>
      <c r="AE32">
        <v>4</v>
      </c>
      <c r="AF32">
        <v>10</v>
      </c>
      <c r="AG32">
        <v>15</v>
      </c>
      <c r="AH32">
        <v>13</v>
      </c>
      <c r="AI32">
        <v>14</v>
      </c>
      <c r="AJ32">
        <v>10</v>
      </c>
      <c r="AK32">
        <v>13</v>
      </c>
      <c r="AL32">
        <v>13</v>
      </c>
      <c r="AM32">
        <v>7</v>
      </c>
      <c r="AN32">
        <v>5</v>
      </c>
    </row>
    <row r="33" spans="1:40">
      <c r="A33">
        <v>11</v>
      </c>
      <c r="C33">
        <v>1</v>
      </c>
      <c r="D33">
        <v>3</v>
      </c>
      <c r="E33">
        <v>15</v>
      </c>
      <c r="F33">
        <v>28</v>
      </c>
      <c r="G33">
        <v>2</v>
      </c>
      <c r="H33">
        <v>62</v>
      </c>
      <c r="I33">
        <v>8</v>
      </c>
      <c r="J33">
        <v>17</v>
      </c>
      <c r="K33">
        <v>25</v>
      </c>
      <c r="L33">
        <v>18</v>
      </c>
      <c r="M33">
        <v>7</v>
      </c>
      <c r="N33">
        <v>17</v>
      </c>
      <c r="O33">
        <v>14</v>
      </c>
      <c r="P33">
        <v>11</v>
      </c>
      <c r="Q33">
        <v>8</v>
      </c>
      <c r="R33">
        <v>5</v>
      </c>
      <c r="S33">
        <v>13</v>
      </c>
      <c r="T33">
        <v>13</v>
      </c>
      <c r="X33">
        <v>5</v>
      </c>
      <c r="Y33">
        <v>12</v>
      </c>
      <c r="Z33">
        <v>7</v>
      </c>
      <c r="AA33">
        <v>8</v>
      </c>
      <c r="AB33">
        <v>7</v>
      </c>
      <c r="AC33">
        <v>5</v>
      </c>
      <c r="AD33">
        <v>5</v>
      </c>
      <c r="AE33">
        <v>4</v>
      </c>
      <c r="AF33">
        <v>11</v>
      </c>
      <c r="AG33">
        <v>16</v>
      </c>
      <c r="AH33">
        <v>14</v>
      </c>
      <c r="AI33">
        <v>14</v>
      </c>
      <c r="AJ33">
        <v>11</v>
      </c>
      <c r="AK33">
        <v>14</v>
      </c>
      <c r="AL33">
        <v>14</v>
      </c>
      <c r="AM33">
        <v>9</v>
      </c>
      <c r="AN33">
        <v>5</v>
      </c>
    </row>
    <row r="34" spans="1:40">
      <c r="A34">
        <v>12</v>
      </c>
      <c r="C34">
        <v>1</v>
      </c>
      <c r="D34">
        <v>27</v>
      </c>
      <c r="E34">
        <v>32</v>
      </c>
      <c r="F34">
        <v>14</v>
      </c>
      <c r="G34">
        <v>23</v>
      </c>
      <c r="H34">
        <v>6</v>
      </c>
      <c r="I34">
        <v>5</v>
      </c>
      <c r="J34">
        <v>13</v>
      </c>
      <c r="K34">
        <v>28</v>
      </c>
      <c r="L34">
        <v>7</v>
      </c>
      <c r="M34">
        <v>3</v>
      </c>
      <c r="N34">
        <v>3</v>
      </c>
      <c r="O34">
        <v>1</v>
      </c>
      <c r="P34">
        <v>2</v>
      </c>
      <c r="Q34">
        <v>19</v>
      </c>
      <c r="R34">
        <v>35</v>
      </c>
      <c r="S34">
        <v>3</v>
      </c>
      <c r="T34">
        <v>3</v>
      </c>
      <c r="X34">
        <v>5</v>
      </c>
      <c r="Y34">
        <v>14</v>
      </c>
      <c r="Z34">
        <v>8</v>
      </c>
      <c r="AA34">
        <v>9</v>
      </c>
      <c r="AB34">
        <v>8</v>
      </c>
      <c r="AC34">
        <v>6</v>
      </c>
      <c r="AD34">
        <v>7</v>
      </c>
      <c r="AE34">
        <v>5</v>
      </c>
      <c r="AF34">
        <v>13</v>
      </c>
      <c r="AG34">
        <v>24</v>
      </c>
      <c r="AH34">
        <v>15</v>
      </c>
      <c r="AI34">
        <v>21</v>
      </c>
      <c r="AJ34">
        <v>15</v>
      </c>
      <c r="AK34">
        <v>19</v>
      </c>
      <c r="AL34">
        <v>14</v>
      </c>
      <c r="AM34">
        <v>11</v>
      </c>
      <c r="AN34">
        <v>6</v>
      </c>
    </row>
    <row r="35" spans="1:40">
      <c r="A35">
        <v>13</v>
      </c>
      <c r="C35">
        <v>1</v>
      </c>
      <c r="D35">
        <v>2</v>
      </c>
      <c r="E35">
        <v>7</v>
      </c>
      <c r="F35">
        <v>16</v>
      </c>
      <c r="G35">
        <v>28</v>
      </c>
      <c r="H35">
        <v>5</v>
      </c>
      <c r="I35">
        <v>2</v>
      </c>
      <c r="J35">
        <v>17</v>
      </c>
      <c r="K35">
        <v>8</v>
      </c>
      <c r="L35">
        <v>4</v>
      </c>
      <c r="M35">
        <v>3</v>
      </c>
      <c r="N35">
        <v>10</v>
      </c>
      <c r="O35">
        <v>34</v>
      </c>
      <c r="P35">
        <v>15</v>
      </c>
      <c r="Q35">
        <v>26</v>
      </c>
      <c r="R35">
        <v>8</v>
      </c>
      <c r="S35">
        <v>2</v>
      </c>
      <c r="T35">
        <v>2</v>
      </c>
      <c r="X35">
        <v>7</v>
      </c>
      <c r="Y35">
        <v>15</v>
      </c>
      <c r="Z35">
        <v>9</v>
      </c>
      <c r="AA35">
        <v>10</v>
      </c>
      <c r="AB35">
        <v>8</v>
      </c>
      <c r="AC35">
        <v>8</v>
      </c>
      <c r="AD35">
        <v>7</v>
      </c>
      <c r="AE35">
        <v>7</v>
      </c>
      <c r="AF35">
        <v>15</v>
      </c>
      <c r="AG35">
        <v>25</v>
      </c>
      <c r="AH35">
        <v>17</v>
      </c>
      <c r="AI35">
        <v>28</v>
      </c>
      <c r="AJ35">
        <v>15</v>
      </c>
      <c r="AK35">
        <v>19</v>
      </c>
      <c r="AL35">
        <v>25</v>
      </c>
      <c r="AM35">
        <v>13</v>
      </c>
      <c r="AN35">
        <v>6</v>
      </c>
    </row>
    <row r="36" spans="1:40">
      <c r="A36">
        <v>14</v>
      </c>
      <c r="C36">
        <v>1</v>
      </c>
      <c r="D36">
        <v>4</v>
      </c>
      <c r="E36">
        <v>14</v>
      </c>
      <c r="F36">
        <v>4</v>
      </c>
      <c r="G36">
        <v>36</v>
      </c>
      <c r="H36">
        <v>9</v>
      </c>
      <c r="I36">
        <v>15</v>
      </c>
      <c r="J36">
        <v>12</v>
      </c>
      <c r="K36">
        <v>19</v>
      </c>
      <c r="L36">
        <v>52</v>
      </c>
      <c r="M36">
        <v>28</v>
      </c>
      <c r="N36">
        <v>2</v>
      </c>
      <c r="O36">
        <v>4</v>
      </c>
      <c r="P36">
        <v>10</v>
      </c>
      <c r="Q36">
        <v>2</v>
      </c>
      <c r="R36">
        <v>14</v>
      </c>
      <c r="S36">
        <v>11</v>
      </c>
      <c r="T36">
        <v>11</v>
      </c>
      <c r="X36">
        <v>12</v>
      </c>
      <c r="Y36">
        <v>17</v>
      </c>
      <c r="Z36">
        <v>10</v>
      </c>
      <c r="AA36">
        <v>11</v>
      </c>
      <c r="AB36">
        <v>8</v>
      </c>
      <c r="AC36">
        <v>11</v>
      </c>
      <c r="AD36">
        <v>7</v>
      </c>
      <c r="AE36">
        <v>7</v>
      </c>
      <c r="AF36">
        <v>18</v>
      </c>
      <c r="AG36">
        <v>25</v>
      </c>
      <c r="AH36">
        <v>23</v>
      </c>
      <c r="AI36">
        <v>34</v>
      </c>
      <c r="AJ36">
        <v>17</v>
      </c>
      <c r="AK36">
        <v>26</v>
      </c>
      <c r="AL36">
        <v>27</v>
      </c>
      <c r="AM36">
        <v>28</v>
      </c>
      <c r="AN36">
        <v>9</v>
      </c>
    </row>
    <row r="37" spans="1:40">
      <c r="A37">
        <v>15</v>
      </c>
      <c r="C37">
        <v>1</v>
      </c>
      <c r="D37">
        <v>15</v>
      </c>
      <c r="E37">
        <v>12</v>
      </c>
      <c r="F37">
        <v>24</v>
      </c>
      <c r="G37">
        <v>6</v>
      </c>
      <c r="H37">
        <v>32</v>
      </c>
      <c r="I37">
        <v>4</v>
      </c>
      <c r="J37">
        <v>2</v>
      </c>
      <c r="K37">
        <v>7</v>
      </c>
      <c r="L37">
        <v>10</v>
      </c>
      <c r="M37">
        <v>10</v>
      </c>
      <c r="N37">
        <v>27</v>
      </c>
      <c r="O37">
        <v>28</v>
      </c>
      <c r="P37">
        <v>45</v>
      </c>
      <c r="Q37">
        <v>14</v>
      </c>
      <c r="R37">
        <v>28</v>
      </c>
      <c r="S37">
        <v>2</v>
      </c>
      <c r="T37">
        <v>2</v>
      </c>
      <c r="X37">
        <v>15</v>
      </c>
      <c r="Y37">
        <v>20</v>
      </c>
      <c r="Z37">
        <v>10</v>
      </c>
      <c r="AA37">
        <v>11</v>
      </c>
      <c r="AB37">
        <v>8</v>
      </c>
      <c r="AC37">
        <v>13</v>
      </c>
      <c r="AD37">
        <v>12</v>
      </c>
      <c r="AE37">
        <v>8</v>
      </c>
      <c r="AF37">
        <v>52</v>
      </c>
      <c r="AG37">
        <v>28</v>
      </c>
      <c r="AH37">
        <v>27</v>
      </c>
      <c r="AI37">
        <v>48</v>
      </c>
      <c r="AJ37">
        <v>45</v>
      </c>
      <c r="AK37">
        <v>33</v>
      </c>
      <c r="AL37">
        <v>28</v>
      </c>
      <c r="AM37">
        <v>38</v>
      </c>
      <c r="AN37">
        <v>11</v>
      </c>
    </row>
    <row r="38" spans="1:40">
      <c r="A38">
        <v>16</v>
      </c>
      <c r="C38">
        <v>1</v>
      </c>
      <c r="D38">
        <v>3</v>
      </c>
      <c r="E38">
        <v>6</v>
      </c>
      <c r="F38">
        <v>10</v>
      </c>
      <c r="G38">
        <v>45</v>
      </c>
      <c r="H38">
        <v>5</v>
      </c>
      <c r="I38">
        <v>2</v>
      </c>
      <c r="J38">
        <v>7</v>
      </c>
      <c r="K38">
        <v>21</v>
      </c>
      <c r="L38">
        <v>9</v>
      </c>
      <c r="M38">
        <v>5</v>
      </c>
      <c r="N38">
        <v>1</v>
      </c>
      <c r="O38">
        <v>4</v>
      </c>
      <c r="P38">
        <v>15</v>
      </c>
      <c r="Q38">
        <v>1</v>
      </c>
      <c r="R38">
        <v>2</v>
      </c>
      <c r="S38">
        <v>3</v>
      </c>
      <c r="T38">
        <v>3</v>
      </c>
      <c r="X38">
        <v>27</v>
      </c>
      <c r="Y38">
        <v>32</v>
      </c>
      <c r="Z38">
        <v>12</v>
      </c>
      <c r="AA38">
        <v>11</v>
      </c>
      <c r="AB38">
        <v>8</v>
      </c>
      <c r="AC38">
        <v>13</v>
      </c>
      <c r="AD38">
        <v>12</v>
      </c>
      <c r="AE38">
        <v>11</v>
      </c>
      <c r="AF38">
        <v>67</v>
      </c>
      <c r="AG38">
        <v>37</v>
      </c>
      <c r="AH38">
        <v>31</v>
      </c>
      <c r="AI38" s="15"/>
      <c r="AK38">
        <v>36</v>
      </c>
      <c r="AL38">
        <v>35</v>
      </c>
      <c r="AM38">
        <v>38</v>
      </c>
      <c r="AN38">
        <v>13</v>
      </c>
    </row>
    <row r="39" spans="1:40">
      <c r="A39">
        <v>17</v>
      </c>
      <c r="D39">
        <v>2</v>
      </c>
      <c r="E39">
        <v>5</v>
      </c>
      <c r="F39">
        <v>30</v>
      </c>
      <c r="G39">
        <v>14</v>
      </c>
      <c r="H39">
        <v>7</v>
      </c>
      <c r="I39">
        <v>21</v>
      </c>
      <c r="J39">
        <v>1</v>
      </c>
      <c r="K39">
        <v>4</v>
      </c>
      <c r="L39">
        <v>37</v>
      </c>
      <c r="M39">
        <v>25</v>
      </c>
      <c r="N39">
        <v>1</v>
      </c>
      <c r="O39">
        <v>1</v>
      </c>
      <c r="P39">
        <v>16</v>
      </c>
      <c r="Q39">
        <v>1</v>
      </c>
      <c r="R39">
        <v>1</v>
      </c>
      <c r="S39">
        <v>2</v>
      </c>
      <c r="V39">
        <f>SUM(D55:N55)</f>
        <v>148.5</v>
      </c>
      <c r="Z39">
        <v>13</v>
      </c>
      <c r="AA39">
        <v>12</v>
      </c>
      <c r="AB39">
        <v>9</v>
      </c>
      <c r="AC39">
        <v>14</v>
      </c>
      <c r="AD39">
        <v>13</v>
      </c>
      <c r="AE39">
        <v>12</v>
      </c>
    </row>
    <row r="40" spans="1:40">
      <c r="A40">
        <v>18</v>
      </c>
      <c r="D40">
        <v>4</v>
      </c>
      <c r="E40">
        <v>8</v>
      </c>
      <c r="F40">
        <v>5</v>
      </c>
      <c r="G40">
        <v>34</v>
      </c>
      <c r="H40">
        <v>4</v>
      </c>
      <c r="I40">
        <v>6</v>
      </c>
      <c r="J40">
        <v>19</v>
      </c>
      <c r="K40">
        <v>5</v>
      </c>
      <c r="L40">
        <v>38</v>
      </c>
      <c r="M40">
        <v>22</v>
      </c>
      <c r="N40">
        <v>4</v>
      </c>
      <c r="O40">
        <v>5</v>
      </c>
      <c r="P40">
        <v>4</v>
      </c>
      <c r="Q40">
        <v>6</v>
      </c>
      <c r="R40">
        <v>5</v>
      </c>
      <c r="S40">
        <v>9</v>
      </c>
      <c r="Z40">
        <v>13</v>
      </c>
      <c r="AA40">
        <v>14</v>
      </c>
      <c r="AB40">
        <v>13</v>
      </c>
      <c r="AC40">
        <v>15</v>
      </c>
      <c r="AD40">
        <v>13</v>
      </c>
      <c r="AE40">
        <v>13</v>
      </c>
    </row>
    <row r="41" spans="1:40">
      <c r="A41">
        <v>19</v>
      </c>
      <c r="D41">
        <v>20</v>
      </c>
      <c r="E41">
        <v>8</v>
      </c>
      <c r="F41">
        <v>12</v>
      </c>
      <c r="G41">
        <v>21</v>
      </c>
      <c r="H41">
        <v>8</v>
      </c>
      <c r="I41">
        <v>2</v>
      </c>
      <c r="J41">
        <v>31</v>
      </c>
      <c r="K41">
        <v>11</v>
      </c>
      <c r="L41">
        <v>36</v>
      </c>
      <c r="M41">
        <v>10</v>
      </c>
      <c r="N41">
        <v>6</v>
      </c>
      <c r="O41">
        <v>18</v>
      </c>
      <c r="P41">
        <v>14</v>
      </c>
      <c r="Q41">
        <v>2</v>
      </c>
      <c r="R41">
        <v>27</v>
      </c>
      <c r="Z41">
        <v>14</v>
      </c>
      <c r="AA41">
        <v>14</v>
      </c>
      <c r="AB41">
        <v>14</v>
      </c>
      <c r="AC41">
        <v>16</v>
      </c>
      <c r="AD41">
        <v>14</v>
      </c>
      <c r="AE41">
        <v>15</v>
      </c>
    </row>
    <row r="42" spans="1:40">
      <c r="A42">
        <v>20</v>
      </c>
      <c r="D42">
        <v>15</v>
      </c>
      <c r="E42">
        <v>8</v>
      </c>
      <c r="F42">
        <v>3</v>
      </c>
      <c r="G42">
        <v>7</v>
      </c>
      <c r="H42">
        <v>5</v>
      </c>
      <c r="I42">
        <v>13</v>
      </c>
      <c r="J42">
        <v>4</v>
      </c>
      <c r="K42">
        <v>53</v>
      </c>
      <c r="L42">
        <v>1</v>
      </c>
      <c r="M42">
        <v>12</v>
      </c>
      <c r="N42">
        <v>8</v>
      </c>
      <c r="O42">
        <v>8</v>
      </c>
      <c r="P42">
        <v>15</v>
      </c>
      <c r="Q42">
        <v>3</v>
      </c>
      <c r="R42">
        <v>14</v>
      </c>
      <c r="S42">
        <v>1</v>
      </c>
      <c r="Z42">
        <v>16</v>
      </c>
      <c r="AA42">
        <v>17</v>
      </c>
      <c r="AB42">
        <v>14</v>
      </c>
      <c r="AC42">
        <v>17</v>
      </c>
      <c r="AD42">
        <v>17</v>
      </c>
      <c r="AE42">
        <v>18</v>
      </c>
    </row>
    <row r="43" spans="1:40">
      <c r="A43">
        <v>21</v>
      </c>
      <c r="D43">
        <v>2</v>
      </c>
      <c r="E43">
        <v>8</v>
      </c>
      <c r="F43">
        <v>13</v>
      </c>
      <c r="G43">
        <v>11</v>
      </c>
      <c r="H43">
        <v>14</v>
      </c>
      <c r="I43">
        <v>13</v>
      </c>
      <c r="J43">
        <v>18</v>
      </c>
      <c r="K43">
        <v>20</v>
      </c>
      <c r="L43">
        <v>3</v>
      </c>
      <c r="M43">
        <v>1</v>
      </c>
      <c r="N43">
        <v>1</v>
      </c>
      <c r="O43">
        <v>16</v>
      </c>
      <c r="P43">
        <v>30</v>
      </c>
      <c r="Q43">
        <v>3</v>
      </c>
      <c r="R43">
        <v>9</v>
      </c>
      <c r="S43">
        <v>2</v>
      </c>
      <c r="Z43">
        <v>16</v>
      </c>
      <c r="AA43">
        <v>17</v>
      </c>
      <c r="AB43">
        <v>15</v>
      </c>
      <c r="AC43">
        <v>17</v>
      </c>
      <c r="AD43">
        <v>17</v>
      </c>
      <c r="AE43">
        <v>19</v>
      </c>
    </row>
    <row r="44" spans="1:40">
      <c r="A44">
        <v>22</v>
      </c>
      <c r="D44">
        <v>5</v>
      </c>
      <c r="E44">
        <v>55</v>
      </c>
      <c r="F44">
        <v>1</v>
      </c>
      <c r="G44">
        <v>14</v>
      </c>
      <c r="H44">
        <v>8</v>
      </c>
      <c r="I44">
        <v>1</v>
      </c>
      <c r="J44">
        <v>7</v>
      </c>
      <c r="K44">
        <v>20</v>
      </c>
      <c r="L44">
        <v>15</v>
      </c>
      <c r="M44">
        <v>3</v>
      </c>
      <c r="N44">
        <v>30</v>
      </c>
      <c r="O44">
        <v>29</v>
      </c>
      <c r="P44">
        <v>4</v>
      </c>
      <c r="Q44">
        <v>10</v>
      </c>
      <c r="R44">
        <v>1</v>
      </c>
      <c r="Z44">
        <v>16</v>
      </c>
      <c r="AA44">
        <v>19</v>
      </c>
      <c r="AB44">
        <v>18</v>
      </c>
      <c r="AC44">
        <v>18</v>
      </c>
      <c r="AD44">
        <v>18</v>
      </c>
      <c r="AE44">
        <v>20</v>
      </c>
    </row>
    <row r="45" spans="1:40">
      <c r="A45">
        <v>23</v>
      </c>
      <c r="D45">
        <v>4</v>
      </c>
      <c r="E45">
        <v>2</v>
      </c>
      <c r="F45">
        <v>4</v>
      </c>
      <c r="G45">
        <v>2</v>
      </c>
      <c r="H45">
        <v>8</v>
      </c>
      <c r="I45">
        <v>11</v>
      </c>
      <c r="J45">
        <v>3</v>
      </c>
      <c r="K45">
        <v>12</v>
      </c>
      <c r="L45">
        <v>12</v>
      </c>
      <c r="M45">
        <v>26</v>
      </c>
      <c r="N45">
        <v>27</v>
      </c>
      <c r="O45">
        <v>34</v>
      </c>
      <c r="P45">
        <v>9</v>
      </c>
      <c r="R45">
        <v>6</v>
      </c>
      <c r="S45">
        <v>10</v>
      </c>
      <c r="Z45">
        <v>17</v>
      </c>
      <c r="AA45">
        <v>20</v>
      </c>
      <c r="AB45">
        <v>19</v>
      </c>
      <c r="AC45">
        <v>21</v>
      </c>
      <c r="AD45">
        <v>19</v>
      </c>
      <c r="AE45">
        <v>20</v>
      </c>
    </row>
    <row r="46" spans="1:40">
      <c r="A46">
        <v>24</v>
      </c>
      <c r="D46">
        <v>2</v>
      </c>
      <c r="E46">
        <v>42</v>
      </c>
      <c r="F46">
        <v>1</v>
      </c>
      <c r="G46">
        <v>20</v>
      </c>
      <c r="H46">
        <v>8</v>
      </c>
      <c r="I46">
        <v>18</v>
      </c>
      <c r="J46">
        <v>2</v>
      </c>
      <c r="K46">
        <v>1</v>
      </c>
      <c r="L46">
        <v>3</v>
      </c>
      <c r="M46">
        <v>13</v>
      </c>
      <c r="N46">
        <v>2</v>
      </c>
      <c r="O46">
        <v>2</v>
      </c>
      <c r="P46">
        <v>6</v>
      </c>
      <c r="Q46">
        <v>4</v>
      </c>
      <c r="R46">
        <v>20</v>
      </c>
      <c r="Z46">
        <v>17</v>
      </c>
      <c r="AA46">
        <v>21</v>
      </c>
      <c r="AB46">
        <v>23</v>
      </c>
      <c r="AC46">
        <v>23</v>
      </c>
      <c r="AD46">
        <v>21</v>
      </c>
      <c r="AE46">
        <v>20</v>
      </c>
    </row>
    <row r="47" spans="1:40">
      <c r="A47">
        <v>25</v>
      </c>
      <c r="D47">
        <v>32</v>
      </c>
      <c r="E47">
        <v>5</v>
      </c>
      <c r="F47">
        <v>16</v>
      </c>
      <c r="G47">
        <v>1</v>
      </c>
      <c r="H47">
        <v>14</v>
      </c>
      <c r="I47">
        <v>16</v>
      </c>
      <c r="J47">
        <v>5</v>
      </c>
      <c r="K47">
        <v>39</v>
      </c>
      <c r="L47">
        <v>34</v>
      </c>
      <c r="M47">
        <v>1</v>
      </c>
      <c r="N47">
        <v>59</v>
      </c>
      <c r="O47">
        <v>21</v>
      </c>
      <c r="P47">
        <v>1</v>
      </c>
      <c r="Q47">
        <v>3</v>
      </c>
      <c r="R47">
        <v>1</v>
      </c>
      <c r="S47">
        <v>29</v>
      </c>
      <c r="Z47">
        <v>17</v>
      </c>
      <c r="AA47">
        <v>23</v>
      </c>
      <c r="AB47">
        <v>26</v>
      </c>
      <c r="AC47">
        <v>24</v>
      </c>
      <c r="AD47">
        <v>21</v>
      </c>
      <c r="AE47">
        <v>21</v>
      </c>
    </row>
    <row r="48" spans="1:40">
      <c r="A48">
        <v>26</v>
      </c>
      <c r="D48">
        <v>15</v>
      </c>
      <c r="E48">
        <v>2</v>
      </c>
      <c r="F48">
        <v>7</v>
      </c>
      <c r="G48">
        <v>4</v>
      </c>
      <c r="H48">
        <v>4</v>
      </c>
      <c r="I48">
        <v>1</v>
      </c>
      <c r="J48">
        <v>47</v>
      </c>
      <c r="K48">
        <v>13</v>
      </c>
      <c r="L48">
        <v>28</v>
      </c>
      <c r="M48">
        <v>11</v>
      </c>
      <c r="N48">
        <v>11</v>
      </c>
      <c r="O48">
        <v>3</v>
      </c>
      <c r="P48">
        <v>4</v>
      </c>
      <c r="R48">
        <v>2</v>
      </c>
      <c r="S48">
        <v>9</v>
      </c>
      <c r="Z48">
        <v>24</v>
      </c>
      <c r="AA48">
        <v>26</v>
      </c>
      <c r="AB48">
        <v>26</v>
      </c>
      <c r="AC48">
        <v>24</v>
      </c>
      <c r="AD48">
        <v>27</v>
      </c>
      <c r="AE48">
        <v>23</v>
      </c>
    </row>
    <row r="49" spans="1:40">
      <c r="A49">
        <v>27</v>
      </c>
      <c r="D49">
        <v>3</v>
      </c>
      <c r="E49">
        <v>5</v>
      </c>
      <c r="F49">
        <v>8</v>
      </c>
      <c r="G49">
        <v>9</v>
      </c>
      <c r="H49">
        <v>2</v>
      </c>
      <c r="I49">
        <v>24</v>
      </c>
      <c r="J49">
        <v>1</v>
      </c>
      <c r="K49">
        <v>2</v>
      </c>
      <c r="L49">
        <v>1</v>
      </c>
      <c r="M49">
        <v>13</v>
      </c>
      <c r="N49">
        <v>1</v>
      </c>
      <c r="O49">
        <v>1</v>
      </c>
      <c r="P49">
        <v>1</v>
      </c>
      <c r="Q49">
        <v>6</v>
      </c>
      <c r="R49">
        <v>2</v>
      </c>
      <c r="S49">
        <v>4</v>
      </c>
      <c r="Z49">
        <v>27</v>
      </c>
      <c r="AA49">
        <v>26</v>
      </c>
      <c r="AB49">
        <v>27</v>
      </c>
      <c r="AC49">
        <v>27</v>
      </c>
      <c r="AD49">
        <v>30</v>
      </c>
      <c r="AE49">
        <v>25</v>
      </c>
    </row>
    <row r="50" spans="1:40">
      <c r="A50">
        <v>28</v>
      </c>
      <c r="D50">
        <v>10</v>
      </c>
      <c r="E50">
        <v>3</v>
      </c>
      <c r="F50">
        <v>31</v>
      </c>
      <c r="G50">
        <v>12</v>
      </c>
      <c r="H50">
        <v>43</v>
      </c>
      <c r="I50">
        <v>24</v>
      </c>
      <c r="J50">
        <v>33</v>
      </c>
      <c r="K50">
        <v>2</v>
      </c>
      <c r="L50">
        <v>10</v>
      </c>
      <c r="M50">
        <v>17</v>
      </c>
      <c r="N50">
        <v>25</v>
      </c>
      <c r="O50">
        <v>3</v>
      </c>
      <c r="P50">
        <v>2</v>
      </c>
      <c r="Q50">
        <v>14</v>
      </c>
      <c r="R50">
        <v>2</v>
      </c>
      <c r="Z50">
        <v>28</v>
      </c>
      <c r="AA50">
        <v>28</v>
      </c>
      <c r="AB50">
        <v>27</v>
      </c>
      <c r="AC50">
        <v>28</v>
      </c>
      <c r="AD50">
        <v>31</v>
      </c>
      <c r="AE50">
        <v>27</v>
      </c>
    </row>
    <row r="51" spans="1:40">
      <c r="A51">
        <v>29</v>
      </c>
      <c r="D51">
        <v>2</v>
      </c>
      <c r="E51">
        <v>9</v>
      </c>
      <c r="F51">
        <v>17</v>
      </c>
      <c r="G51">
        <v>8</v>
      </c>
      <c r="H51">
        <v>19</v>
      </c>
      <c r="I51">
        <v>35</v>
      </c>
      <c r="J51">
        <v>7</v>
      </c>
      <c r="K51">
        <v>4</v>
      </c>
      <c r="L51">
        <v>11</v>
      </c>
      <c r="M51">
        <v>2</v>
      </c>
      <c r="N51">
        <v>3</v>
      </c>
      <c r="O51">
        <v>1</v>
      </c>
      <c r="P51">
        <v>1</v>
      </c>
      <c r="Q51">
        <v>12</v>
      </c>
      <c r="R51">
        <v>21</v>
      </c>
      <c r="Z51">
        <v>30</v>
      </c>
      <c r="AA51">
        <v>33</v>
      </c>
      <c r="AB51">
        <v>32</v>
      </c>
      <c r="AC51">
        <v>34</v>
      </c>
      <c r="AD51">
        <v>33</v>
      </c>
      <c r="AE51">
        <v>28</v>
      </c>
    </row>
    <row r="52" spans="1:40">
      <c r="A52">
        <v>30</v>
      </c>
      <c r="D52">
        <v>9</v>
      </c>
      <c r="E52">
        <v>14</v>
      </c>
      <c r="F52">
        <v>13</v>
      </c>
      <c r="G52">
        <v>17</v>
      </c>
      <c r="H52">
        <v>8</v>
      </c>
      <c r="I52">
        <v>14</v>
      </c>
      <c r="J52">
        <v>4</v>
      </c>
      <c r="K52">
        <v>27</v>
      </c>
      <c r="L52">
        <v>7</v>
      </c>
      <c r="M52">
        <v>10</v>
      </c>
      <c r="N52">
        <v>2</v>
      </c>
      <c r="O52">
        <v>2</v>
      </c>
      <c r="P52">
        <v>2</v>
      </c>
      <c r="Q52">
        <v>6</v>
      </c>
      <c r="S52">
        <v>3</v>
      </c>
      <c r="Z52">
        <v>30</v>
      </c>
      <c r="AA52">
        <v>34</v>
      </c>
      <c r="AB52">
        <v>43</v>
      </c>
      <c r="AC52">
        <v>35</v>
      </c>
      <c r="AD52">
        <v>47</v>
      </c>
      <c r="AE52">
        <v>33</v>
      </c>
    </row>
    <row r="53" spans="1:40">
      <c r="A53">
        <v>31</v>
      </c>
      <c r="D53">
        <v>2</v>
      </c>
      <c r="E53">
        <v>8</v>
      </c>
      <c r="F53">
        <v>6</v>
      </c>
      <c r="G53">
        <v>10</v>
      </c>
      <c r="H53">
        <v>60</v>
      </c>
      <c r="I53">
        <v>27</v>
      </c>
      <c r="J53">
        <v>21</v>
      </c>
      <c r="K53">
        <v>23</v>
      </c>
      <c r="L53">
        <v>3</v>
      </c>
      <c r="M53">
        <v>4</v>
      </c>
      <c r="N53">
        <v>19</v>
      </c>
      <c r="O53">
        <v>12</v>
      </c>
      <c r="P53">
        <v>5</v>
      </c>
      <c r="Q53">
        <v>12</v>
      </c>
      <c r="S53">
        <v>2</v>
      </c>
      <c r="Z53">
        <v>31</v>
      </c>
      <c r="AA53">
        <v>36</v>
      </c>
      <c r="AB53">
        <v>60</v>
      </c>
      <c r="AC53">
        <v>38</v>
      </c>
      <c r="AD53">
        <v>58</v>
      </c>
      <c r="AE53">
        <v>39</v>
      </c>
    </row>
    <row r="54" spans="1:40">
      <c r="A54">
        <v>32</v>
      </c>
      <c r="D54">
        <v>7</v>
      </c>
      <c r="E54">
        <v>32</v>
      </c>
      <c r="F54">
        <v>1</v>
      </c>
      <c r="G54">
        <v>6</v>
      </c>
      <c r="H54">
        <v>1</v>
      </c>
      <c r="I54">
        <v>28</v>
      </c>
      <c r="J54">
        <v>27</v>
      </c>
      <c r="K54">
        <v>1</v>
      </c>
      <c r="L54">
        <v>1</v>
      </c>
      <c r="M54">
        <v>7</v>
      </c>
      <c r="N54">
        <v>1</v>
      </c>
      <c r="O54">
        <v>18</v>
      </c>
      <c r="P54">
        <v>9</v>
      </c>
      <c r="Q54">
        <v>40</v>
      </c>
      <c r="R54">
        <v>14</v>
      </c>
      <c r="S54">
        <v>1</v>
      </c>
      <c r="Z54">
        <v>43</v>
      </c>
      <c r="AA54">
        <v>45</v>
      </c>
      <c r="AB54">
        <v>62</v>
      </c>
      <c r="AC54">
        <v>68</v>
      </c>
      <c r="AD54">
        <v>65</v>
      </c>
      <c r="AE54">
        <v>53</v>
      </c>
    </row>
    <row r="55" spans="1:40">
      <c r="B55" t="e">
        <f t="shared" ref="B55:C55" si="4">AVERAGE(B23:B54)</f>
        <v>#DIV/0!</v>
      </c>
      <c r="C55">
        <f t="shared" si="4"/>
        <v>1</v>
      </c>
      <c r="D55">
        <f>AVERAGE(D23:D54)</f>
        <v>7.3125</v>
      </c>
      <c r="E55">
        <f t="shared" ref="E55:T55" si="5">AVERAGE(E23:E54)</f>
        <v>11.8125</v>
      </c>
      <c r="F55">
        <f t="shared" si="5"/>
        <v>13.84375</v>
      </c>
      <c r="G55">
        <f t="shared" si="5"/>
        <v>15.25</v>
      </c>
      <c r="H55">
        <f t="shared" si="5"/>
        <v>16.125</v>
      </c>
      <c r="I55">
        <f t="shared" si="5"/>
        <v>15.4375</v>
      </c>
      <c r="J55">
        <f t="shared" si="5"/>
        <v>16.1875</v>
      </c>
      <c r="K55">
        <f t="shared" si="5"/>
        <v>14</v>
      </c>
      <c r="L55">
        <f t="shared" si="5"/>
        <v>14.5625</v>
      </c>
      <c r="M55">
        <f t="shared" si="5"/>
        <v>12.15625</v>
      </c>
      <c r="N55">
        <f t="shared" si="5"/>
        <v>11.8125</v>
      </c>
      <c r="O55">
        <f t="shared" si="5"/>
        <v>11.28125</v>
      </c>
      <c r="P55">
        <f t="shared" ref="P55:Q55" si="6">AVERAGE(P23:P54)</f>
        <v>8.75</v>
      </c>
      <c r="Q55">
        <f t="shared" si="6"/>
        <v>10.766666666666667</v>
      </c>
      <c r="R55">
        <f t="shared" si="5"/>
        <v>10.933333333333334</v>
      </c>
      <c r="S55">
        <f t="shared" si="5"/>
        <v>9.0740740740740744</v>
      </c>
      <c r="T55">
        <f t="shared" si="5"/>
        <v>4.5</v>
      </c>
      <c r="W55" s="16" t="s">
        <v>16</v>
      </c>
      <c r="X55">
        <f>COUNT(X23:X34)</f>
        <v>12</v>
      </c>
      <c r="Y55">
        <f>COUNT(Y23:Y27)</f>
        <v>5</v>
      </c>
      <c r="Z55">
        <f>COUNT(Z23:Z31)</f>
        <v>9</v>
      </c>
      <c r="AA55">
        <f>COUNT(AA23:AA27)</f>
        <v>5</v>
      </c>
      <c r="AB55">
        <f>COUNT(AB23:AB30)</f>
        <v>8</v>
      </c>
      <c r="AC55">
        <f>COUNT(AC23:AC33)</f>
        <v>11</v>
      </c>
      <c r="AD55">
        <f>COUNT(AD23:AD33)</f>
        <v>11</v>
      </c>
      <c r="AE55">
        <f>COUNT(AE23:AE34)</f>
        <v>12</v>
      </c>
      <c r="AF55">
        <f>COUNT(AF23:AF28)</f>
        <v>6</v>
      </c>
      <c r="AG55">
        <f>COUNT(AG23:AG28)</f>
        <v>6</v>
      </c>
      <c r="AH55">
        <f>COUNT(AH23:AH29)</f>
        <v>7</v>
      </c>
      <c r="AI55">
        <f>COUNT(AI23:AI30)</f>
        <v>8</v>
      </c>
      <c r="AJ55">
        <f>COUNT(AJ23:AJ28)</f>
        <v>6</v>
      </c>
      <c r="AK55">
        <f>COUNT(AK23:AK28)</f>
        <v>6</v>
      </c>
      <c r="AL55">
        <f>COUNT(AL23:AL27)</f>
        <v>5</v>
      </c>
      <c r="AM55">
        <f>COUNT(AM23:AM30)</f>
        <v>8</v>
      </c>
      <c r="AN55">
        <f>COUNT(AN23:AN33)</f>
        <v>11</v>
      </c>
    </row>
    <row r="56" spans="1:40">
      <c r="B56" t="e">
        <f t="shared" ref="B56:C56" si="7">STDEV(B23:B54)/SQRT(COUNT(B23:B38))</f>
        <v>#DIV/0!</v>
      </c>
      <c r="C56">
        <f t="shared" si="7"/>
        <v>0</v>
      </c>
      <c r="D56">
        <f>STDEV(D23:D54)/SQRT(COUNT(D23:D38))</f>
        <v>1.8863233354349545</v>
      </c>
      <c r="E56">
        <f t="shared" ref="E56:T56" si="8">STDEV(E23:E54)/SQRT(COUNT(E23:E38))</f>
        <v>3.0608331540242752</v>
      </c>
      <c r="F56">
        <f t="shared" si="8"/>
        <v>2.6290171834368925</v>
      </c>
      <c r="G56">
        <f t="shared" si="8"/>
        <v>2.8255744491593093</v>
      </c>
      <c r="H56">
        <f t="shared" si="8"/>
        <v>3.8754552282030628</v>
      </c>
      <c r="I56">
        <f t="shared" si="8"/>
        <v>3.6659601897597343</v>
      </c>
      <c r="J56">
        <f t="shared" si="8"/>
        <v>4.0909210552936806</v>
      </c>
      <c r="K56">
        <f t="shared" si="8"/>
        <v>3.1908387005461787</v>
      </c>
      <c r="L56">
        <f t="shared" si="8"/>
        <v>4.0956002651941104</v>
      </c>
      <c r="M56">
        <f t="shared" si="8"/>
        <v>2.4347197750592398</v>
      </c>
      <c r="N56">
        <f t="shared" si="8"/>
        <v>3.26296267266817</v>
      </c>
      <c r="O56">
        <f t="shared" si="8"/>
        <v>3.0849755416764548</v>
      </c>
      <c r="P56">
        <f t="shared" ref="P56:Q56" si="9">STDEV(P23:P54)/SQRT(COUNT(P23:P38))</f>
        <v>2.3140524431562519</v>
      </c>
      <c r="Q56">
        <f t="shared" si="9"/>
        <v>2.673854357745908</v>
      </c>
      <c r="R56">
        <f t="shared" si="8"/>
        <v>2.4406165605031651</v>
      </c>
      <c r="S56">
        <f t="shared" si="8"/>
        <v>2.7420566449062727</v>
      </c>
      <c r="T56">
        <f t="shared" si="8"/>
        <v>0.93094933625126275</v>
      </c>
      <c r="W56" s="16" t="s">
        <v>39</v>
      </c>
      <c r="X56">
        <f>COUNT(X35)</f>
        <v>1</v>
      </c>
      <c r="Y56">
        <f>COUNT(Y28:Y32)</f>
        <v>5</v>
      </c>
      <c r="Z56">
        <f>COUNT(Z32:Z37)</f>
        <v>6</v>
      </c>
      <c r="AA56">
        <f>COUNT(AA28:AA35)</f>
        <v>8</v>
      </c>
      <c r="AB56">
        <f>COUNT(AB31:AB39)</f>
        <v>9</v>
      </c>
      <c r="AC56">
        <f>COUNT(AC34:AC35)</f>
        <v>2</v>
      </c>
      <c r="AD56">
        <f>COUNT(AD34:AD36)</f>
        <v>3</v>
      </c>
      <c r="AE56">
        <f>COUNT(AE35:AE37)</f>
        <v>3</v>
      </c>
      <c r="AF56">
        <f>COUNT(AF29:AF32)</f>
        <v>4</v>
      </c>
      <c r="AG56">
        <f>COUNT(AG29:AG31)</f>
        <v>3</v>
      </c>
      <c r="AH56">
        <f>COUNT(AH30)</f>
        <v>1</v>
      </c>
      <c r="AI56">
        <f>COUNT(AI31)</f>
        <v>1</v>
      </c>
      <c r="AJ56">
        <f>COUNT(AJ29:AJ32)</f>
        <v>4</v>
      </c>
      <c r="AK56">
        <f>COUNT(AK29:AK30)</f>
        <v>2</v>
      </c>
      <c r="AL56">
        <f>COUNT(AL28:AL31)</f>
        <v>4</v>
      </c>
      <c r="AM56">
        <f>COUNT(AM31:AM33)</f>
        <v>3</v>
      </c>
      <c r="AN56">
        <f>COUNT(AN34:AN36)</f>
        <v>3</v>
      </c>
    </row>
    <row r="57" spans="1:40">
      <c r="W57" s="16" t="s">
        <v>40</v>
      </c>
      <c r="X57">
        <f>COUNT(X36:X37)</f>
        <v>2</v>
      </c>
      <c r="Y57">
        <f>COUNT(Y33:Y35)</f>
        <v>3</v>
      </c>
      <c r="Z57">
        <f>COUNT(Z38:Z41)</f>
        <v>4</v>
      </c>
      <c r="AA57">
        <f>COUNT(AA36:AA41)</f>
        <v>6</v>
      </c>
      <c r="AB57">
        <f>COUNT(AB40:AB43)</f>
        <v>4</v>
      </c>
      <c r="AC57">
        <f>COUNT(AC36:AC40)</f>
        <v>5</v>
      </c>
      <c r="AD57">
        <f>COUNT(AD37:AD41)</f>
        <v>5</v>
      </c>
      <c r="AE57">
        <f>COUNT(AE38:AE41)</f>
        <v>4</v>
      </c>
      <c r="AF57">
        <f>COUNT(AF33:AF35)</f>
        <v>3</v>
      </c>
      <c r="AG57">
        <f>COUNT(AG32)</f>
        <v>1</v>
      </c>
      <c r="AH57">
        <f>COUNT(AH32:AH34)</f>
        <v>3</v>
      </c>
      <c r="AI57">
        <f>COUNT(AI32:AI33)</f>
        <v>2</v>
      </c>
      <c r="AJ57">
        <f>COUNT(AJ33:AJ35)</f>
        <v>3</v>
      </c>
      <c r="AK57">
        <f>COUNT(AK31:AK33)</f>
        <v>3</v>
      </c>
      <c r="AL57">
        <f>COUNT(AL32:AL34)</f>
        <v>3</v>
      </c>
      <c r="AM57">
        <f>COUNT(AM34:AM35)</f>
        <v>2</v>
      </c>
      <c r="AN57">
        <f>COUNT(AN37:AN38)</f>
        <v>2</v>
      </c>
    </row>
    <row r="58" spans="1:40">
      <c r="A58" t="s">
        <v>33</v>
      </c>
      <c r="F58">
        <f t="shared" ref="F58:K58" si="10">AVERAGE(F23:F38)</f>
        <v>17.1875</v>
      </c>
      <c r="G58">
        <f t="shared" si="10"/>
        <v>18.625</v>
      </c>
      <c r="H58">
        <f t="shared" si="10"/>
        <v>18.9375</v>
      </c>
      <c r="I58">
        <f t="shared" si="10"/>
        <v>15</v>
      </c>
      <c r="J58">
        <f t="shared" si="10"/>
        <v>18</v>
      </c>
      <c r="K58">
        <f t="shared" si="10"/>
        <v>13.1875</v>
      </c>
      <c r="W58" s="16" t="s">
        <v>17</v>
      </c>
      <c r="X58">
        <v>0</v>
      </c>
      <c r="Y58">
        <f>COUNT(Y36:Y37)</f>
        <v>2</v>
      </c>
      <c r="Z58">
        <f>COUNT(Z42:Z47)</f>
        <v>6</v>
      </c>
      <c r="AA58">
        <f>COUNT(AA42:AA45)</f>
        <v>4</v>
      </c>
      <c r="AB58">
        <f>COUNT(AB46)</f>
        <v>1</v>
      </c>
      <c r="AC58">
        <f>COUNT(AC41:AC44)</f>
        <v>4</v>
      </c>
      <c r="AD58">
        <f>COUNT(AD42:AD45)</f>
        <v>4</v>
      </c>
      <c r="AE58">
        <f>COUNT(AE42:AE46)</f>
        <v>5</v>
      </c>
      <c r="AF58">
        <f>COUNT(AF36)</f>
        <v>1</v>
      </c>
      <c r="AG58">
        <f>COUNT(AG33)</f>
        <v>1</v>
      </c>
      <c r="AH58">
        <f>COUNT(AH35)</f>
        <v>1</v>
      </c>
      <c r="AI58">
        <v>0</v>
      </c>
      <c r="AJ58">
        <f>COUNT(AJ36)</f>
        <v>1</v>
      </c>
      <c r="AK58">
        <f>COUNT(AK34:AK35)</f>
        <v>2</v>
      </c>
      <c r="AL58">
        <v>0</v>
      </c>
      <c r="AM58">
        <v>0</v>
      </c>
      <c r="AN58">
        <v>0</v>
      </c>
    </row>
    <row r="59" spans="1:40">
      <c r="A59">
        <f>(165.53*10^3)/(8.6173*10^-5)</f>
        <v>1920903299.1772363</v>
      </c>
      <c r="D59" s="10">
        <v>8</v>
      </c>
      <c r="E59" s="10">
        <v>9</v>
      </c>
      <c r="F59" s="10">
        <v>10</v>
      </c>
      <c r="G59" s="10">
        <v>12</v>
      </c>
      <c r="H59" s="10">
        <v>14</v>
      </c>
      <c r="I59" s="10">
        <v>16</v>
      </c>
      <c r="J59" s="10">
        <v>18</v>
      </c>
      <c r="K59" s="10">
        <v>20</v>
      </c>
      <c r="L59" s="10">
        <v>22</v>
      </c>
      <c r="M59" s="10">
        <v>24</v>
      </c>
      <c r="N59" s="10">
        <v>26</v>
      </c>
      <c r="O59" s="10">
        <v>28</v>
      </c>
      <c r="P59" s="10">
        <v>30</v>
      </c>
      <c r="W59" s="16" t="s">
        <v>18</v>
      </c>
      <c r="X59">
        <f>COUNT(X38)</f>
        <v>1</v>
      </c>
      <c r="Y59">
        <f>COUNT(Y38)</f>
        <v>1</v>
      </c>
      <c r="Z59">
        <f>COUNT(Z48:Z54)</f>
        <v>7</v>
      </c>
      <c r="AA59">
        <f>COUNT(AA46:AA54)</f>
        <v>9</v>
      </c>
      <c r="AB59">
        <f>COUNT(AB47:AB54)</f>
        <v>8</v>
      </c>
      <c r="AC59">
        <f>COUNT(AC45:AC54)</f>
        <v>10</v>
      </c>
      <c r="AD59">
        <f>COUNT(AD46:AD54)</f>
        <v>9</v>
      </c>
      <c r="AE59">
        <f>COUNT(AE47:AE54)</f>
        <v>8</v>
      </c>
      <c r="AF59">
        <f>COUNT(AF37:AF38)</f>
        <v>2</v>
      </c>
      <c r="AG59">
        <f>COUNT(AG34:AG38)</f>
        <v>5</v>
      </c>
      <c r="AH59">
        <f>COUNT(AH36:AH38)</f>
        <v>3</v>
      </c>
      <c r="AI59">
        <f>COUNT(AI34:AI37)</f>
        <v>4</v>
      </c>
      <c r="AJ59">
        <f t="shared" ref="AJ59" si="11">COUNT(AJ37:AJ38)</f>
        <v>1</v>
      </c>
      <c r="AK59">
        <f>COUNT(AK36:AK38)</f>
        <v>3</v>
      </c>
      <c r="AL59">
        <f>COUNT(AL35:AL38)</f>
        <v>4</v>
      </c>
      <c r="AM59">
        <f>COUNT(AM36:AM38)</f>
        <v>3</v>
      </c>
      <c r="AN59">
        <v>0</v>
      </c>
    </row>
    <row r="60" spans="1:40">
      <c r="I60" t="s">
        <v>38</v>
      </c>
      <c r="X60">
        <f>X55/COUNT(X$23:X$54)</f>
        <v>0.75</v>
      </c>
      <c r="Y60">
        <f t="shared" ref="Y60:Z60" si="12">Y55/COUNT(Y$23:Y$54)</f>
        <v>0.3125</v>
      </c>
      <c r="Z60">
        <f t="shared" si="12"/>
        <v>0.28125</v>
      </c>
      <c r="AA60">
        <f t="shared" ref="AA60:AD60" si="13">AA55/COUNT(AA$23:AA$54)</f>
        <v>0.15625</v>
      </c>
      <c r="AB60">
        <f t="shared" si="13"/>
        <v>0.25</v>
      </c>
      <c r="AC60">
        <f t="shared" si="13"/>
        <v>0.34375</v>
      </c>
      <c r="AD60">
        <f t="shared" si="13"/>
        <v>0.34375</v>
      </c>
      <c r="AE60">
        <f t="shared" ref="AE60:AN60" si="14">AE55/COUNT(AE$23:AE$54)</f>
        <v>0.375</v>
      </c>
      <c r="AF60">
        <f t="shared" si="14"/>
        <v>0.375</v>
      </c>
      <c r="AG60">
        <f t="shared" si="14"/>
        <v>0.375</v>
      </c>
      <c r="AH60">
        <f t="shared" si="14"/>
        <v>0.4375</v>
      </c>
      <c r="AI60">
        <f t="shared" si="14"/>
        <v>0.53333333333333333</v>
      </c>
      <c r="AJ60">
        <f t="shared" si="14"/>
        <v>0.4</v>
      </c>
      <c r="AK60">
        <f t="shared" si="14"/>
        <v>0.375</v>
      </c>
      <c r="AL60">
        <f t="shared" si="14"/>
        <v>0.3125</v>
      </c>
      <c r="AM60">
        <f t="shared" si="14"/>
        <v>0.5</v>
      </c>
      <c r="AN60">
        <f t="shared" si="14"/>
        <v>0.6875</v>
      </c>
    </row>
    <row r="61" spans="1:40">
      <c r="D61">
        <f>(4525.6474-423.84849)+(409.0224-300.40915)</f>
        <v>4210.4121599999999</v>
      </c>
      <c r="F61">
        <f>(4512.4001-387.06695 )+(349.36516-321.15415)</f>
        <v>4153.5441599999995</v>
      </c>
      <c r="G61">
        <f>(4518.982-684.72537)+(651.43768-379.52246)+(347.27885-320.86299)</f>
        <v>4132.5877099999998</v>
      </c>
      <c r="H61">
        <f>(4510.3988-847.52959)+(780.59129-475.28444)+(358.85064-353.16075)</f>
        <v>3973.8659499999999</v>
      </c>
      <c r="I61">
        <f>(4518.6036-637.42627)+(470.7086-440.91975)+(356.59302-352.3225)+(301.59444-301.59827)</f>
        <v>3915.2328700000003</v>
      </c>
      <c r="J61">
        <f>(4513.6335-1244.4009)+(963.32534 -694.01928)+(485.5753-454.48278)</f>
        <v>3569.6311799999999</v>
      </c>
      <c r="K61">
        <f>(4515.2443-374.56544 )</f>
        <v>4140.67886</v>
      </c>
      <c r="L61">
        <f>(4418.3956 -657.73049)+(411.19446-407.60984)</f>
        <v>3764.24973</v>
      </c>
      <c r="M61">
        <f>(4439.8343-350.08662)</f>
        <v>4089.7476800000004</v>
      </c>
      <c r="N61">
        <f>(4426.9872-733.28562)+(417.02104-414.4647 )</f>
        <v>3696.2579199999996</v>
      </c>
      <c r="P61">
        <f>(4421.1673-656.63034)+(447.19786-435.72604)</f>
        <v>3776.0087800000001</v>
      </c>
      <c r="X61">
        <f>X56/COUNT(X$23:X$54)</f>
        <v>6.25E-2</v>
      </c>
      <c r="Y61">
        <f t="shared" ref="Y61:Z61" si="15">Y56/COUNT(Y$23:Y$54)</f>
        <v>0.3125</v>
      </c>
      <c r="Z61">
        <f t="shared" si="15"/>
        <v>0.1875</v>
      </c>
      <c r="AA61">
        <f t="shared" ref="AA61:AD61" si="16">AA56/COUNT(AA$23:AA$54)</f>
        <v>0.25</v>
      </c>
      <c r="AB61">
        <f t="shared" si="16"/>
        <v>0.28125</v>
      </c>
      <c r="AC61">
        <f t="shared" si="16"/>
        <v>6.25E-2</v>
      </c>
      <c r="AD61">
        <f t="shared" si="16"/>
        <v>9.375E-2</v>
      </c>
      <c r="AE61">
        <f t="shared" ref="AE61:AN61" si="17">AE56/COUNT(AE$23:AE$54)</f>
        <v>9.375E-2</v>
      </c>
      <c r="AF61">
        <f t="shared" si="17"/>
        <v>0.25</v>
      </c>
      <c r="AG61">
        <f t="shared" si="17"/>
        <v>0.1875</v>
      </c>
      <c r="AH61">
        <f t="shared" si="17"/>
        <v>6.25E-2</v>
      </c>
      <c r="AI61">
        <f t="shared" si="17"/>
        <v>6.6666666666666666E-2</v>
      </c>
      <c r="AJ61">
        <f t="shared" si="17"/>
        <v>0.26666666666666666</v>
      </c>
      <c r="AK61">
        <f t="shared" si="17"/>
        <v>0.125</v>
      </c>
      <c r="AL61">
        <f t="shared" si="17"/>
        <v>0.25</v>
      </c>
      <c r="AM61">
        <f t="shared" si="17"/>
        <v>0.1875</v>
      </c>
      <c r="AN61">
        <f t="shared" si="17"/>
        <v>0.1875</v>
      </c>
    </row>
    <row r="62" spans="1:40">
      <c r="D62">
        <f>(4524.5778-487.11331)+(469.45475-299.32167 )</f>
        <v>4207.5975699999999</v>
      </c>
      <c r="F62">
        <f>(4517.9058-510.68539)+(489.19575-334.7147 )+(320.62546-307.17286)</f>
        <v>4175.1540599999998</v>
      </c>
      <c r="G62">
        <f>(4515.7419-374.38689)+(339.14121-320.20303)</f>
        <v>4160.2931900000003</v>
      </c>
      <c r="H62">
        <f>(4521.9234-459.44364)+(352.64447 -342.91268)</f>
        <v>4072.2115499999995</v>
      </c>
      <c r="I62">
        <f>(4523.891-350.70936)+(309.05965-308.97225)</f>
        <v>4173.2690400000001</v>
      </c>
      <c r="J62">
        <f>(4474.0942-426.85724 )</f>
        <v>4047.2369599999997</v>
      </c>
      <c r="K62">
        <f>(4401.9619 -1628.2969)+(1492.8909-524.30497)+(394.77846-383.25209)</f>
        <v>3753.7773000000002</v>
      </c>
      <c r="L62">
        <f>(4402.2596 -644.21183)+(480.97975 -449.31828)</f>
        <v>3789.7092400000001</v>
      </c>
      <c r="M62">
        <f>(4408.3472 -628.89722)</f>
        <v>3779.4499800000003</v>
      </c>
      <c r="N62">
        <f>(4427.8026-739.9217)+(624.30613-504.01829)+(394.51233-380.20123)</f>
        <v>3822.47984</v>
      </c>
      <c r="O62">
        <f>(4438.3569-418.42342)+(351.99963-334.60788 )</f>
        <v>4037.3252299999995</v>
      </c>
      <c r="P62">
        <f>(4421.6474-950.28332)+(886.58424-485.13139)</f>
        <v>3872.81693</v>
      </c>
      <c r="X62">
        <f t="shared" ref="X62:Z64" si="18">X57/COUNT(X$23:X$54)</f>
        <v>0.125</v>
      </c>
      <c r="Y62">
        <f t="shared" si="18"/>
        <v>0.1875</v>
      </c>
      <c r="Z62">
        <f t="shared" si="18"/>
        <v>0.125</v>
      </c>
      <c r="AA62">
        <f t="shared" ref="AA62:AD62" si="19">AA57/COUNT(AA$23:AA$54)</f>
        <v>0.1875</v>
      </c>
      <c r="AB62">
        <f t="shared" si="19"/>
        <v>0.125</v>
      </c>
      <c r="AC62">
        <f t="shared" si="19"/>
        <v>0.15625</v>
      </c>
      <c r="AD62">
        <f t="shared" si="19"/>
        <v>0.15625</v>
      </c>
      <c r="AE62">
        <f t="shared" ref="AE62:AN62" si="20">AE57/COUNT(AE$23:AE$54)</f>
        <v>0.125</v>
      </c>
      <c r="AF62">
        <f t="shared" si="20"/>
        <v>0.1875</v>
      </c>
      <c r="AG62">
        <f t="shared" si="20"/>
        <v>6.25E-2</v>
      </c>
      <c r="AH62">
        <f t="shared" si="20"/>
        <v>0.1875</v>
      </c>
      <c r="AI62">
        <f t="shared" si="20"/>
        <v>0.13333333333333333</v>
      </c>
      <c r="AJ62">
        <f t="shared" si="20"/>
        <v>0.2</v>
      </c>
      <c r="AK62">
        <f t="shared" si="20"/>
        <v>0.1875</v>
      </c>
      <c r="AL62">
        <f t="shared" si="20"/>
        <v>0.1875</v>
      </c>
      <c r="AM62">
        <f t="shared" si="20"/>
        <v>0.125</v>
      </c>
      <c r="AN62">
        <f t="shared" si="20"/>
        <v>0.125</v>
      </c>
    </row>
    <row r="63" spans="1:40">
      <c r="D63">
        <f>(4522.058-724.85539)+(700.51516-303.36034)</f>
        <v>4194.35743</v>
      </c>
      <c r="F63">
        <f>(4520.0299-581.04935)+(490.27826-472.71887 )+(416.14012-410.26461)</f>
        <v>3962.41545</v>
      </c>
      <c r="G63">
        <f>(4518.5831-651.91202 )+(618.22458-372.54678)+(328.26968-319.77382)</f>
        <v>4120.8447399999995</v>
      </c>
      <c r="H63">
        <f>(4488.0856-401.68352)+(350.50593-337.28133)</f>
        <v>4099.6266800000003</v>
      </c>
      <c r="I63">
        <f>(4518.191-558.94503)+(435.80042-404.93234)+(339.52452-337.58565)</f>
        <v>3992.0529200000001</v>
      </c>
      <c r="J63">
        <f>(4422.64 -893.0616)+(820.40436-498.09159)+(373.76769-367.67929 )</f>
        <v>3857.9795700000004</v>
      </c>
      <c r="K63">
        <f>(4435.3716-418.13232)+(346.09869-335.32924)</f>
        <v>4028.00873</v>
      </c>
      <c r="L63">
        <f>(4435.6761-357.31317)</f>
        <v>4078.3629299999998</v>
      </c>
      <c r="M63">
        <f>(4435.3029-461.72888)+(400.80434-361.88885)</f>
        <v>4012.4895099999994</v>
      </c>
      <c r="N63">
        <f>(4409.4334 -655.91011)+(454.89768-427.8703)</f>
        <v>3780.5506700000001</v>
      </c>
      <c r="O63">
        <f>(4423.9254-508.40189)+(362.0393-358.22731)</f>
        <v>3919.3355000000001</v>
      </c>
      <c r="P63">
        <f>(4398.2532-1213.4668)+(887.41779-792.51436 )+(552.40027+540.78477)</f>
        <v>4372.8748699999996</v>
      </c>
      <c r="X63">
        <f t="shared" si="18"/>
        <v>0</v>
      </c>
      <c r="Y63">
        <f t="shared" si="18"/>
        <v>0.125</v>
      </c>
      <c r="Z63">
        <f t="shared" si="18"/>
        <v>0.1875</v>
      </c>
      <c r="AA63">
        <f t="shared" ref="AA63:AD63" si="21">AA58/COUNT(AA$23:AA$54)</f>
        <v>0.125</v>
      </c>
      <c r="AB63">
        <f t="shared" si="21"/>
        <v>3.125E-2</v>
      </c>
      <c r="AC63">
        <f t="shared" si="21"/>
        <v>0.125</v>
      </c>
      <c r="AD63">
        <f t="shared" si="21"/>
        <v>0.125</v>
      </c>
      <c r="AE63">
        <f t="shared" ref="AE63:AN63" si="22">AE58/COUNT(AE$23:AE$54)</f>
        <v>0.15625</v>
      </c>
      <c r="AF63">
        <f t="shared" si="22"/>
        <v>6.25E-2</v>
      </c>
      <c r="AG63">
        <f t="shared" si="22"/>
        <v>6.25E-2</v>
      </c>
      <c r="AH63">
        <f t="shared" si="22"/>
        <v>6.25E-2</v>
      </c>
      <c r="AI63">
        <f t="shared" si="22"/>
        <v>0</v>
      </c>
      <c r="AJ63">
        <f t="shared" si="22"/>
        <v>6.6666666666666666E-2</v>
      </c>
      <c r="AK63">
        <f t="shared" si="22"/>
        <v>0.125</v>
      </c>
      <c r="AL63">
        <f t="shared" si="22"/>
        <v>0</v>
      </c>
      <c r="AM63">
        <f t="shared" si="22"/>
        <v>0</v>
      </c>
      <c r="AN63">
        <f t="shared" si="22"/>
        <v>0</v>
      </c>
    </row>
    <row r="64" spans="1:40">
      <c r="D64">
        <f>(4522.4958-538.51961)+(518.27315-315.41484)</f>
        <v>4186.8344999999999</v>
      </c>
      <c r="F64">
        <f>(4518.6375 -579.29072)+(561.17922-313.33694 )+(305.66969-302.6929 )</f>
        <v>4190.1658499999994</v>
      </c>
      <c r="G64">
        <f>(4360.72-1016.7953)+(1075.9355-737.30693)+(666.20767-475.62184)+(380.39314 -367.26322)</f>
        <v>3886.2690200000002</v>
      </c>
      <c r="H64">
        <f>(4521.1028-673.85761)+(592.03128-473.15591)</f>
        <v>3966.1205599999998</v>
      </c>
      <c r="I64">
        <f>(4520.7794-632.45068)+(572.18849-417.23112)+(343.26254-337.67448)</f>
        <v>4048.8741500000006</v>
      </c>
      <c r="J64">
        <f>(4431.4329-639.40557)+(577.61811-418.36706)+(366.1162 -342.59146)</f>
        <v>3974.8031199999996</v>
      </c>
      <c r="K64">
        <f>(4523.7225-331.47822)+(313.70311-307.55491)</f>
        <v>4198.3924799999995</v>
      </c>
      <c r="L64">
        <f>(4429.2888 -392.56394 )+(335.02458-327.28679)</f>
        <v>4044.4626500000004</v>
      </c>
      <c r="M64">
        <f>(4433.9081-386.25647)</f>
        <v>4047.6516299999998</v>
      </c>
      <c r="N64">
        <f>(4424.3121-722.77948)+(586.43888 -487.53423)+(382.55909-379.53712 )</f>
        <v>3803.4592400000001</v>
      </c>
      <c r="O64">
        <f>(4432.7947-446.33908)</f>
        <v>3986.4556200000002</v>
      </c>
      <c r="P64">
        <f>(4420.3846-497.61362)+(360.07222-358.48375 )</f>
        <v>3924.3594500000004</v>
      </c>
      <c r="X64">
        <f t="shared" si="18"/>
        <v>6.25E-2</v>
      </c>
      <c r="Y64">
        <f t="shared" si="18"/>
        <v>6.25E-2</v>
      </c>
      <c r="Z64">
        <f t="shared" si="18"/>
        <v>0.21875</v>
      </c>
      <c r="AA64">
        <f t="shared" ref="AA64:AD64" si="23">AA59/COUNT(AA$23:AA$54)</f>
        <v>0.28125</v>
      </c>
      <c r="AB64">
        <f t="shared" si="23"/>
        <v>0.25</v>
      </c>
      <c r="AC64">
        <f t="shared" si="23"/>
        <v>0.3125</v>
      </c>
      <c r="AD64">
        <f t="shared" si="23"/>
        <v>0.28125</v>
      </c>
      <c r="AE64">
        <f t="shared" ref="AE64:AN64" si="24">AE59/COUNT(AE$23:AE$54)</f>
        <v>0.25</v>
      </c>
      <c r="AF64">
        <f t="shared" si="24"/>
        <v>0.125</v>
      </c>
      <c r="AG64">
        <f t="shared" si="24"/>
        <v>0.3125</v>
      </c>
      <c r="AH64">
        <f t="shared" si="24"/>
        <v>0.1875</v>
      </c>
      <c r="AI64">
        <f t="shared" si="24"/>
        <v>0.26666666666666666</v>
      </c>
      <c r="AJ64">
        <f t="shared" si="24"/>
        <v>6.6666666666666666E-2</v>
      </c>
      <c r="AK64">
        <f t="shared" si="24"/>
        <v>0.1875</v>
      </c>
      <c r="AL64">
        <f t="shared" si="24"/>
        <v>0.25</v>
      </c>
      <c r="AM64">
        <f t="shared" si="24"/>
        <v>0.1875</v>
      </c>
      <c r="AN64">
        <f t="shared" si="24"/>
        <v>0</v>
      </c>
    </row>
    <row r="65" spans="3:16">
      <c r="D65">
        <f>(4523.8707-369.28463)+(340.54988-317.69969)</f>
        <v>4177.4362600000004</v>
      </c>
      <c r="F65">
        <f>(4522.6851-410.10911)+(365.30056-338.11342 )+(317.61099-314.14699)</f>
        <v>4143.2271299999993</v>
      </c>
      <c r="G65">
        <f>(4518.8097-310.51924)</f>
        <v>4208.2904600000002</v>
      </c>
      <c r="H65">
        <f>(4521.2572-623.32246)+(563.33274-406.72208)+(352.48827-338.42671)</f>
        <v>4068.6069600000001</v>
      </c>
      <c r="I65">
        <f>(4494.0375-621.49823)+(548.86997-499.47449)+(389.50031-369.26516)</f>
        <v>3942.1699000000003</v>
      </c>
      <c r="J65">
        <f>(4520.5739-589.70707 )+(362.36029-357.9166)</f>
        <v>3935.3105200000005</v>
      </c>
      <c r="K65">
        <f>(4519.7955-342.67261)</f>
        <v>4177.1228900000006</v>
      </c>
      <c r="L65">
        <f>(4444.0791 -322.23549)</f>
        <v>4121.8436099999999</v>
      </c>
      <c r="M65">
        <f>(4422.4691-542.94308)</f>
        <v>3879.5260200000002</v>
      </c>
      <c r="N65">
        <f>(4442.6182-326.97038)</f>
        <v>4115.6478200000001</v>
      </c>
      <c r="O65">
        <f>(4419.2913-1039.943)+(861.32812-755.66663 )+(565.22769-512.33157)</f>
        <v>3537.9059099999995</v>
      </c>
    </row>
    <row r="66" spans="3:16">
      <c r="D66">
        <f>(4523.8668-325.30963)+(314.20668-303.77787)</f>
        <v>4208.9859800000004</v>
      </c>
      <c r="F66">
        <f>(4522.1579-814.91146 )+(784.39658-312.48469)+(307.44249-302.62813)</f>
        <v>4183.9726900000005</v>
      </c>
      <c r="G66">
        <f>(4521.3141-698.68503)+(671.19205-305.92158 )</f>
        <v>4187.8995399999994</v>
      </c>
      <c r="H66">
        <f>(4504.5546-501.97613)+(372.20453 -368.29976 )</f>
        <v>4006.4832400000005</v>
      </c>
      <c r="I66">
        <f>(4506.9784-1242.0527)+(1007.1797-691.05923)+(450.48057-433.40116)</f>
        <v>3598.1255799999994</v>
      </c>
      <c r="J66">
        <f>(4412.9194 -1024.2246)+(944.86442-573.19028  )+( 411.49256- 396.32796)</f>
        <v>3775.5335399999999</v>
      </c>
      <c r="K66">
        <f>(4437.6423-639.73819 )+(597.88647-360.78776)</f>
        <v>4035.0028200000006</v>
      </c>
      <c r="L66">
        <f>(4428.8372-492.31264 )</f>
        <v>3936.5245599999998</v>
      </c>
      <c r="M66">
        <f>(4422.9862-646.81713)+(528.8763-482.15192)+(387.80699-381.24298)</f>
        <v>3829.4574600000005</v>
      </c>
      <c r="N66">
        <f>(4405.8585-948.08523)+(508.56101-499.24076)</f>
        <v>3467.0935200000004</v>
      </c>
      <c r="O66">
        <f>(4428.2835-563.99085)</f>
        <v>3864.2926499999994</v>
      </c>
      <c r="P66">
        <f>(4412.5682-684.43591)+(493.50031-466.72472)</f>
        <v>3754.9078799999997</v>
      </c>
    </row>
    <row r="67" spans="3:16">
      <c r="D67">
        <f>(4524.5541-340.40796)+(329.59992-303.95066)</f>
        <v>4209.7954000000009</v>
      </c>
      <c r="F67">
        <f>(4456.8698-454.23631)+(479.9932-365.84973)</f>
        <v>4116.7769600000001</v>
      </c>
      <c r="G67">
        <f>(4501.8784 -444.01187 )+(399.4005-366.09332)+(336.90795 -329.25106)</f>
        <v>4098.8306000000002</v>
      </c>
      <c r="H67">
        <f>(4520.4436 -811.08372)+(737.61271-470.84036)+(364.25522-360.37906)</f>
        <v>3980.00839</v>
      </c>
      <c r="I67">
        <f>(4522.0607-443.30234)</f>
        <v>4078.7583599999998</v>
      </c>
      <c r="J67">
        <f>(4410.7817-857.94692)+(665.53084-594.08563)+(421.40922-412.24282 )</f>
        <v>3633.4463899999996</v>
      </c>
      <c r="K67">
        <f>(4425.8137-720.14942)+(468.29435-434.16782 )</f>
        <v>3739.79081</v>
      </c>
      <c r="L67">
        <f>(4422.536-672.27052)+(447.23731-438.63365)</f>
        <v>3758.8691399999998</v>
      </c>
      <c r="M67">
        <f>(4430.011-489.66462)</f>
        <v>3940.3463800000004</v>
      </c>
      <c r="N67">
        <f>(4410.5405-476.51163)</f>
        <v>3934.0288700000001</v>
      </c>
      <c r="O67">
        <f>(4428.8924-413.02133)</f>
        <v>4015.8710699999997</v>
      </c>
      <c r="P67">
        <f>(4433.2774-558.43569)</f>
        <v>3874.8417099999997</v>
      </c>
    </row>
    <row r="68" spans="3:16">
      <c r="D68">
        <f>(4525.2172-470.58129)+(454.08229-300.60854)</f>
        <v>4208.1096600000001</v>
      </c>
      <c r="F68">
        <f>(4502.4388-403.54904)+(354.88005-340.43475)</f>
        <v>4113.3350600000003</v>
      </c>
      <c r="G68">
        <f>(4505.4354-515.87087 )+(444.58008-426.02026)+(347.43991-342.14376)</f>
        <v>4013.4205000000006</v>
      </c>
      <c r="H68">
        <f>(4522.104-443.91648)+(348.41541-344.09761)</f>
        <v>4082.5053200000002</v>
      </c>
      <c r="I68">
        <f>(4523.5876-371.7072)</f>
        <v>4151.8804</v>
      </c>
      <c r="J68">
        <f>(4521.4888-371.23835)</f>
        <v>4150.2504500000005</v>
      </c>
      <c r="K68">
        <f>(4428.0516-322.24515)</f>
        <v>4105.80645</v>
      </c>
      <c r="L68">
        <f>(4412.301-1090.6472 )+(964.93577-722.55101 )+(569.73111-483.11774)+(402.58093-389.93385)</f>
        <v>3663.2990100000002</v>
      </c>
      <c r="M68">
        <f>(4414.3607-676.19734)+(604.75796-450.15488)+(351.63055-347.81055)</f>
        <v>3896.58644</v>
      </c>
      <c r="N68">
        <f>(4409.8662-993.08551)+(908.49077-553.78967)+(425.93071-404.4529 )</f>
        <v>3792.9596000000006</v>
      </c>
      <c r="O68">
        <f>(4418.1584-450.22919)+(364.13049-353.29688)</f>
        <v>3978.7628200000004</v>
      </c>
      <c r="P68">
        <f>(4411.6978-665.04168)</f>
        <v>3746.6561199999996</v>
      </c>
    </row>
    <row r="69" spans="3:16">
      <c r="J69">
        <f>(4415.217-574.82333)+(2)</f>
        <v>3842.3936699999995</v>
      </c>
      <c r="K69">
        <f>(4508.8-564.6)+(451.4-383.2)+1</f>
        <v>4013.4</v>
      </c>
      <c r="M69">
        <f>(4400.4-1457.2)+(1298.7-1069.7)+(833.7-688)+(558.3-507.9)</f>
        <v>3368.2999999999997</v>
      </c>
      <c r="N69">
        <f>(4409.4-576.4)+(0.1)</f>
        <v>3833.0999999999995</v>
      </c>
      <c r="O69">
        <f>(4377.2-1859.3)+(1743.2-815.7)+(674.7-633.2)+2.8</f>
        <v>3489.7</v>
      </c>
      <c r="P69">
        <f>(4421.8-744.7)+(568.9-526.6)</f>
        <v>3719.4000000000005</v>
      </c>
    </row>
    <row r="70" spans="3:16">
      <c r="J70">
        <f>(4515.6744-433)+0.5</f>
        <v>4083.1743999999999</v>
      </c>
      <c r="K70">
        <f>(4517.4-769.7)</f>
        <v>3747.7</v>
      </c>
      <c r="M70">
        <f>(4417.3-1025.7)+(910.3-642.9)+(524.3-457.9)+3.3</f>
        <v>3728.7000000000007</v>
      </c>
      <c r="N70">
        <f>(4435.9-449.3)+0.4</f>
        <v>3986.9999999999995</v>
      </c>
      <c r="O70">
        <f>(4398.7-559.6)</f>
        <v>3839.1</v>
      </c>
      <c r="P70">
        <f>(4433.2-508.4)</f>
        <v>3924.7999999999997</v>
      </c>
    </row>
    <row r="71" spans="3:16">
      <c r="J71">
        <f>(4521.8-665.7)+(523.5-499.6)+(381.2-376.9)</f>
        <v>3884.3000000000006</v>
      </c>
      <c r="K71">
        <f>(4518.2-815.5)+(672.4-625.6)+(443.4-426.2)+0.8</f>
        <v>3767.5</v>
      </c>
      <c r="M71">
        <f>(4424.2-418.1)+(4)</f>
        <v>4010.1</v>
      </c>
      <c r="N71">
        <f>(4428.8-1001)+(929.1-545.9)+(457.9-402.7)+(351.1-347.3)</f>
        <v>3870</v>
      </c>
      <c r="O71">
        <f>(4419.5-557.1)+(383.1-379.3)</f>
        <v>3866.2000000000003</v>
      </c>
      <c r="P71">
        <f>(4400.2-1029)+(752-703.6)+3</f>
        <v>3422.6</v>
      </c>
    </row>
    <row r="72" spans="3:16">
      <c r="J72">
        <f>(4517-526.7)+(472-372.3)+1</f>
        <v>4091</v>
      </c>
      <c r="K72">
        <f>(4366.3-1067.4)+(718-658.8)+5.1</f>
        <v>3363.2000000000003</v>
      </c>
      <c r="M72">
        <f>(4424.9-586.1)+1.2</f>
        <v>3839.9999999999995</v>
      </c>
      <c r="N72">
        <f>(4423.1-766.6)</f>
        <v>3656.5000000000005</v>
      </c>
      <c r="O72">
        <f>(4434.4-463.2)</f>
        <v>3971.2</v>
      </c>
      <c r="P72">
        <f>(4410.6-946.2)</f>
        <v>3464.4000000000005</v>
      </c>
    </row>
    <row r="73" spans="3:16">
      <c r="J73">
        <f>(4426.5-897.8)+(844.9-389.5)+(346.5-331.6)</f>
        <v>3999</v>
      </c>
      <c r="K73">
        <f>(4520.5-565.2)+(503.2-414.6)+5.5</f>
        <v>4049.4</v>
      </c>
      <c r="M73">
        <f>(4423.1-573)+2.3</f>
        <v>3852.4000000000005</v>
      </c>
      <c r="N73">
        <f>(4439.4-359.1)+(323.5-317.2)</f>
        <v>4086.6</v>
      </c>
      <c r="O73">
        <f>(4416.7-733)+(495.7-480.1)+(394.7-387.8)</f>
        <v>3706.2</v>
      </c>
      <c r="P73">
        <f>(4417.4-992)+(911.8-591.6)+2</f>
        <v>3747.5999999999995</v>
      </c>
    </row>
    <row r="74" spans="3:16">
      <c r="J74">
        <f>(4406-1054.3)+(974.1-571.4)+(403.9-398)</f>
        <v>3760.2999999999997</v>
      </c>
      <c r="K74">
        <f>(4512-918.3)+(766.9-705.9)+4</f>
        <v>3658.7</v>
      </c>
      <c r="M74">
        <f>(4327.4-3396.4)+(3251-1801.6)+(1468.2-1116)+(764.7-698.2)</f>
        <v>2799.0999999999995</v>
      </c>
      <c r="N74">
        <f>(4407-905.7)</f>
        <v>3501.3</v>
      </c>
      <c r="O74">
        <f>(4382.5-1413.4)+(1355.7-640.5)</f>
        <v>3684.3</v>
      </c>
      <c r="P74">
        <f>(4409.9-659)+(10.7)</f>
        <v>3761.5999999999995</v>
      </c>
    </row>
    <row r="75" spans="3:16">
      <c r="J75">
        <f>(4519.7-552.7)+0.3</f>
        <v>3967.3</v>
      </c>
      <c r="K75">
        <f>(4436.8-386.5)+2.5</f>
        <v>4052.8</v>
      </c>
      <c r="M75">
        <f>(4434.7-445.3)+1.8</f>
        <v>3991.2</v>
      </c>
      <c r="N75">
        <f>(4415.3-851.3)+(648.1-636.1)+(453.7-444.3)</f>
        <v>3585.4</v>
      </c>
      <c r="O75">
        <f>(4371.8-1064.5)+(613-557.2)+2.2</f>
        <v>3365.3</v>
      </c>
      <c r="P75">
        <f>(4378.8-982)+(596.4-581)+(437-432)</f>
        <v>3417.2000000000003</v>
      </c>
    </row>
    <row r="76" spans="3:16">
      <c r="J76">
        <f>(4520-532.1)+(493.1-357.2)</f>
        <v>4123.8</v>
      </c>
      <c r="K76">
        <f>(4419.6-796.7)+(716.7-528.6)+(422.7-385.1)+1.6</f>
        <v>3850.2000000000003</v>
      </c>
      <c r="M76">
        <f>(4418.3-605.4)+0.3</f>
        <v>3813.2000000000003</v>
      </c>
      <c r="N76">
        <f>(4398.5-1186.7)</f>
        <v>3211.8</v>
      </c>
      <c r="O76">
        <f>(4422.8-1025.3)</f>
        <v>3397.5</v>
      </c>
      <c r="P76">
        <f>(4325.5-1237.9)+(931.6-906)+(660.1-628.4)</f>
        <v>3144.8999999999996</v>
      </c>
    </row>
    <row r="77" spans="3:16">
      <c r="C77" t="s">
        <v>45</v>
      </c>
      <c r="D77">
        <f t="shared" ref="D77:I77" si="25">AVERAGE(D61:D76)</f>
        <v>4200.4411200000004</v>
      </c>
      <c r="F77">
        <f t="shared" si="25"/>
        <v>4129.8239199999998</v>
      </c>
      <c r="G77">
        <f t="shared" si="25"/>
        <v>4101.05447</v>
      </c>
      <c r="H77">
        <f t="shared" si="25"/>
        <v>4031.1785812500002</v>
      </c>
      <c r="I77">
        <f t="shared" si="25"/>
        <v>3987.5454024999999</v>
      </c>
      <c r="J77">
        <f>AVERAGE(J61:J76)</f>
        <v>3918.4662375000007</v>
      </c>
      <c r="K77">
        <f>AVERAGE(K61:K76)</f>
        <v>3917.5925212499992</v>
      </c>
      <c r="L77">
        <f t="shared" ref="L77:P77" si="26">AVERAGE(L61:L76)</f>
        <v>3894.6651087499995</v>
      </c>
      <c r="M77">
        <f t="shared" si="26"/>
        <v>3804.8909437500001</v>
      </c>
      <c r="N77">
        <f>AVERAGE(N61:N76)</f>
        <v>3759.0110925000008</v>
      </c>
      <c r="O77">
        <f t="shared" si="26"/>
        <v>3777.2965866666664</v>
      </c>
      <c r="P77">
        <f t="shared" si="26"/>
        <v>3728.3310493333333</v>
      </c>
    </row>
    <row r="78" spans="3:16">
      <c r="D78">
        <f t="shared" ref="D78:I78" si="27">STDEV(D61:D76)/SQRT(COUNT(D61:D76))</f>
        <v>4.4748006404391978</v>
      </c>
      <c r="F78">
        <f t="shared" si="27"/>
        <v>25.993837429730036</v>
      </c>
      <c r="G78">
        <f t="shared" si="27"/>
        <v>37.262173830659968</v>
      </c>
      <c r="H78">
        <f t="shared" si="27"/>
        <v>19.433814682914313</v>
      </c>
      <c r="I78">
        <f t="shared" si="27"/>
        <v>64.439400418007324</v>
      </c>
      <c r="J78">
        <f>STDEV(J61:J76)/SQRT(COUNT(J61:J76))</f>
        <v>42.850222644652852</v>
      </c>
      <c r="K78">
        <f>STDEV(K61:K76)/SQRT(COUNT(K61:K76))</f>
        <v>57.408084391921982</v>
      </c>
      <c r="L78">
        <f t="shared" ref="L78:P78" si="28">STDEV(L61:L76)/SQRT(COUNT(L61:L76))</f>
        <v>61.170312618133266</v>
      </c>
      <c r="M78">
        <f t="shared" si="28"/>
        <v>79.192892630760028</v>
      </c>
      <c r="N78">
        <f>STDEV(N61:N76)/SQRT(COUNT(N61:N76))</f>
        <v>59.097399916777945</v>
      </c>
      <c r="O78">
        <f>STDEV(O61:O76)/SQRT(COUNT(O61:O76))</f>
        <v>59.906419938333521</v>
      </c>
      <c r="P78">
        <f t="shared" si="28"/>
        <v>73.678970200002126</v>
      </c>
    </row>
    <row r="79" spans="3:16">
      <c r="C79" t="s">
        <v>47</v>
      </c>
      <c r="D79">
        <f t="shared" ref="D79" si="29">D77*(8.6173*10^-5)</f>
        <v>0.36196461263376006</v>
      </c>
      <c r="F79">
        <f>F77*(8.6173*10^-5)</f>
        <v>0.35587931665815997</v>
      </c>
      <c r="G79">
        <f t="shared" ref="G79:P79" si="30">G77*(8.6173*10^-5)</f>
        <v>0.35340016684330999</v>
      </c>
      <c r="H79">
        <f t="shared" si="30"/>
        <v>0.3473787518820563</v>
      </c>
      <c r="I79">
        <f t="shared" si="30"/>
        <v>0.34361874996963249</v>
      </c>
      <c r="J79">
        <f>J77*(8.6173*10^-5)</f>
        <v>0.33766599108408757</v>
      </c>
      <c r="K79">
        <f t="shared" si="30"/>
        <v>0.33759070033367622</v>
      </c>
      <c r="L79">
        <f t="shared" si="30"/>
        <v>0.33561497641631372</v>
      </c>
      <c r="M79">
        <f t="shared" si="30"/>
        <v>0.32787886729576876</v>
      </c>
      <c r="N79">
        <f t="shared" si="30"/>
        <v>0.32392526287400258</v>
      </c>
      <c r="O79">
        <f t="shared" si="30"/>
        <v>0.32550097876282663</v>
      </c>
      <c r="P79">
        <f t="shared" si="30"/>
        <v>0.32128147151420133</v>
      </c>
    </row>
    <row r="80" spans="3:16">
      <c r="C80" t="s">
        <v>46</v>
      </c>
      <c r="D80">
        <f t="shared" ref="D80" si="31">(3/2)*(D77)*291600*(8.6173*10^-5)/1000</f>
        <v>158.32332156600665</v>
      </c>
      <c r="F80">
        <f>(3/2)*(F77)*291600*(8.6173*10^-5)/1000</f>
        <v>155.66161310627919</v>
      </c>
      <c r="G80">
        <f t="shared" ref="G80:P80" si="32">(3/2)*(G77)*291600*(8.6173*10^-5)/1000</f>
        <v>154.5772329772638</v>
      </c>
      <c r="H80">
        <f t="shared" si="32"/>
        <v>151.9434660732114</v>
      </c>
      <c r="I80">
        <f t="shared" si="32"/>
        <v>150.29884123671724</v>
      </c>
      <c r="J80">
        <f t="shared" si="32"/>
        <v>147.69510450017989</v>
      </c>
      <c r="K80">
        <f t="shared" si="32"/>
        <v>147.66217232594997</v>
      </c>
      <c r="L80">
        <f t="shared" si="32"/>
        <v>146.79799068449563</v>
      </c>
      <c r="M80">
        <f t="shared" si="32"/>
        <v>143.41421655516925</v>
      </c>
      <c r="N80">
        <f t="shared" si="32"/>
        <v>141.68490998108874</v>
      </c>
      <c r="O80">
        <f t="shared" si="32"/>
        <v>142.37412811086037</v>
      </c>
      <c r="P80">
        <f t="shared" si="32"/>
        <v>140.52851564031167</v>
      </c>
    </row>
    <row r="81" spans="4:16">
      <c r="I81" t="s">
        <v>36</v>
      </c>
    </row>
    <row r="82" spans="4:16">
      <c r="D82">
        <v>423.84849000000003</v>
      </c>
      <c r="E82">
        <v>384.11149</v>
      </c>
      <c r="F82">
        <v>387.06695000000002</v>
      </c>
      <c r="G82">
        <v>684.72537</v>
      </c>
      <c r="H82">
        <v>847.52958999999998</v>
      </c>
      <c r="I82">
        <v>637.42627000000005</v>
      </c>
      <c r="J82">
        <v>1244.4009000000001</v>
      </c>
      <c r="K82">
        <v>374.56544000000002</v>
      </c>
      <c r="L82">
        <v>657.73049000000003</v>
      </c>
      <c r="M82">
        <v>350.08661999999998</v>
      </c>
      <c r="N82">
        <v>733.28561999999999</v>
      </c>
      <c r="P82">
        <v>656.63034000000005</v>
      </c>
    </row>
    <row r="83" spans="4:16">
      <c r="D83">
        <v>487.11331000000001</v>
      </c>
      <c r="E83">
        <v>391.57479000000001</v>
      </c>
      <c r="F83">
        <v>510.68538999999998</v>
      </c>
      <c r="G83">
        <v>374.38688999999999</v>
      </c>
      <c r="H83">
        <v>459.44364000000002</v>
      </c>
      <c r="I83">
        <v>350.70936</v>
      </c>
      <c r="J83">
        <v>426.85723999999999</v>
      </c>
      <c r="K83">
        <v>1628.2969000000001</v>
      </c>
      <c r="L83">
        <v>644.21182999999996</v>
      </c>
      <c r="M83">
        <v>628.89721999999995</v>
      </c>
      <c r="N83">
        <v>739.92169999999999</v>
      </c>
      <c r="O83">
        <v>418.42342000000002</v>
      </c>
      <c r="P83">
        <v>950.28332</v>
      </c>
    </row>
    <row r="84" spans="4:16">
      <c r="D84">
        <v>724.85539000000006</v>
      </c>
      <c r="E84">
        <v>385.20263999999997</v>
      </c>
      <c r="F84">
        <v>581.04935</v>
      </c>
      <c r="G84">
        <v>651.91201999999998</v>
      </c>
      <c r="H84">
        <v>401.68351999999999</v>
      </c>
      <c r="I84">
        <v>558.94502999999997</v>
      </c>
      <c r="J84">
        <v>893.0616</v>
      </c>
      <c r="K84">
        <v>418.13231999999999</v>
      </c>
      <c r="L84">
        <v>357.31317000000001</v>
      </c>
      <c r="M84">
        <v>461.72888</v>
      </c>
      <c r="N84">
        <v>655.91011000000003</v>
      </c>
      <c r="O84">
        <v>508.40188999999998</v>
      </c>
      <c r="P84">
        <v>1213.4667999999999</v>
      </c>
    </row>
    <row r="85" spans="4:16">
      <c r="D85">
        <v>538.51960999999994</v>
      </c>
      <c r="E85">
        <v>457.76882999999998</v>
      </c>
      <c r="F85">
        <v>579.29071999999996</v>
      </c>
      <c r="G85">
        <v>1016.7953</v>
      </c>
      <c r="H85">
        <v>673.85761000000002</v>
      </c>
      <c r="I85">
        <v>632.45068000000003</v>
      </c>
      <c r="J85">
        <v>639.40557000000001</v>
      </c>
      <c r="K85">
        <v>331.47822000000002</v>
      </c>
      <c r="L85">
        <v>392.56394</v>
      </c>
      <c r="M85">
        <v>386.25646999999998</v>
      </c>
      <c r="N85">
        <v>722.77948000000004</v>
      </c>
      <c r="O85">
        <v>446.33908000000002</v>
      </c>
      <c r="P85">
        <v>497.61362000000003</v>
      </c>
    </row>
    <row r="86" spans="4:16">
      <c r="D86">
        <v>369.28462999999999</v>
      </c>
      <c r="E86">
        <v>306.93315000000001</v>
      </c>
      <c r="F86">
        <v>410.10910999999999</v>
      </c>
      <c r="G86">
        <v>310.51924000000002</v>
      </c>
      <c r="H86">
        <v>623.32245999999998</v>
      </c>
      <c r="I86">
        <v>621.49823000000004</v>
      </c>
      <c r="J86">
        <v>589.70707000000004</v>
      </c>
      <c r="K86">
        <v>342.67261000000002</v>
      </c>
      <c r="L86">
        <v>322.23549000000003</v>
      </c>
      <c r="M86">
        <v>542.94308000000001</v>
      </c>
      <c r="N86">
        <v>326.97037999999998</v>
      </c>
      <c r="O86">
        <v>1039.943</v>
      </c>
    </row>
    <row r="87" spans="4:16">
      <c r="D87">
        <v>325.30963000000003</v>
      </c>
      <c r="E87">
        <v>404.23469999999998</v>
      </c>
      <c r="F87">
        <v>814.91146000000003</v>
      </c>
      <c r="G87">
        <v>698.68502999999998</v>
      </c>
      <c r="H87">
        <v>501.97613000000001</v>
      </c>
      <c r="I87">
        <v>1242.0527</v>
      </c>
      <c r="J87">
        <v>1024.2246</v>
      </c>
      <c r="K87">
        <v>639.73819000000003</v>
      </c>
      <c r="L87">
        <v>492.31263999999999</v>
      </c>
      <c r="M87">
        <v>646.81713000000002</v>
      </c>
      <c r="N87">
        <v>948.08523000000002</v>
      </c>
      <c r="O87">
        <v>563.99085000000002</v>
      </c>
      <c r="P87">
        <v>684.43591000000004</v>
      </c>
    </row>
    <row r="88" spans="4:16">
      <c r="D88">
        <v>340.40796</v>
      </c>
      <c r="E88">
        <v>337.43651</v>
      </c>
      <c r="F88">
        <v>454.23631</v>
      </c>
      <c r="G88">
        <v>444.01186999999999</v>
      </c>
      <c r="H88">
        <v>811.08371999999997</v>
      </c>
      <c r="I88">
        <v>443.30234000000002</v>
      </c>
      <c r="J88">
        <v>857.94691999999998</v>
      </c>
      <c r="K88">
        <v>720.14941999999996</v>
      </c>
      <c r="L88">
        <v>672.27052000000003</v>
      </c>
      <c r="M88">
        <v>489.66462000000001</v>
      </c>
      <c r="N88">
        <v>476.51163000000003</v>
      </c>
      <c r="O88">
        <v>413.02132999999998</v>
      </c>
      <c r="P88">
        <v>558.43569000000002</v>
      </c>
    </row>
    <row r="89" spans="4:16">
      <c r="D89">
        <v>470.58129000000002</v>
      </c>
      <c r="E89">
        <v>390.25796000000003</v>
      </c>
      <c r="F89">
        <v>403.54903999999999</v>
      </c>
      <c r="G89">
        <v>515.87086999999997</v>
      </c>
      <c r="H89">
        <v>443.91647999999998</v>
      </c>
      <c r="I89">
        <v>371.7072</v>
      </c>
      <c r="J89">
        <v>371.23835000000003</v>
      </c>
      <c r="K89">
        <v>322.24515000000002</v>
      </c>
      <c r="L89">
        <v>1090.6472000000001</v>
      </c>
      <c r="M89">
        <v>676.19734000000005</v>
      </c>
      <c r="N89">
        <v>993.08551</v>
      </c>
      <c r="O89">
        <v>450.22919000000002</v>
      </c>
      <c r="P89">
        <v>665.04168000000004</v>
      </c>
    </row>
    <row r="90" spans="4:16">
      <c r="D90">
        <v>619.86942999999997</v>
      </c>
      <c r="E90">
        <v>777.83973000000003</v>
      </c>
      <c r="F90">
        <v>380.45078999999998</v>
      </c>
      <c r="G90">
        <v>476.57889</v>
      </c>
      <c r="H90">
        <v>884.10892000000001</v>
      </c>
      <c r="I90">
        <v>1053.0336</v>
      </c>
      <c r="K90">
        <v>564.64860999999996</v>
      </c>
      <c r="L90">
        <v>570.29629</v>
      </c>
      <c r="M90">
        <v>1457.1559999999999</v>
      </c>
      <c r="N90">
        <v>576.44101999999998</v>
      </c>
      <c r="O90">
        <v>1859.2828</v>
      </c>
      <c r="P90">
        <v>744.73739999999998</v>
      </c>
    </row>
    <row r="91" spans="4:16">
      <c r="D91">
        <v>519.12895000000003</v>
      </c>
      <c r="E91">
        <v>343.17288000000002</v>
      </c>
      <c r="F91">
        <v>531.15202999999997</v>
      </c>
      <c r="G91">
        <v>578.94069000000002</v>
      </c>
      <c r="H91">
        <v>345.81419</v>
      </c>
      <c r="I91">
        <v>332.90645000000001</v>
      </c>
      <c r="J91">
        <v>433.06776000000002</v>
      </c>
      <c r="K91">
        <v>769.66165999999998</v>
      </c>
      <c r="L91">
        <v>998.78242999999998</v>
      </c>
      <c r="M91">
        <v>1025.7279000000001</v>
      </c>
      <c r="N91">
        <v>449.28735999999998</v>
      </c>
      <c r="O91">
        <v>559.57876999999996</v>
      </c>
      <c r="P91">
        <v>508.38287000000003</v>
      </c>
    </row>
    <row r="92" spans="4:16">
      <c r="D92">
        <v>547.03536999999994</v>
      </c>
      <c r="E92">
        <v>518.13251000000002</v>
      </c>
      <c r="F92">
        <v>602.21540000000005</v>
      </c>
      <c r="G92">
        <v>319.77024</v>
      </c>
      <c r="H92">
        <v>887.68322999999998</v>
      </c>
      <c r="I92">
        <v>415.12374999999997</v>
      </c>
      <c r="J92">
        <v>665.70953999999995</v>
      </c>
      <c r="K92">
        <v>815.54961000000003</v>
      </c>
      <c r="L92">
        <v>590.14745000000005</v>
      </c>
      <c r="M92">
        <v>418.12240000000003</v>
      </c>
      <c r="N92">
        <v>1001.0060999999999</v>
      </c>
      <c r="O92">
        <v>557.05817999999999</v>
      </c>
      <c r="P92">
        <v>1028.9947999999999</v>
      </c>
    </row>
    <row r="93" spans="4:16">
      <c r="D93">
        <v>800.96798000000001</v>
      </c>
      <c r="E93">
        <v>955.83177000000001</v>
      </c>
      <c r="F93">
        <v>768.11108000000002</v>
      </c>
      <c r="G93">
        <v>492.06857000000002</v>
      </c>
      <c r="H93">
        <v>488.25711999999999</v>
      </c>
      <c r="I93">
        <v>420.78097000000002</v>
      </c>
      <c r="J93">
        <v>526.71519000000001</v>
      </c>
      <c r="K93">
        <v>1067.4013</v>
      </c>
      <c r="L93">
        <v>396.16735999999997</v>
      </c>
      <c r="M93">
        <v>586.06281999999999</v>
      </c>
      <c r="N93">
        <v>766.63072</v>
      </c>
      <c r="O93">
        <v>463.18301000000002</v>
      </c>
      <c r="P93">
        <v>946.15159000000006</v>
      </c>
    </row>
    <row r="94" spans="4:16">
      <c r="D94">
        <v>1131.8713</v>
      </c>
      <c r="E94">
        <v>322.00592</v>
      </c>
      <c r="F94">
        <v>387.76531999999997</v>
      </c>
      <c r="G94">
        <v>876.15035</v>
      </c>
      <c r="H94">
        <v>372.34039999999999</v>
      </c>
      <c r="I94">
        <v>323.49520000000001</v>
      </c>
      <c r="J94">
        <v>897.80954999999994</v>
      </c>
      <c r="K94">
        <v>565.17854999999997</v>
      </c>
      <c r="L94">
        <v>323.17041</v>
      </c>
      <c r="M94">
        <v>572.97824000000003</v>
      </c>
      <c r="N94">
        <v>359.06103000000002</v>
      </c>
      <c r="O94">
        <v>733.04769999999996</v>
      </c>
      <c r="P94">
        <v>992.04120999999998</v>
      </c>
    </row>
    <row r="95" spans="4:16">
      <c r="D95">
        <v>389.50952999999998</v>
      </c>
      <c r="E95">
        <v>716.73668999999995</v>
      </c>
      <c r="F95">
        <v>559.89613999999995</v>
      </c>
      <c r="G95">
        <v>845.93700000000001</v>
      </c>
      <c r="H95">
        <v>398.71951999999999</v>
      </c>
      <c r="I95">
        <v>1017.9838999999999</v>
      </c>
      <c r="J95">
        <v>1054.2843</v>
      </c>
      <c r="K95">
        <v>918.25154999999995</v>
      </c>
      <c r="L95">
        <v>1241.2094999999999</v>
      </c>
      <c r="N95">
        <v>905.65278999999998</v>
      </c>
      <c r="O95">
        <v>1413.3508999999999</v>
      </c>
      <c r="P95">
        <v>659.00869</v>
      </c>
    </row>
    <row r="96" spans="4:16">
      <c r="D96">
        <v>515.50341000000003</v>
      </c>
      <c r="E96">
        <v>786.17922999999996</v>
      </c>
      <c r="F96">
        <v>441.33828</v>
      </c>
      <c r="G96">
        <v>435.14852999999999</v>
      </c>
      <c r="H96">
        <v>539.37576999999999</v>
      </c>
      <c r="I96">
        <v>332.1198</v>
      </c>
      <c r="J96">
        <v>552.66778999999997</v>
      </c>
      <c r="K96">
        <v>386.54836</v>
      </c>
      <c r="L96">
        <v>1284.0887</v>
      </c>
      <c r="M96">
        <v>445.25727000000001</v>
      </c>
      <c r="N96">
        <v>851.26908000000003</v>
      </c>
      <c r="O96">
        <v>1064.4867999999999</v>
      </c>
      <c r="P96">
        <v>982.04367000000002</v>
      </c>
    </row>
    <row r="97" spans="4:16">
      <c r="D97">
        <v>405.56686999999999</v>
      </c>
      <c r="E97">
        <v>372.55576000000002</v>
      </c>
      <c r="F97">
        <v>469.88384000000002</v>
      </c>
      <c r="G97">
        <v>620.85420999999997</v>
      </c>
      <c r="H97">
        <v>346.13121999999998</v>
      </c>
      <c r="I97">
        <v>325.98457999999999</v>
      </c>
      <c r="J97">
        <v>532.09673999999995</v>
      </c>
      <c r="K97">
        <v>796.65247999999997</v>
      </c>
      <c r="L97">
        <v>525.53674999999998</v>
      </c>
      <c r="M97">
        <v>605.44713000000002</v>
      </c>
      <c r="N97">
        <v>1186.7213999999999</v>
      </c>
      <c r="O97">
        <v>1025.2917</v>
      </c>
      <c r="P97">
        <v>1237.9096999999999</v>
      </c>
    </row>
    <row r="98" spans="4:16">
      <c r="G98">
        <v>397.72951999999998</v>
      </c>
      <c r="H98">
        <v>452.50551000000002</v>
      </c>
      <c r="I98">
        <v>689.44727999999998</v>
      </c>
      <c r="J98">
        <v>317.18013999999999</v>
      </c>
      <c r="K98">
        <v>448.26251000000002</v>
      </c>
      <c r="L98">
        <v>654.29999999999995</v>
      </c>
      <c r="M98" s="11">
        <v>488.9</v>
      </c>
      <c r="N98" s="11">
        <v>834.9</v>
      </c>
      <c r="O98" s="11">
        <v>511.7</v>
      </c>
    </row>
    <row r="99" spans="4:16">
      <c r="G99">
        <v>630.56209999999999</v>
      </c>
      <c r="H99">
        <v>476.43955</v>
      </c>
      <c r="I99">
        <v>374.28417000000002</v>
      </c>
      <c r="J99">
        <v>580.70618999999999</v>
      </c>
      <c r="K99">
        <v>501.68549999999999</v>
      </c>
      <c r="L99">
        <v>1013.2</v>
      </c>
      <c r="M99" s="11">
        <v>596.1</v>
      </c>
      <c r="N99" s="11">
        <v>414.7</v>
      </c>
      <c r="O99" s="11">
        <v>500.6</v>
      </c>
    </row>
    <row r="100" spans="4:16">
      <c r="G100">
        <v>996.31493999999998</v>
      </c>
      <c r="H100">
        <v>381.75405999999998</v>
      </c>
      <c r="I100">
        <v>412.85079999999999</v>
      </c>
      <c r="J100">
        <v>647.45489999999995</v>
      </c>
      <c r="K100">
        <v>386.65852999999998</v>
      </c>
      <c r="L100">
        <v>1012.2</v>
      </c>
      <c r="M100" s="11">
        <v>408</v>
      </c>
      <c r="N100" s="11">
        <v>778.9</v>
      </c>
      <c r="O100" s="11">
        <v>1384.2</v>
      </c>
    </row>
    <row r="101" spans="4:16">
      <c r="G101">
        <v>561.81628999999998</v>
      </c>
      <c r="H101">
        <v>828.29173000000003</v>
      </c>
      <c r="I101">
        <v>617.25636999999995</v>
      </c>
      <c r="J101">
        <v>344.14395000000002</v>
      </c>
      <c r="K101">
        <v>1087.1692</v>
      </c>
      <c r="L101">
        <v>323.5</v>
      </c>
      <c r="M101" s="11">
        <v>1025.5</v>
      </c>
      <c r="N101" s="11">
        <v>644.1</v>
      </c>
    </row>
    <row r="102" spans="4:16">
      <c r="G102">
        <v>380.15192000000002</v>
      </c>
      <c r="H102">
        <v>886.86710000000005</v>
      </c>
      <c r="I102">
        <v>850.69857999999999</v>
      </c>
      <c r="J102">
        <v>449.97820999999999</v>
      </c>
      <c r="K102">
        <v>709.52097000000003</v>
      </c>
      <c r="L102">
        <v>918</v>
      </c>
      <c r="M102" s="11">
        <v>624.5</v>
      </c>
      <c r="N102" s="11">
        <v>431.4</v>
      </c>
    </row>
    <row r="103" spans="4:16">
      <c r="G103">
        <v>445.44941</v>
      </c>
      <c r="H103">
        <v>347.10413</v>
      </c>
      <c r="I103">
        <v>439.01341000000002</v>
      </c>
      <c r="J103">
        <v>429.80207999999999</v>
      </c>
      <c r="K103">
        <v>1055.1428000000001</v>
      </c>
      <c r="L103">
        <v>1319.8</v>
      </c>
      <c r="M103" s="11">
        <v>337.4</v>
      </c>
      <c r="N103" s="11">
        <v>669.5</v>
      </c>
      <c r="O103" s="11">
        <v>996.9</v>
      </c>
    </row>
    <row r="104" spans="4:16">
      <c r="G104">
        <v>320.34440999999998</v>
      </c>
      <c r="H104">
        <v>460.18178999999998</v>
      </c>
      <c r="I104">
        <v>365.66681999999997</v>
      </c>
      <c r="J104">
        <v>355.07193000000001</v>
      </c>
      <c r="K104">
        <v>410.0025</v>
      </c>
      <c r="L104">
        <v>1063.9000000000001</v>
      </c>
      <c r="M104" s="11">
        <v>1365</v>
      </c>
      <c r="N104" s="11">
        <v>865.7</v>
      </c>
    </row>
    <row r="105" spans="4:16">
      <c r="G105">
        <v>630.72330999999997</v>
      </c>
      <c r="H105">
        <v>444.04592000000002</v>
      </c>
      <c r="I105">
        <v>530.46718999999996</v>
      </c>
      <c r="J105">
        <v>525.63109999999995</v>
      </c>
      <c r="K105">
        <v>329.66153000000003</v>
      </c>
      <c r="L105">
        <v>878.7</v>
      </c>
      <c r="M105" s="11">
        <v>663.9</v>
      </c>
      <c r="N105" s="11">
        <v>347.6</v>
      </c>
      <c r="O105" s="11">
        <v>696.4</v>
      </c>
    </row>
    <row r="106" spans="4:16">
      <c r="G106">
        <v>365.08049999999997</v>
      </c>
      <c r="H106">
        <v>438.79142000000002</v>
      </c>
      <c r="I106">
        <v>606.19847000000004</v>
      </c>
      <c r="J106">
        <v>324.57200999999998</v>
      </c>
      <c r="K106">
        <v>788.24634000000003</v>
      </c>
      <c r="L106">
        <v>1361.4</v>
      </c>
      <c r="M106" s="11">
        <v>350.6</v>
      </c>
      <c r="N106" s="11">
        <v>1231</v>
      </c>
      <c r="O106" s="11">
        <v>870.5</v>
      </c>
    </row>
    <row r="107" spans="4:16">
      <c r="G107">
        <v>445.68243999999999</v>
      </c>
      <c r="H107">
        <v>356.52954999999997</v>
      </c>
      <c r="I107">
        <v>346.18448999999998</v>
      </c>
      <c r="K107">
        <v>1164.8502000000001</v>
      </c>
      <c r="L107">
        <v>1021.7</v>
      </c>
      <c r="M107" s="11">
        <v>452.9</v>
      </c>
      <c r="N107" s="11">
        <v>603.6</v>
      </c>
    </row>
    <row r="108" spans="4:16">
      <c r="G108">
        <v>368.95627999999999</v>
      </c>
      <c r="H108">
        <v>328.70618999999999</v>
      </c>
      <c r="I108">
        <v>901.30020000000002</v>
      </c>
      <c r="J108">
        <v>396.52731999999997</v>
      </c>
      <c r="K108">
        <v>853.28261999999995</v>
      </c>
      <c r="L108">
        <v>422.8</v>
      </c>
      <c r="M108" s="11">
        <v>547.5</v>
      </c>
      <c r="N108" s="11">
        <v>615.9</v>
      </c>
    </row>
    <row r="109" spans="4:16">
      <c r="G109">
        <v>1123.0392999999999</v>
      </c>
      <c r="H109">
        <v>538.42363</v>
      </c>
      <c r="I109">
        <v>840.19190000000003</v>
      </c>
      <c r="K109">
        <v>362.68853999999999</v>
      </c>
      <c r="L109">
        <v>822.4</v>
      </c>
      <c r="N109" s="11">
        <v>549.29999999999995</v>
      </c>
      <c r="O109">
        <v>620</v>
      </c>
    </row>
    <row r="110" spans="4:16">
      <c r="G110">
        <v>608.97775000000001</v>
      </c>
      <c r="H110">
        <v>841.30963999999994</v>
      </c>
      <c r="I110">
        <v>564.15967000000001</v>
      </c>
      <c r="J110">
        <v>517.60452999999995</v>
      </c>
      <c r="K110">
        <v>381.30642999999998</v>
      </c>
      <c r="L110">
        <v>636.5</v>
      </c>
      <c r="M110">
        <v>417.2</v>
      </c>
      <c r="N110" s="11">
        <v>372.3</v>
      </c>
    </row>
    <row r="111" spans="4:16">
      <c r="G111">
        <v>664.04503999999997</v>
      </c>
      <c r="H111">
        <v>370.33393999999998</v>
      </c>
      <c r="I111">
        <v>642.30872999999997</v>
      </c>
      <c r="J111">
        <v>343.25693999999999</v>
      </c>
      <c r="K111">
        <v>821.01161999999999</v>
      </c>
      <c r="L111">
        <v>505.1</v>
      </c>
      <c r="M111">
        <v>1089.9000000000001</v>
      </c>
      <c r="N111" s="11">
        <v>611</v>
      </c>
      <c r="O111" s="11">
        <v>654.29999999999995</v>
      </c>
    </row>
    <row r="112" spans="4:16">
      <c r="G112">
        <v>348.06743</v>
      </c>
      <c r="H112">
        <v>1011.2229</v>
      </c>
      <c r="I112">
        <v>875.47457999999995</v>
      </c>
      <c r="J112">
        <v>1194.5266999999999</v>
      </c>
      <c r="K112">
        <v>697.41736000000003</v>
      </c>
      <c r="L112">
        <v>607.29999999999995</v>
      </c>
      <c r="M112">
        <v>433.1</v>
      </c>
      <c r="N112" s="11">
        <v>1261.2</v>
      </c>
    </row>
    <row r="113" spans="4:16">
      <c r="G113">
        <v>1114.5374999999999</v>
      </c>
      <c r="H113">
        <v>882.47504000000004</v>
      </c>
      <c r="I113">
        <v>1074.8199</v>
      </c>
      <c r="J113">
        <v>875.30717000000004</v>
      </c>
      <c r="K113">
        <v>342.76278000000002</v>
      </c>
      <c r="L113">
        <v>558.20000000000005</v>
      </c>
      <c r="M113">
        <v>382.6</v>
      </c>
      <c r="N113" s="11">
        <v>362.9</v>
      </c>
      <c r="O113" s="11">
        <v>497.4</v>
      </c>
    </row>
    <row r="114" spans="4:16">
      <c r="D114" s="10">
        <f t="shared" ref="D114:G114" si="33">AVERAGE(D82:D113)</f>
        <v>538.08582187500008</v>
      </c>
      <c r="E114" s="10">
        <f t="shared" si="33"/>
        <v>490.62340999999998</v>
      </c>
      <c r="F114" s="10">
        <f t="shared" si="33"/>
        <v>517.60695062499997</v>
      </c>
      <c r="G114" s="10">
        <f t="shared" si="33"/>
        <v>585.74478781249991</v>
      </c>
      <c r="H114" s="10">
        <f>AVERAGE(H82:H113)</f>
        <v>564.69455062499992</v>
      </c>
      <c r="I114" s="10">
        <f>AVERAGE(I82:I113)</f>
        <v>600.30758187499987</v>
      </c>
      <c r="J114" s="10">
        <f>AVERAGE(J82:J113)</f>
        <v>621.06745827586201</v>
      </c>
      <c r="K114" s="10">
        <f t="shared" ref="K114:M114" si="34">AVERAGE(K82:K113)</f>
        <v>656.27624375000005</v>
      </c>
      <c r="L114" s="10">
        <f t="shared" si="34"/>
        <v>739.92763031250013</v>
      </c>
      <c r="M114" s="10">
        <f t="shared" si="34"/>
        <v>615.88143733333322</v>
      </c>
      <c r="N114" s="10">
        <f t="shared" ref="N114" si="35">AVERAGE(N82:N113)</f>
        <v>696.45684875000006</v>
      </c>
      <c r="O114" s="10">
        <f t="shared" ref="O114" si="36">AVERAGE(O82:O113)</f>
        <v>760.31785916666661</v>
      </c>
      <c r="P114" s="10">
        <f t="shared" ref="P114" si="37">AVERAGE(P82:P113)</f>
        <v>821.67848600000002</v>
      </c>
    </row>
    <row r="115" spans="4:16">
      <c r="D115">
        <f t="shared" ref="D115:K115" si="38">2*STDEV(D82:D113)/SQRT(COUNT(D82:D113))</f>
        <v>103.02869869683661</v>
      </c>
      <c r="E115">
        <f t="shared" si="38"/>
        <v>100.85928144589876</v>
      </c>
      <c r="F115">
        <f t="shared" si="38"/>
        <v>65.515525820316867</v>
      </c>
      <c r="G115">
        <f t="shared" si="38"/>
        <v>83.115781440870506</v>
      </c>
      <c r="H115">
        <f t="shared" si="38"/>
        <v>75.548007818727541</v>
      </c>
      <c r="I115">
        <f t="shared" si="38"/>
        <v>91.066004850165797</v>
      </c>
      <c r="J115">
        <f t="shared" si="38"/>
        <v>100.3074326920198</v>
      </c>
      <c r="K115">
        <f t="shared" si="38"/>
        <v>110.79418320662406</v>
      </c>
      <c r="L115">
        <f>2*STDEV(L82:L113)/SQRT(COUNT(L82:L113))</f>
        <v>112.89712514335098</v>
      </c>
      <c r="M115">
        <f t="shared" ref="M115:P115" si="39">2*STDEV(M82:M113)/SQRT(COUNT(M82:M113))</f>
        <v>105.963955263256</v>
      </c>
      <c r="N115">
        <f t="shared" si="39"/>
        <v>92.705238313593611</v>
      </c>
      <c r="O115">
        <f t="shared" si="39"/>
        <v>153.95120799855599</v>
      </c>
      <c r="P115">
        <f t="shared" si="39"/>
        <v>125.88442279608473</v>
      </c>
    </row>
    <row r="117" spans="4:16">
      <c r="D117">
        <f>D114*(8.6173*10^-5)</f>
        <v>4.6368469528434382E-2</v>
      </c>
      <c r="E117">
        <f t="shared" ref="E117:P117" si="40">E114*(8.6173*10^-5)</f>
        <v>4.2278491109929997E-2</v>
      </c>
      <c r="F117">
        <f t="shared" si="40"/>
        <v>4.4603743756208125E-2</v>
      </c>
      <c r="G117">
        <f t="shared" si="40"/>
        <v>5.0475385600166553E-2</v>
      </c>
      <c r="H117">
        <f t="shared" si="40"/>
        <v>4.866142351100812E-2</v>
      </c>
      <c r="I117">
        <f t="shared" si="40"/>
        <v>5.1730305252914367E-2</v>
      </c>
      <c r="J117">
        <f t="shared" si="40"/>
        <v>5.351924608200586E-2</v>
      </c>
      <c r="K117">
        <f t="shared" si="40"/>
        <v>5.6553292752668759E-2</v>
      </c>
      <c r="L117">
        <f t="shared" si="40"/>
        <v>6.376178368691908E-2</v>
      </c>
      <c r="M117">
        <f t="shared" si="40"/>
        <v>5.3072351099325323E-2</v>
      </c>
      <c r="N117">
        <f t="shared" si="40"/>
        <v>6.001577602733376E-2</v>
      </c>
      <c r="O117">
        <f t="shared" si="40"/>
        <v>6.5518870877969163E-2</v>
      </c>
      <c r="P117">
        <f t="shared" si="40"/>
        <v>7.080650017407801E-2</v>
      </c>
    </row>
    <row r="119" spans="4:16">
      <c r="D119">
        <f>(3/2)*(D114-300)*291600*(8.6173*10^-5)/1000</f>
        <v>8.973947511737201</v>
      </c>
      <c r="E119">
        <f>(3/2)*(E114-300)*291600*(8.6173*10^-5)/1000</f>
        <v>7.1849909514833818</v>
      </c>
      <c r="F119">
        <f>(3/2)*(F114-300)*291600*(8.6173*10^-5)/1000</f>
        <v>8.2020564589654334</v>
      </c>
      <c r="G119">
        <f t="shared" ref="G119:P119" si="41">(3/2)*(G114-300)*291600*(8.6173*10^-5)/1000</f>
        <v>10.770312601512853</v>
      </c>
      <c r="H119">
        <f t="shared" si="41"/>
        <v>9.9768855837149513</v>
      </c>
      <c r="I119">
        <f t="shared" si="41"/>
        <v>11.319214457624742</v>
      </c>
      <c r="J119">
        <f t="shared" si="41"/>
        <v>12.101697176269363</v>
      </c>
      <c r="K119">
        <f t="shared" si="41"/>
        <v>13.428789190017312</v>
      </c>
      <c r="L119">
        <f t="shared" si="41"/>
        <v>16.581783124658404</v>
      </c>
      <c r="M119">
        <f t="shared" si="41"/>
        <v>11.906225310844899</v>
      </c>
      <c r="N119">
        <f t="shared" si="41"/>
        <v>14.943279374355784</v>
      </c>
      <c r="O119">
        <f t="shared" si="41"/>
        <v>17.350333062023715</v>
      </c>
      <c r="P119">
        <f t="shared" si="41"/>
        <v>19.663142116141717</v>
      </c>
    </row>
    <row r="120" spans="4:16">
      <c r="D120">
        <f t="shared" ref="D120:K120" si="42">(3/2)*(D115)*291600*(8.6173*10^-5)/1000</f>
        <v>3.8833649438958147</v>
      </c>
      <c r="E120">
        <f t="shared" si="42"/>
        <v>3.8015951165803736</v>
      </c>
      <c r="F120">
        <f t="shared" si="42"/>
        <v>2.4694157984092957</v>
      </c>
      <c r="G120">
        <f t="shared" si="42"/>
        <v>3.1328058687971483</v>
      </c>
      <c r="H120">
        <f t="shared" si="42"/>
        <v>2.8475608141736273</v>
      </c>
      <c r="I120">
        <f t="shared" si="42"/>
        <v>3.4324662476459902</v>
      </c>
      <c r="J120">
        <f t="shared" si="42"/>
        <v>3.7807947946093856</v>
      </c>
      <c r="K120">
        <f t="shared" si="42"/>
        <v>4.176062131175736</v>
      </c>
      <c r="L120">
        <f>(3/2)*(L115)*291600*(8.6173*10^-5)/1000</f>
        <v>4.2553263662813707</v>
      </c>
      <c r="M120">
        <f t="shared" ref="M120:P120" si="43">(3/2)*(M115)*291600*(8.6173*10^-5)/1000</f>
        <v>3.994000840452304</v>
      </c>
      <c r="N120">
        <f t="shared" si="43"/>
        <v>3.4942523504237002</v>
      </c>
      <c r="O120">
        <f t="shared" si="43"/>
        <v>5.8027397392563733</v>
      </c>
      <c r="P120">
        <f t="shared" si="43"/>
        <v>4.744844501116507</v>
      </c>
    </row>
  </sheetData>
  <sortState ref="AN23:AN38">
    <sortCondition ref="AN23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2"/>
  <sheetViews>
    <sheetView tabSelected="1" showRuler="0" zoomScale="75" zoomScaleNormal="75" zoomScalePageLayoutView="75" workbookViewId="0">
      <selection activeCell="O31" sqref="O31"/>
    </sheetView>
  </sheetViews>
  <sheetFormatPr baseColWidth="10" defaultColWidth="11" defaultRowHeight="15" x14ac:dyDescent="0"/>
  <sheetData>
    <row r="1" spans="1:29">
      <c r="A1" t="s">
        <v>26</v>
      </c>
      <c r="D1" t="s">
        <v>29</v>
      </c>
      <c r="W1">
        <v>20.8125</v>
      </c>
      <c r="X1">
        <v>28.65625</v>
      </c>
      <c r="Y1">
        <v>26.0625</v>
      </c>
      <c r="Z1">
        <v>26.375</v>
      </c>
      <c r="AA1">
        <v>22.125</v>
      </c>
      <c r="AB1">
        <v>21.71875</v>
      </c>
      <c r="AC1">
        <v>17.90625</v>
      </c>
    </row>
    <row r="2" spans="1:29">
      <c r="B2" s="10">
        <v>6</v>
      </c>
      <c r="C2" s="10">
        <v>8</v>
      </c>
      <c r="D2" s="10">
        <v>10</v>
      </c>
      <c r="E2" s="10">
        <v>12</v>
      </c>
      <c r="F2" s="10">
        <v>14</v>
      </c>
      <c r="G2" s="10">
        <v>16</v>
      </c>
      <c r="H2" s="10">
        <v>18</v>
      </c>
      <c r="I2" s="10">
        <v>20</v>
      </c>
      <c r="J2" s="10">
        <v>22</v>
      </c>
      <c r="K2" s="10">
        <v>24</v>
      </c>
      <c r="L2" s="10">
        <v>26</v>
      </c>
      <c r="M2" s="10">
        <v>28</v>
      </c>
      <c r="N2" s="10">
        <v>30</v>
      </c>
      <c r="O2" s="10">
        <v>34</v>
      </c>
      <c r="P2" s="10">
        <v>38</v>
      </c>
      <c r="Q2" s="10" t="s">
        <v>50</v>
      </c>
      <c r="W2" s="10">
        <v>14</v>
      </c>
      <c r="X2" s="10">
        <v>16</v>
      </c>
      <c r="Y2" s="10">
        <v>18</v>
      </c>
      <c r="Z2" s="10">
        <v>20</v>
      </c>
      <c r="AA2" s="10">
        <v>22</v>
      </c>
      <c r="AB2" s="10">
        <v>24</v>
      </c>
      <c r="AC2" s="10">
        <v>26</v>
      </c>
    </row>
    <row r="3" spans="1:29">
      <c r="A3">
        <v>1</v>
      </c>
      <c r="B3">
        <v>1</v>
      </c>
      <c r="C3">
        <v>3</v>
      </c>
      <c r="D3">
        <v>15</v>
      </c>
      <c r="E3">
        <v>15</v>
      </c>
      <c r="F3">
        <v>50</v>
      </c>
      <c r="G3">
        <v>9</v>
      </c>
      <c r="H3">
        <v>82</v>
      </c>
      <c r="I3">
        <v>22</v>
      </c>
      <c r="J3">
        <v>12</v>
      </c>
      <c r="K3">
        <v>3</v>
      </c>
      <c r="L3">
        <v>4</v>
      </c>
      <c r="M3">
        <v>12</v>
      </c>
      <c r="N3">
        <v>9</v>
      </c>
      <c r="O3">
        <v>46</v>
      </c>
      <c r="P3">
        <v>30</v>
      </c>
      <c r="Q3">
        <v>3</v>
      </c>
      <c r="W3">
        <v>2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</row>
    <row r="4" spans="1:29">
      <c r="A4">
        <v>2</v>
      </c>
      <c r="B4">
        <v>4</v>
      </c>
      <c r="C4">
        <v>5</v>
      </c>
      <c r="D4">
        <v>2</v>
      </c>
      <c r="E4">
        <v>4</v>
      </c>
      <c r="F4">
        <v>9</v>
      </c>
      <c r="G4">
        <v>36</v>
      </c>
      <c r="H4">
        <v>1</v>
      </c>
      <c r="I4">
        <v>22</v>
      </c>
      <c r="J4">
        <v>27</v>
      </c>
      <c r="K4">
        <v>2</v>
      </c>
      <c r="L4">
        <v>10</v>
      </c>
      <c r="M4">
        <v>74</v>
      </c>
      <c r="N4">
        <v>1</v>
      </c>
      <c r="O4">
        <v>5</v>
      </c>
      <c r="P4">
        <v>9</v>
      </c>
      <c r="Q4">
        <v>3</v>
      </c>
      <c r="W4">
        <v>2</v>
      </c>
      <c r="X4">
        <v>1</v>
      </c>
      <c r="Y4">
        <v>2</v>
      </c>
      <c r="Z4">
        <v>1</v>
      </c>
      <c r="AA4">
        <v>1</v>
      </c>
      <c r="AB4">
        <v>1</v>
      </c>
      <c r="AC4">
        <v>1</v>
      </c>
    </row>
    <row r="5" spans="1:29">
      <c r="A5">
        <v>3</v>
      </c>
      <c r="B5">
        <v>1</v>
      </c>
      <c r="C5">
        <v>13</v>
      </c>
      <c r="D5">
        <v>2</v>
      </c>
      <c r="E5">
        <v>28</v>
      </c>
      <c r="F5">
        <v>24</v>
      </c>
      <c r="G5">
        <v>111</v>
      </c>
      <c r="H5">
        <v>38</v>
      </c>
      <c r="I5">
        <v>47</v>
      </c>
      <c r="J5">
        <v>13</v>
      </c>
      <c r="K5">
        <v>6</v>
      </c>
      <c r="L5">
        <v>27</v>
      </c>
      <c r="M5">
        <v>39</v>
      </c>
      <c r="N5">
        <v>21</v>
      </c>
      <c r="O5">
        <v>11</v>
      </c>
      <c r="P5">
        <v>37</v>
      </c>
      <c r="Q5">
        <v>2</v>
      </c>
      <c r="W5">
        <v>3</v>
      </c>
      <c r="X5">
        <v>2</v>
      </c>
      <c r="Y5">
        <v>4</v>
      </c>
      <c r="Z5">
        <v>2</v>
      </c>
      <c r="AA5">
        <v>4</v>
      </c>
      <c r="AB5">
        <v>2</v>
      </c>
      <c r="AC5">
        <v>2</v>
      </c>
    </row>
    <row r="6" spans="1:29">
      <c r="A6">
        <v>4</v>
      </c>
      <c r="B6">
        <v>1</v>
      </c>
      <c r="C6">
        <v>14</v>
      </c>
      <c r="D6">
        <v>22</v>
      </c>
      <c r="E6">
        <v>14</v>
      </c>
      <c r="F6">
        <v>13</v>
      </c>
      <c r="G6">
        <v>60</v>
      </c>
      <c r="H6">
        <v>76</v>
      </c>
      <c r="I6">
        <v>6</v>
      </c>
      <c r="J6">
        <v>4</v>
      </c>
      <c r="K6">
        <v>18</v>
      </c>
      <c r="L6">
        <v>17</v>
      </c>
      <c r="M6">
        <v>8</v>
      </c>
      <c r="N6">
        <v>34</v>
      </c>
      <c r="O6">
        <v>3</v>
      </c>
      <c r="P6">
        <v>3</v>
      </c>
      <c r="Q6">
        <v>7</v>
      </c>
      <c r="W6">
        <v>4</v>
      </c>
      <c r="X6">
        <v>2</v>
      </c>
      <c r="Y6">
        <v>6</v>
      </c>
      <c r="Z6">
        <v>4</v>
      </c>
      <c r="AA6">
        <v>5</v>
      </c>
      <c r="AB6">
        <v>2</v>
      </c>
      <c r="AC6">
        <v>2</v>
      </c>
    </row>
    <row r="7" spans="1:29">
      <c r="A7">
        <v>5</v>
      </c>
      <c r="B7">
        <v>3</v>
      </c>
      <c r="C7">
        <v>12</v>
      </c>
      <c r="D7">
        <v>6</v>
      </c>
      <c r="E7">
        <v>50</v>
      </c>
      <c r="F7">
        <v>65</v>
      </c>
      <c r="G7">
        <v>23</v>
      </c>
      <c r="H7">
        <v>36</v>
      </c>
      <c r="I7">
        <v>1</v>
      </c>
      <c r="J7">
        <v>12</v>
      </c>
      <c r="K7">
        <v>14</v>
      </c>
      <c r="L7">
        <v>3</v>
      </c>
      <c r="M7">
        <v>18</v>
      </c>
      <c r="N7">
        <v>72</v>
      </c>
      <c r="O7">
        <v>10</v>
      </c>
      <c r="P7">
        <v>39</v>
      </c>
      <c r="Q7">
        <v>1</v>
      </c>
      <c r="W7">
        <v>5</v>
      </c>
      <c r="X7">
        <v>5</v>
      </c>
      <c r="Y7">
        <v>6</v>
      </c>
      <c r="Z7">
        <v>5</v>
      </c>
      <c r="AA7">
        <v>6</v>
      </c>
      <c r="AB7">
        <v>3</v>
      </c>
      <c r="AC7">
        <v>2</v>
      </c>
    </row>
    <row r="8" spans="1:29">
      <c r="A8">
        <v>6</v>
      </c>
      <c r="B8">
        <v>2</v>
      </c>
      <c r="C8">
        <v>12</v>
      </c>
      <c r="D8">
        <v>29</v>
      </c>
      <c r="E8">
        <v>8</v>
      </c>
      <c r="F8">
        <v>8</v>
      </c>
      <c r="G8">
        <v>1</v>
      </c>
      <c r="H8">
        <v>32</v>
      </c>
      <c r="I8">
        <v>4</v>
      </c>
      <c r="J8">
        <v>17</v>
      </c>
      <c r="K8">
        <v>1</v>
      </c>
      <c r="L8">
        <v>16</v>
      </c>
      <c r="M8">
        <v>4</v>
      </c>
      <c r="N8">
        <v>6</v>
      </c>
      <c r="O8">
        <v>34</v>
      </c>
      <c r="P8">
        <v>43</v>
      </c>
      <c r="Q8">
        <v>9</v>
      </c>
      <c r="W8">
        <v>8</v>
      </c>
      <c r="X8">
        <v>6</v>
      </c>
      <c r="Y8">
        <v>7</v>
      </c>
      <c r="Z8">
        <v>6</v>
      </c>
      <c r="AA8">
        <v>9</v>
      </c>
      <c r="AB8">
        <v>5</v>
      </c>
      <c r="AC8">
        <v>3</v>
      </c>
    </row>
    <row r="9" spans="1:29">
      <c r="A9">
        <v>7</v>
      </c>
      <c r="B9">
        <v>1</v>
      </c>
      <c r="C9">
        <v>4</v>
      </c>
      <c r="D9">
        <v>12</v>
      </c>
      <c r="E9">
        <v>8</v>
      </c>
      <c r="F9">
        <v>14</v>
      </c>
      <c r="G9">
        <v>2</v>
      </c>
      <c r="H9">
        <v>37</v>
      </c>
      <c r="I9">
        <v>7</v>
      </c>
      <c r="J9">
        <v>50</v>
      </c>
      <c r="K9">
        <v>5</v>
      </c>
      <c r="L9">
        <v>6</v>
      </c>
      <c r="M9">
        <v>57</v>
      </c>
      <c r="N9">
        <v>1</v>
      </c>
      <c r="O9">
        <v>12</v>
      </c>
      <c r="P9">
        <v>42</v>
      </c>
      <c r="Q9">
        <v>2</v>
      </c>
      <c r="W9">
        <v>9</v>
      </c>
      <c r="X9">
        <v>6</v>
      </c>
      <c r="Y9">
        <v>7</v>
      </c>
      <c r="Z9">
        <v>6</v>
      </c>
      <c r="AA9">
        <v>9</v>
      </c>
      <c r="AB9">
        <v>5</v>
      </c>
      <c r="AC9">
        <v>3</v>
      </c>
    </row>
    <row r="10" spans="1:29">
      <c r="A10">
        <v>8</v>
      </c>
      <c r="B10">
        <v>1</v>
      </c>
      <c r="C10">
        <v>2</v>
      </c>
      <c r="D10">
        <v>23</v>
      </c>
      <c r="E10">
        <v>34</v>
      </c>
      <c r="F10">
        <v>5</v>
      </c>
      <c r="G10">
        <v>2</v>
      </c>
      <c r="H10">
        <v>15</v>
      </c>
      <c r="I10">
        <v>59</v>
      </c>
      <c r="J10">
        <v>15</v>
      </c>
      <c r="K10">
        <v>2</v>
      </c>
      <c r="L10">
        <v>99</v>
      </c>
      <c r="M10">
        <v>20</v>
      </c>
      <c r="N10">
        <v>79</v>
      </c>
      <c r="O10">
        <v>1</v>
      </c>
      <c r="P10">
        <v>8</v>
      </c>
      <c r="Q10">
        <v>6</v>
      </c>
      <c r="W10">
        <v>11</v>
      </c>
      <c r="X10">
        <v>7</v>
      </c>
      <c r="Y10">
        <v>7</v>
      </c>
      <c r="Z10">
        <v>7</v>
      </c>
      <c r="AA10">
        <v>10</v>
      </c>
      <c r="AB10">
        <v>6</v>
      </c>
      <c r="AC10">
        <v>4</v>
      </c>
    </row>
    <row r="11" spans="1:29">
      <c r="A11">
        <v>9</v>
      </c>
      <c r="B11">
        <v>1</v>
      </c>
      <c r="C11">
        <v>2</v>
      </c>
      <c r="D11">
        <v>15</v>
      </c>
      <c r="E11">
        <v>8</v>
      </c>
      <c r="F11">
        <v>16</v>
      </c>
      <c r="G11">
        <v>26</v>
      </c>
      <c r="H11">
        <v>51</v>
      </c>
      <c r="I11">
        <v>12</v>
      </c>
      <c r="J11">
        <v>20</v>
      </c>
      <c r="K11">
        <v>15</v>
      </c>
      <c r="L11">
        <v>4</v>
      </c>
      <c r="M11">
        <v>9</v>
      </c>
      <c r="N11">
        <v>8</v>
      </c>
      <c r="O11">
        <v>1</v>
      </c>
      <c r="P11">
        <v>22</v>
      </c>
      <c r="Q11">
        <v>34</v>
      </c>
      <c r="W11">
        <v>11</v>
      </c>
      <c r="X11">
        <v>8</v>
      </c>
      <c r="Y11">
        <v>7</v>
      </c>
      <c r="Z11">
        <v>10</v>
      </c>
      <c r="AA11">
        <v>12</v>
      </c>
      <c r="AB11">
        <v>7</v>
      </c>
      <c r="AC11">
        <v>4</v>
      </c>
    </row>
    <row r="12" spans="1:29">
      <c r="A12">
        <v>10</v>
      </c>
      <c r="B12">
        <v>1</v>
      </c>
      <c r="C12">
        <v>4</v>
      </c>
      <c r="D12">
        <v>5</v>
      </c>
      <c r="E12">
        <v>1</v>
      </c>
      <c r="F12">
        <v>3</v>
      </c>
      <c r="G12">
        <v>20</v>
      </c>
      <c r="H12">
        <v>27</v>
      </c>
      <c r="I12">
        <v>15</v>
      </c>
      <c r="J12">
        <v>44</v>
      </c>
      <c r="K12">
        <v>60</v>
      </c>
      <c r="L12">
        <v>3</v>
      </c>
      <c r="M12">
        <v>5</v>
      </c>
      <c r="N12">
        <v>7</v>
      </c>
      <c r="O12">
        <v>34</v>
      </c>
      <c r="P12">
        <v>4</v>
      </c>
      <c r="Q12">
        <v>34</v>
      </c>
      <c r="W12">
        <v>11</v>
      </c>
      <c r="X12">
        <v>9</v>
      </c>
      <c r="Y12">
        <v>9</v>
      </c>
      <c r="Z12">
        <v>12</v>
      </c>
      <c r="AA12">
        <v>12</v>
      </c>
      <c r="AB12">
        <v>9</v>
      </c>
      <c r="AC12">
        <v>4</v>
      </c>
    </row>
    <row r="13" spans="1:29">
      <c r="A13">
        <v>11</v>
      </c>
      <c r="B13">
        <v>1</v>
      </c>
      <c r="C13">
        <v>14</v>
      </c>
      <c r="D13">
        <v>9</v>
      </c>
      <c r="E13">
        <v>1</v>
      </c>
      <c r="F13">
        <v>2</v>
      </c>
      <c r="G13">
        <v>58</v>
      </c>
      <c r="H13">
        <v>10</v>
      </c>
      <c r="I13">
        <v>1</v>
      </c>
      <c r="J13">
        <v>13</v>
      </c>
      <c r="K13">
        <v>10</v>
      </c>
      <c r="L13">
        <v>1</v>
      </c>
      <c r="M13">
        <v>36</v>
      </c>
      <c r="N13">
        <v>18</v>
      </c>
      <c r="O13">
        <v>21</v>
      </c>
      <c r="P13">
        <v>1</v>
      </c>
      <c r="Q13">
        <v>22</v>
      </c>
      <c r="W13">
        <v>12</v>
      </c>
      <c r="X13">
        <v>9</v>
      </c>
      <c r="Y13">
        <v>10</v>
      </c>
      <c r="Z13">
        <v>13</v>
      </c>
      <c r="AA13">
        <v>13</v>
      </c>
      <c r="AB13">
        <v>10</v>
      </c>
      <c r="AC13">
        <v>5</v>
      </c>
    </row>
    <row r="14" spans="1:29">
      <c r="A14">
        <v>12</v>
      </c>
      <c r="B14">
        <v>1</v>
      </c>
      <c r="C14">
        <v>8</v>
      </c>
      <c r="D14">
        <v>3</v>
      </c>
      <c r="E14">
        <v>13</v>
      </c>
      <c r="F14">
        <v>15</v>
      </c>
      <c r="G14">
        <v>7</v>
      </c>
      <c r="H14">
        <v>7</v>
      </c>
      <c r="I14">
        <v>23</v>
      </c>
      <c r="J14">
        <v>42</v>
      </c>
      <c r="K14">
        <v>32</v>
      </c>
      <c r="L14">
        <v>14</v>
      </c>
      <c r="M14">
        <v>3</v>
      </c>
      <c r="N14">
        <v>11</v>
      </c>
      <c r="O14">
        <v>10</v>
      </c>
      <c r="P14">
        <v>1</v>
      </c>
      <c r="Q14">
        <v>31</v>
      </c>
      <c r="W14">
        <v>13</v>
      </c>
      <c r="X14">
        <v>11</v>
      </c>
      <c r="Y14">
        <v>12</v>
      </c>
      <c r="Z14">
        <v>15</v>
      </c>
      <c r="AA14">
        <v>13</v>
      </c>
      <c r="AB14">
        <v>11</v>
      </c>
      <c r="AC14">
        <v>6</v>
      </c>
    </row>
    <row r="15" spans="1:29">
      <c r="A15">
        <v>13</v>
      </c>
      <c r="B15">
        <v>1</v>
      </c>
      <c r="C15">
        <v>3</v>
      </c>
      <c r="D15">
        <v>6</v>
      </c>
      <c r="E15">
        <v>2</v>
      </c>
      <c r="F15">
        <v>12</v>
      </c>
      <c r="G15">
        <v>6</v>
      </c>
      <c r="H15">
        <v>54</v>
      </c>
      <c r="I15">
        <v>20</v>
      </c>
      <c r="J15">
        <v>1</v>
      </c>
      <c r="K15">
        <v>37</v>
      </c>
      <c r="L15">
        <v>2</v>
      </c>
      <c r="M15">
        <v>26</v>
      </c>
      <c r="N15">
        <v>3</v>
      </c>
      <c r="O15">
        <v>21</v>
      </c>
      <c r="P15">
        <v>29</v>
      </c>
      <c r="Q15">
        <v>8</v>
      </c>
      <c r="W15">
        <v>13</v>
      </c>
      <c r="X15">
        <v>15</v>
      </c>
      <c r="Y15">
        <v>15</v>
      </c>
      <c r="Z15">
        <v>16</v>
      </c>
      <c r="AA15">
        <v>13</v>
      </c>
      <c r="AB15">
        <v>14</v>
      </c>
      <c r="AC15">
        <v>7</v>
      </c>
    </row>
    <row r="16" spans="1:29">
      <c r="A16">
        <v>14</v>
      </c>
      <c r="B16">
        <v>2</v>
      </c>
      <c r="C16">
        <v>27</v>
      </c>
      <c r="D16">
        <v>6</v>
      </c>
      <c r="E16">
        <v>8</v>
      </c>
      <c r="F16">
        <v>11</v>
      </c>
      <c r="G16">
        <v>54</v>
      </c>
      <c r="H16">
        <v>7</v>
      </c>
      <c r="I16">
        <v>16</v>
      </c>
      <c r="J16">
        <v>6</v>
      </c>
      <c r="K16">
        <v>60</v>
      </c>
      <c r="L16">
        <v>52</v>
      </c>
      <c r="M16">
        <v>35</v>
      </c>
      <c r="N16">
        <v>4</v>
      </c>
      <c r="O16">
        <v>6</v>
      </c>
      <c r="P16">
        <v>4</v>
      </c>
      <c r="Q16">
        <v>72</v>
      </c>
      <c r="W16">
        <v>14</v>
      </c>
      <c r="X16">
        <v>18</v>
      </c>
      <c r="Y16">
        <v>16</v>
      </c>
      <c r="Z16">
        <v>20</v>
      </c>
      <c r="AA16">
        <v>15</v>
      </c>
      <c r="AB16">
        <v>15</v>
      </c>
      <c r="AC16">
        <v>8</v>
      </c>
    </row>
    <row r="17" spans="1:29">
      <c r="A17">
        <v>15</v>
      </c>
      <c r="B17">
        <v>1</v>
      </c>
      <c r="C17">
        <v>21</v>
      </c>
      <c r="D17">
        <v>23</v>
      </c>
      <c r="E17">
        <v>16</v>
      </c>
      <c r="F17">
        <v>23</v>
      </c>
      <c r="G17">
        <v>8</v>
      </c>
      <c r="H17">
        <v>27</v>
      </c>
      <c r="I17">
        <v>21</v>
      </c>
      <c r="J17">
        <v>31</v>
      </c>
      <c r="K17">
        <v>15</v>
      </c>
      <c r="L17">
        <v>14</v>
      </c>
      <c r="M17">
        <v>3</v>
      </c>
      <c r="N17">
        <v>13</v>
      </c>
      <c r="O17">
        <v>0</v>
      </c>
      <c r="P17">
        <v>19</v>
      </c>
      <c r="Q17">
        <v>22</v>
      </c>
      <c r="W17">
        <v>15</v>
      </c>
      <c r="X17">
        <v>20</v>
      </c>
      <c r="Y17">
        <v>16</v>
      </c>
      <c r="Z17">
        <v>21</v>
      </c>
      <c r="AA17">
        <v>15</v>
      </c>
      <c r="AB17">
        <v>15</v>
      </c>
      <c r="AC17">
        <v>10</v>
      </c>
    </row>
    <row r="18" spans="1:29">
      <c r="A18">
        <v>16</v>
      </c>
      <c r="B18">
        <v>1</v>
      </c>
      <c r="C18">
        <v>7</v>
      </c>
      <c r="D18">
        <v>7</v>
      </c>
      <c r="E18">
        <v>2</v>
      </c>
      <c r="F18">
        <v>32</v>
      </c>
      <c r="G18">
        <v>9</v>
      </c>
      <c r="H18">
        <v>7</v>
      </c>
      <c r="I18">
        <v>34</v>
      </c>
      <c r="J18">
        <v>49</v>
      </c>
      <c r="K18">
        <v>9</v>
      </c>
      <c r="L18">
        <v>4</v>
      </c>
      <c r="M18">
        <v>5</v>
      </c>
      <c r="N18">
        <v>3</v>
      </c>
      <c r="O18">
        <v>19</v>
      </c>
      <c r="P18">
        <v>2</v>
      </c>
      <c r="Q18">
        <v>18</v>
      </c>
      <c r="W18">
        <v>15</v>
      </c>
      <c r="X18">
        <v>20</v>
      </c>
      <c r="Y18">
        <v>19</v>
      </c>
      <c r="Z18">
        <v>22</v>
      </c>
      <c r="AA18">
        <v>17</v>
      </c>
      <c r="AB18">
        <v>16</v>
      </c>
      <c r="AC18">
        <v>11</v>
      </c>
    </row>
    <row r="19" spans="1:29">
      <c r="A19">
        <v>17</v>
      </c>
      <c r="C19">
        <v>2</v>
      </c>
      <c r="D19">
        <v>4</v>
      </c>
      <c r="E19">
        <v>13</v>
      </c>
      <c r="F19">
        <v>11</v>
      </c>
      <c r="G19">
        <v>31</v>
      </c>
      <c r="H19">
        <v>6</v>
      </c>
      <c r="I19">
        <v>13</v>
      </c>
      <c r="J19">
        <v>42</v>
      </c>
      <c r="K19">
        <v>19</v>
      </c>
      <c r="L19">
        <v>11</v>
      </c>
      <c r="M19">
        <v>3</v>
      </c>
      <c r="N19">
        <v>52</v>
      </c>
      <c r="O19">
        <v>20</v>
      </c>
      <c r="P19">
        <v>20</v>
      </c>
      <c r="W19">
        <v>15</v>
      </c>
      <c r="X19">
        <v>23</v>
      </c>
      <c r="Y19">
        <v>20</v>
      </c>
      <c r="Z19">
        <v>22</v>
      </c>
      <c r="AA19">
        <v>17</v>
      </c>
      <c r="AB19">
        <v>16</v>
      </c>
      <c r="AC19">
        <v>11</v>
      </c>
    </row>
    <row r="20" spans="1:29">
      <c r="A20">
        <v>18</v>
      </c>
      <c r="C20">
        <v>2</v>
      </c>
      <c r="D20">
        <v>16</v>
      </c>
      <c r="E20">
        <v>27</v>
      </c>
      <c r="F20">
        <v>30</v>
      </c>
      <c r="G20">
        <v>33</v>
      </c>
      <c r="H20">
        <v>72</v>
      </c>
      <c r="I20">
        <v>10</v>
      </c>
      <c r="J20">
        <v>18</v>
      </c>
      <c r="K20">
        <v>29</v>
      </c>
      <c r="L20">
        <v>36</v>
      </c>
      <c r="M20">
        <v>14</v>
      </c>
      <c r="N20">
        <v>62</v>
      </c>
      <c r="O20">
        <v>5</v>
      </c>
      <c r="P20">
        <v>6</v>
      </c>
      <c r="W20">
        <v>16</v>
      </c>
      <c r="X20">
        <v>26</v>
      </c>
      <c r="Y20">
        <v>27</v>
      </c>
      <c r="Z20">
        <v>23</v>
      </c>
      <c r="AA20">
        <v>17</v>
      </c>
      <c r="AB20">
        <v>18</v>
      </c>
      <c r="AC20">
        <v>14</v>
      </c>
    </row>
    <row r="21" spans="1:29">
      <c r="A21">
        <v>19</v>
      </c>
      <c r="C21">
        <v>3</v>
      </c>
      <c r="D21">
        <v>9</v>
      </c>
      <c r="E21">
        <v>21</v>
      </c>
      <c r="F21">
        <v>42</v>
      </c>
      <c r="G21">
        <v>1</v>
      </c>
      <c r="H21">
        <v>16</v>
      </c>
      <c r="I21">
        <v>25</v>
      </c>
      <c r="J21">
        <v>15</v>
      </c>
      <c r="K21">
        <v>37</v>
      </c>
      <c r="L21">
        <v>2</v>
      </c>
      <c r="M21">
        <v>1</v>
      </c>
      <c r="N21">
        <v>15</v>
      </c>
      <c r="O21">
        <v>1</v>
      </c>
      <c r="P21">
        <v>1</v>
      </c>
      <c r="W21">
        <v>16</v>
      </c>
      <c r="X21">
        <v>29</v>
      </c>
      <c r="Y21">
        <v>27</v>
      </c>
      <c r="Z21">
        <v>25</v>
      </c>
      <c r="AA21">
        <v>18</v>
      </c>
      <c r="AB21">
        <v>18</v>
      </c>
      <c r="AC21">
        <v>14</v>
      </c>
    </row>
    <row r="22" spans="1:29">
      <c r="A22">
        <v>20</v>
      </c>
      <c r="C22">
        <v>13</v>
      </c>
      <c r="D22">
        <v>7</v>
      </c>
      <c r="E22">
        <v>40</v>
      </c>
      <c r="F22">
        <v>56</v>
      </c>
      <c r="G22">
        <v>48</v>
      </c>
      <c r="H22">
        <v>12</v>
      </c>
      <c r="I22">
        <v>72</v>
      </c>
      <c r="J22">
        <v>9</v>
      </c>
      <c r="K22">
        <v>18</v>
      </c>
      <c r="L22">
        <v>11</v>
      </c>
      <c r="M22">
        <v>6</v>
      </c>
      <c r="N22">
        <v>55</v>
      </c>
      <c r="O22">
        <v>10</v>
      </c>
      <c r="P22">
        <v>2</v>
      </c>
      <c r="W22">
        <v>17</v>
      </c>
      <c r="X22">
        <v>30</v>
      </c>
      <c r="Y22">
        <v>31</v>
      </c>
      <c r="Z22">
        <v>25</v>
      </c>
      <c r="AA22">
        <v>20</v>
      </c>
      <c r="AB22">
        <v>19</v>
      </c>
      <c r="AC22">
        <v>16</v>
      </c>
    </row>
    <row r="23" spans="1:29">
      <c r="A23">
        <v>21</v>
      </c>
      <c r="C23">
        <v>7</v>
      </c>
      <c r="D23">
        <v>7</v>
      </c>
      <c r="E23">
        <v>39</v>
      </c>
      <c r="F23">
        <v>15</v>
      </c>
      <c r="G23">
        <v>53</v>
      </c>
      <c r="H23">
        <v>9</v>
      </c>
      <c r="I23">
        <v>68</v>
      </c>
      <c r="J23">
        <v>9</v>
      </c>
      <c r="K23">
        <v>11</v>
      </c>
      <c r="L23">
        <v>18</v>
      </c>
      <c r="M23">
        <v>4</v>
      </c>
      <c r="N23">
        <v>35</v>
      </c>
      <c r="O23">
        <v>3</v>
      </c>
      <c r="P23">
        <v>1</v>
      </c>
      <c r="W23">
        <v>19</v>
      </c>
      <c r="X23">
        <v>31</v>
      </c>
      <c r="Y23">
        <v>32</v>
      </c>
      <c r="Z23">
        <v>34</v>
      </c>
      <c r="AA23">
        <v>27</v>
      </c>
      <c r="AB23">
        <v>22</v>
      </c>
      <c r="AC23">
        <v>16</v>
      </c>
    </row>
    <row r="24" spans="1:29">
      <c r="A24">
        <v>22</v>
      </c>
      <c r="C24">
        <v>4</v>
      </c>
      <c r="D24">
        <v>5</v>
      </c>
      <c r="E24">
        <v>7</v>
      </c>
      <c r="F24">
        <v>27</v>
      </c>
      <c r="G24">
        <v>68</v>
      </c>
      <c r="H24">
        <v>4</v>
      </c>
      <c r="I24">
        <v>42</v>
      </c>
      <c r="J24">
        <v>31</v>
      </c>
      <c r="K24">
        <v>53</v>
      </c>
      <c r="L24">
        <v>38</v>
      </c>
      <c r="M24">
        <v>31</v>
      </c>
      <c r="N24">
        <v>8</v>
      </c>
      <c r="O24">
        <v>16</v>
      </c>
      <c r="P24">
        <v>14</v>
      </c>
      <c r="W24">
        <v>23</v>
      </c>
      <c r="X24">
        <v>33</v>
      </c>
      <c r="Y24">
        <v>33</v>
      </c>
      <c r="Z24">
        <v>34</v>
      </c>
      <c r="AA24">
        <v>29</v>
      </c>
      <c r="AB24">
        <v>22</v>
      </c>
      <c r="AC24">
        <v>17</v>
      </c>
    </row>
    <row r="25" spans="1:29">
      <c r="A25">
        <v>23</v>
      </c>
      <c r="C25">
        <v>3</v>
      </c>
      <c r="D25">
        <v>10</v>
      </c>
      <c r="E25">
        <v>2</v>
      </c>
      <c r="F25">
        <v>2</v>
      </c>
      <c r="G25">
        <v>30</v>
      </c>
      <c r="H25">
        <v>33</v>
      </c>
      <c r="I25">
        <v>25</v>
      </c>
      <c r="J25">
        <v>10</v>
      </c>
      <c r="K25">
        <v>1</v>
      </c>
      <c r="L25">
        <v>28</v>
      </c>
      <c r="M25">
        <v>43</v>
      </c>
      <c r="N25">
        <v>3</v>
      </c>
      <c r="O25">
        <v>2</v>
      </c>
      <c r="P25">
        <v>69</v>
      </c>
      <c r="W25">
        <v>24</v>
      </c>
      <c r="X25">
        <v>36</v>
      </c>
      <c r="Y25">
        <v>36</v>
      </c>
      <c r="Z25">
        <v>35</v>
      </c>
      <c r="AA25">
        <v>31</v>
      </c>
      <c r="AB25">
        <v>29</v>
      </c>
      <c r="AC25">
        <v>18</v>
      </c>
    </row>
    <row r="26" spans="1:29">
      <c r="A26">
        <v>24</v>
      </c>
      <c r="C26">
        <v>13</v>
      </c>
      <c r="D26">
        <v>15</v>
      </c>
      <c r="E26">
        <v>25</v>
      </c>
      <c r="F26">
        <v>11</v>
      </c>
      <c r="G26">
        <v>29</v>
      </c>
      <c r="H26">
        <v>16</v>
      </c>
      <c r="I26">
        <v>2</v>
      </c>
      <c r="J26">
        <v>13</v>
      </c>
      <c r="K26">
        <v>16</v>
      </c>
      <c r="L26">
        <v>38</v>
      </c>
      <c r="M26">
        <v>4</v>
      </c>
      <c r="N26">
        <v>2</v>
      </c>
      <c r="O26">
        <v>13</v>
      </c>
      <c r="P26">
        <v>11</v>
      </c>
      <c r="W26">
        <v>27</v>
      </c>
      <c r="X26">
        <v>48</v>
      </c>
      <c r="Y26">
        <v>36</v>
      </c>
      <c r="Z26">
        <v>38</v>
      </c>
      <c r="AA26">
        <v>31</v>
      </c>
      <c r="AB26">
        <v>32</v>
      </c>
      <c r="AC26">
        <v>25</v>
      </c>
    </row>
    <row r="27" spans="1:29">
      <c r="A27">
        <v>25</v>
      </c>
      <c r="C27">
        <v>5</v>
      </c>
      <c r="D27">
        <v>8</v>
      </c>
      <c r="E27">
        <v>18</v>
      </c>
      <c r="F27">
        <v>19</v>
      </c>
      <c r="G27">
        <v>5</v>
      </c>
      <c r="H27">
        <v>38</v>
      </c>
      <c r="I27">
        <v>38</v>
      </c>
      <c r="J27">
        <v>5</v>
      </c>
      <c r="K27">
        <v>81</v>
      </c>
      <c r="L27">
        <v>2</v>
      </c>
      <c r="M27">
        <v>12</v>
      </c>
      <c r="N27">
        <v>23</v>
      </c>
      <c r="O27">
        <v>4</v>
      </c>
      <c r="P27">
        <v>7</v>
      </c>
      <c r="W27">
        <v>30</v>
      </c>
      <c r="X27">
        <v>51</v>
      </c>
      <c r="Y27">
        <v>37</v>
      </c>
      <c r="Z27">
        <v>42</v>
      </c>
      <c r="AA27">
        <v>34</v>
      </c>
      <c r="AB27">
        <v>32</v>
      </c>
      <c r="AC27">
        <v>27</v>
      </c>
    </row>
    <row r="28" spans="1:29">
      <c r="A28">
        <v>26</v>
      </c>
      <c r="C28">
        <v>5</v>
      </c>
      <c r="D28">
        <v>8</v>
      </c>
      <c r="E28">
        <v>2</v>
      </c>
      <c r="F28">
        <v>13</v>
      </c>
      <c r="G28">
        <v>11</v>
      </c>
      <c r="H28">
        <v>6</v>
      </c>
      <c r="I28">
        <v>42</v>
      </c>
      <c r="J28">
        <v>17</v>
      </c>
      <c r="K28">
        <v>7</v>
      </c>
      <c r="L28">
        <v>7</v>
      </c>
      <c r="M28">
        <v>14</v>
      </c>
      <c r="N28">
        <v>11</v>
      </c>
      <c r="O28">
        <v>3</v>
      </c>
      <c r="P28">
        <v>21</v>
      </c>
      <c r="W28">
        <v>32</v>
      </c>
      <c r="X28">
        <v>53</v>
      </c>
      <c r="Y28">
        <v>38</v>
      </c>
      <c r="Z28">
        <v>42</v>
      </c>
      <c r="AA28">
        <v>42</v>
      </c>
      <c r="AB28">
        <v>37</v>
      </c>
      <c r="AC28">
        <v>28</v>
      </c>
    </row>
    <row r="29" spans="1:29">
      <c r="A29">
        <v>27</v>
      </c>
      <c r="C29">
        <v>3</v>
      </c>
      <c r="D29">
        <v>18</v>
      </c>
      <c r="E29">
        <v>42</v>
      </c>
      <c r="F29">
        <v>15</v>
      </c>
      <c r="G29">
        <v>18</v>
      </c>
      <c r="H29">
        <v>36</v>
      </c>
      <c r="I29">
        <v>34</v>
      </c>
      <c r="J29">
        <v>1</v>
      </c>
      <c r="K29">
        <v>5</v>
      </c>
      <c r="L29">
        <v>25</v>
      </c>
      <c r="M29">
        <v>34</v>
      </c>
      <c r="N29">
        <v>1</v>
      </c>
      <c r="O29">
        <v>12</v>
      </c>
      <c r="P29">
        <v>4</v>
      </c>
      <c r="W29">
        <v>34</v>
      </c>
      <c r="X29">
        <v>54</v>
      </c>
      <c r="Y29">
        <v>38</v>
      </c>
      <c r="Z29">
        <v>47</v>
      </c>
      <c r="AA29">
        <v>42</v>
      </c>
      <c r="AB29">
        <v>37</v>
      </c>
      <c r="AC29">
        <v>36</v>
      </c>
    </row>
    <row r="30" spans="1:29">
      <c r="A30">
        <v>28</v>
      </c>
      <c r="C30">
        <v>2</v>
      </c>
      <c r="D30">
        <v>5</v>
      </c>
      <c r="E30">
        <v>34</v>
      </c>
      <c r="F30">
        <v>52</v>
      </c>
      <c r="G30">
        <v>66</v>
      </c>
      <c r="H30">
        <v>20</v>
      </c>
      <c r="I30">
        <v>5</v>
      </c>
      <c r="J30">
        <v>50</v>
      </c>
      <c r="K30">
        <v>32</v>
      </c>
      <c r="L30">
        <v>8</v>
      </c>
      <c r="M30">
        <v>5</v>
      </c>
      <c r="N30">
        <v>3</v>
      </c>
      <c r="O30">
        <v>28</v>
      </c>
      <c r="P30">
        <v>17</v>
      </c>
      <c r="W30">
        <v>42</v>
      </c>
      <c r="X30">
        <v>58</v>
      </c>
      <c r="Y30">
        <v>51</v>
      </c>
      <c r="Z30">
        <v>57</v>
      </c>
      <c r="AA30">
        <v>44</v>
      </c>
      <c r="AB30">
        <v>37</v>
      </c>
      <c r="AC30">
        <v>38</v>
      </c>
    </row>
    <row r="31" spans="1:29">
      <c r="A31">
        <v>29</v>
      </c>
      <c r="C31">
        <v>2</v>
      </c>
      <c r="D31">
        <v>11</v>
      </c>
      <c r="E31">
        <v>21</v>
      </c>
      <c r="F31">
        <v>17</v>
      </c>
      <c r="G31">
        <v>15</v>
      </c>
      <c r="H31">
        <v>19</v>
      </c>
      <c r="I31">
        <v>35</v>
      </c>
      <c r="J31">
        <v>34</v>
      </c>
      <c r="K31">
        <v>22</v>
      </c>
      <c r="L31">
        <v>5</v>
      </c>
      <c r="M31">
        <v>2</v>
      </c>
      <c r="N31">
        <v>1</v>
      </c>
      <c r="O31">
        <v>4</v>
      </c>
      <c r="P31">
        <v>1</v>
      </c>
      <c r="W31">
        <v>50</v>
      </c>
      <c r="X31">
        <v>60</v>
      </c>
      <c r="Y31">
        <v>54</v>
      </c>
      <c r="Z31">
        <v>59</v>
      </c>
      <c r="AA31">
        <v>49</v>
      </c>
      <c r="AB31">
        <v>53</v>
      </c>
      <c r="AC31">
        <v>38</v>
      </c>
    </row>
    <row r="32" spans="1:29">
      <c r="A32">
        <v>30</v>
      </c>
      <c r="C32">
        <v>2</v>
      </c>
      <c r="D32">
        <v>7</v>
      </c>
      <c r="E32">
        <v>11</v>
      </c>
      <c r="F32">
        <v>16</v>
      </c>
      <c r="G32">
        <v>51</v>
      </c>
      <c r="H32">
        <v>2</v>
      </c>
      <c r="I32">
        <v>60</v>
      </c>
      <c r="J32">
        <v>29</v>
      </c>
      <c r="K32">
        <v>37</v>
      </c>
      <c r="L32">
        <v>1</v>
      </c>
      <c r="M32">
        <v>12</v>
      </c>
      <c r="N32">
        <v>17</v>
      </c>
      <c r="O32">
        <v>8</v>
      </c>
      <c r="P32">
        <v>3</v>
      </c>
      <c r="W32">
        <v>52</v>
      </c>
      <c r="X32">
        <v>66</v>
      </c>
      <c r="Y32">
        <v>72</v>
      </c>
      <c r="Z32">
        <v>60</v>
      </c>
      <c r="AA32">
        <v>50</v>
      </c>
      <c r="AB32">
        <v>60</v>
      </c>
      <c r="AC32">
        <v>51</v>
      </c>
    </row>
    <row r="33" spans="1:29">
      <c r="A33">
        <v>31</v>
      </c>
      <c r="C33">
        <v>3</v>
      </c>
      <c r="D33">
        <v>6</v>
      </c>
      <c r="E33">
        <v>12</v>
      </c>
      <c r="F33">
        <v>4</v>
      </c>
      <c r="G33">
        <v>20</v>
      </c>
      <c r="H33">
        <v>7</v>
      </c>
      <c r="I33">
        <v>57</v>
      </c>
      <c r="J33">
        <v>17</v>
      </c>
      <c r="K33">
        <v>16</v>
      </c>
      <c r="L33">
        <v>51</v>
      </c>
      <c r="M33">
        <v>16</v>
      </c>
      <c r="N33">
        <v>3</v>
      </c>
      <c r="O33">
        <v>9</v>
      </c>
      <c r="P33">
        <v>9</v>
      </c>
      <c r="W33">
        <v>56</v>
      </c>
      <c r="X33">
        <v>68</v>
      </c>
      <c r="Y33">
        <v>76</v>
      </c>
      <c r="Z33">
        <v>68</v>
      </c>
      <c r="AA33">
        <v>50</v>
      </c>
      <c r="AB33">
        <v>60</v>
      </c>
      <c r="AC33">
        <v>52</v>
      </c>
    </row>
    <row r="34" spans="1:29">
      <c r="A34">
        <v>32</v>
      </c>
      <c r="C34">
        <v>15</v>
      </c>
      <c r="D34">
        <v>10</v>
      </c>
      <c r="E34">
        <v>18</v>
      </c>
      <c r="F34">
        <v>34</v>
      </c>
      <c r="G34">
        <v>6</v>
      </c>
      <c r="H34">
        <v>31</v>
      </c>
      <c r="I34">
        <v>6</v>
      </c>
      <c r="J34">
        <v>52</v>
      </c>
      <c r="K34">
        <v>22</v>
      </c>
      <c r="L34">
        <v>16</v>
      </c>
      <c r="M34">
        <v>1</v>
      </c>
      <c r="N34">
        <v>26</v>
      </c>
      <c r="O34">
        <v>80</v>
      </c>
      <c r="P34">
        <v>54</v>
      </c>
      <c r="W34">
        <v>65</v>
      </c>
      <c r="X34">
        <v>111</v>
      </c>
      <c r="Y34">
        <v>82</v>
      </c>
      <c r="Z34">
        <v>72</v>
      </c>
      <c r="AA34">
        <v>52</v>
      </c>
      <c r="AB34">
        <v>81</v>
      </c>
      <c r="AC34">
        <v>99</v>
      </c>
    </row>
    <row r="35" spans="1:29">
      <c r="B35">
        <f>AVERAGE(B3:B34)</f>
        <v>1.4375</v>
      </c>
      <c r="C35">
        <f>AVERAGE(C3:C34)</f>
        <v>7.34375</v>
      </c>
      <c r="D35">
        <f t="shared" ref="D35:P35" si="0">AVERAGE(D3:D34)</f>
        <v>10.34375</v>
      </c>
      <c r="E35">
        <f t="shared" si="0"/>
        <v>17</v>
      </c>
      <c r="F35">
        <f t="shared" si="0"/>
        <v>20.8125</v>
      </c>
      <c r="G35">
        <f t="shared" si="0"/>
        <v>28.65625</v>
      </c>
      <c r="H35">
        <f t="shared" si="0"/>
        <v>26.0625</v>
      </c>
      <c r="I35">
        <f t="shared" si="0"/>
        <v>26.375</v>
      </c>
      <c r="J35">
        <f t="shared" si="0"/>
        <v>22.125</v>
      </c>
      <c r="K35">
        <f t="shared" si="0"/>
        <v>21.71875</v>
      </c>
      <c r="L35">
        <f t="shared" si="0"/>
        <v>17.90625</v>
      </c>
      <c r="M35">
        <f t="shared" ref="M35" si="1">AVERAGE(M3:M34)</f>
        <v>17.375</v>
      </c>
      <c r="N35">
        <f t="shared" si="0"/>
        <v>18.96875</v>
      </c>
      <c r="O35">
        <f t="shared" si="0"/>
        <v>14.125</v>
      </c>
      <c r="P35">
        <f t="shared" si="0"/>
        <v>16.65625</v>
      </c>
      <c r="Q35">
        <f t="shared" ref="Q35" si="2">AVERAGE(Q3:Q34)</f>
        <v>17.125</v>
      </c>
      <c r="R35">
        <f>SUM(C35:L35)</f>
        <v>198.34375</v>
      </c>
      <c r="V35" s="16" t="s">
        <v>16</v>
      </c>
      <c r="W35">
        <f>COUNT(W3:W7)</f>
        <v>5</v>
      </c>
      <c r="X35">
        <f>COUNT(X3:X7)</f>
        <v>5</v>
      </c>
      <c r="Y35">
        <f>COUNT(Y3:Y5)</f>
        <v>3</v>
      </c>
      <c r="Z35">
        <f>COUNT(Z3:Z7)</f>
        <v>5</v>
      </c>
      <c r="AA35">
        <f>COUNT(AA3:AA6)</f>
        <v>4</v>
      </c>
      <c r="AB35">
        <f>COUNT(AB3:AB9)</f>
        <v>7</v>
      </c>
      <c r="AC35">
        <f>COUNT(AC3:AC13)</f>
        <v>11</v>
      </c>
    </row>
    <row r="36" spans="1:29">
      <c r="B36">
        <f>2*STDEV(B3:B34)/SQRT(COUNT(B3:B34))</f>
        <v>0.44604745636908782</v>
      </c>
      <c r="C36">
        <f>STDEV(C3:C34)/SQRT(COUNT(C3:C34))</f>
        <v>1.1104428924256797</v>
      </c>
      <c r="D36">
        <f t="shared" ref="D36:P36" si="3">STDEV(D3:D34)/SQRT(COUNT(D3:D34))</f>
        <v>1.1952606132002099</v>
      </c>
      <c r="E36">
        <f t="shared" si="3"/>
        <v>2.4046326256865367</v>
      </c>
      <c r="F36">
        <f t="shared" si="3"/>
        <v>2.9208087907179894</v>
      </c>
      <c r="G36">
        <f t="shared" si="3"/>
        <v>4.5747839220522462</v>
      </c>
      <c r="H36">
        <f t="shared" si="3"/>
        <v>3.8831048175646177</v>
      </c>
      <c r="I36">
        <f t="shared" si="3"/>
        <v>3.6540824495880075</v>
      </c>
      <c r="J36">
        <f t="shared" si="3"/>
        <v>2.7913857987421506</v>
      </c>
      <c r="K36">
        <f t="shared" si="3"/>
        <v>3.4870828386762365</v>
      </c>
      <c r="L36">
        <f t="shared" si="3"/>
        <v>3.6589371845611827</v>
      </c>
      <c r="M36">
        <f t="shared" si="3"/>
        <v>3.157412553382605</v>
      </c>
      <c r="N36">
        <f t="shared" si="3"/>
        <v>3.9044754033548763</v>
      </c>
      <c r="O36">
        <f t="shared" si="3"/>
        <v>2.892826918542684</v>
      </c>
      <c r="P36">
        <f t="shared" si="3"/>
        <v>3.1310777590899495</v>
      </c>
      <c r="Q36">
        <f t="shared" ref="Q36" si="4">STDEV(Q3:Q34)/SQRT(COUNT(Q3:Q34))</f>
        <v>4.7053825561796776</v>
      </c>
      <c r="V36" s="16" t="s">
        <v>39</v>
      </c>
      <c r="W36">
        <f>COUNT(W8:W9)</f>
        <v>2</v>
      </c>
      <c r="X36">
        <f>COUNT(X8:X13)</f>
        <v>6</v>
      </c>
      <c r="Y36">
        <f>COUNT(Y6:Y13)</f>
        <v>8</v>
      </c>
      <c r="Z36">
        <f>COUNT(Z8:Z11)</f>
        <v>4</v>
      </c>
      <c r="AA36">
        <f>COUNT(AA7:AA10)</f>
        <v>4</v>
      </c>
      <c r="AB36">
        <f>COUNT(AB10:AB13)</f>
        <v>4</v>
      </c>
      <c r="AC36">
        <f>COUNT(AC14:AC17)</f>
        <v>4</v>
      </c>
    </row>
    <row r="37" spans="1:29">
      <c r="A37" t="s">
        <v>33</v>
      </c>
      <c r="V37" s="16" t="s">
        <v>40</v>
      </c>
      <c r="W37">
        <f>COUNT(W10:W19)</f>
        <v>10</v>
      </c>
      <c r="X37">
        <f>COUNT(X14:X15)</f>
        <v>2</v>
      </c>
      <c r="Y37">
        <f>COUNT(Y14:Y15)</f>
        <v>2</v>
      </c>
      <c r="Z37">
        <f>COUNT(Z11:Z14)</f>
        <v>4</v>
      </c>
      <c r="AA37">
        <f>COUNT(AA11:AA17)</f>
        <v>7</v>
      </c>
      <c r="AB37">
        <f>COUNT(AB14:AB17)</f>
        <v>4</v>
      </c>
      <c r="AC37">
        <f>COUNT(AC18:AC21)</f>
        <v>4</v>
      </c>
    </row>
    <row r="38" spans="1:29">
      <c r="A38">
        <f>(72.6*10^3)/(8.6173*10^-5)</f>
        <v>842491267.56640708</v>
      </c>
      <c r="V38" s="16" t="s">
        <v>17</v>
      </c>
      <c r="W38">
        <f>COUNT(W20:W23)</f>
        <v>4</v>
      </c>
      <c r="X38">
        <f>COUNT(X16:X18)</f>
        <v>3</v>
      </c>
      <c r="Y38">
        <f>COUNT(Y16:Y19)</f>
        <v>4</v>
      </c>
      <c r="Z38">
        <f>COUNT(Z15:Z16)</f>
        <v>2</v>
      </c>
      <c r="AA38">
        <f>COUNT(AA18:AA22)</f>
        <v>5</v>
      </c>
      <c r="AB38">
        <f>COUNT(AB18:AB22)</f>
        <v>5</v>
      </c>
      <c r="AC38">
        <f>COUNT(AC22:AC25)</f>
        <v>4</v>
      </c>
    </row>
    <row r="39" spans="1:29">
      <c r="G39" t="s">
        <v>38</v>
      </c>
      <c r="V39" s="16" t="s">
        <v>18</v>
      </c>
      <c r="W39">
        <f>COUNT(W24:W34)</f>
        <v>11</v>
      </c>
      <c r="X39">
        <f>COUNT(X19:X34)</f>
        <v>16</v>
      </c>
      <c r="Y39">
        <f>COUNT(Y20:Y34)</f>
        <v>15</v>
      </c>
      <c r="Z39">
        <f>COUNT(Z17:Z34)</f>
        <v>18</v>
      </c>
      <c r="AA39">
        <f>COUNT(AA23:AA34)</f>
        <v>12</v>
      </c>
      <c r="AB39">
        <f>COUNT(AB23:AB34)</f>
        <v>12</v>
      </c>
      <c r="AC39">
        <f>COUNT(AC26:AC34)</f>
        <v>9</v>
      </c>
    </row>
    <row r="40" spans="1:29">
      <c r="F40">
        <f>(2066.2-589.6)+(478.9-426.3)+(364.5-352.1)</f>
        <v>1541.6</v>
      </c>
      <c r="G40">
        <f>(2150.5-438.9)+(348-342.5)</f>
        <v>1717.1</v>
      </c>
      <c r="H40">
        <f>(2097.3-1560.1)+(1350.6-1138.6)+(796.8-705.3)+(518.7-506.8)</f>
        <v>852.60000000000036</v>
      </c>
      <c r="V40" s="16" t="s">
        <v>16</v>
      </c>
      <c r="W40">
        <f>W35/COUNT(W$3:W$34)</f>
        <v>0.15625</v>
      </c>
      <c r="X40">
        <f t="shared" ref="X40:AC40" si="5">X35/COUNT(X$3:X$34)</f>
        <v>0.15625</v>
      </c>
      <c r="Y40">
        <f t="shared" si="5"/>
        <v>9.375E-2</v>
      </c>
      <c r="Z40">
        <f t="shared" si="5"/>
        <v>0.15625</v>
      </c>
      <c r="AA40">
        <f t="shared" si="5"/>
        <v>0.125</v>
      </c>
      <c r="AB40">
        <f t="shared" si="5"/>
        <v>0.21875</v>
      </c>
      <c r="AC40">
        <f t="shared" si="5"/>
        <v>0.34375</v>
      </c>
    </row>
    <row r="41" spans="1:29">
      <c r="F41">
        <f>(2124.5-1887.6)+(1801.7-386.9)+(337.5-330.8)</f>
        <v>1658.4000000000003</v>
      </c>
      <c r="G41">
        <f>(1990.7-990.2)+(754.2-681.4)+(456.2-452.3)</f>
        <v>1077.2000000000003</v>
      </c>
      <c r="H41">
        <f>(2137.7-487.2)</f>
        <v>1650.4999999999998</v>
      </c>
      <c r="V41" s="16" t="s">
        <v>39</v>
      </c>
      <c r="W41">
        <f t="shared" ref="W41:AC44" si="6">W36/COUNT(W$3:W$34)</f>
        <v>6.25E-2</v>
      </c>
      <c r="X41">
        <f t="shared" si="6"/>
        <v>0.1875</v>
      </c>
      <c r="Y41">
        <f t="shared" si="6"/>
        <v>0.25</v>
      </c>
      <c r="Z41">
        <f t="shared" si="6"/>
        <v>0.125</v>
      </c>
      <c r="AA41">
        <f t="shared" si="6"/>
        <v>0.125</v>
      </c>
      <c r="AB41">
        <f t="shared" si="6"/>
        <v>0.125</v>
      </c>
      <c r="AC41">
        <f t="shared" si="6"/>
        <v>0.125</v>
      </c>
    </row>
    <row r="42" spans="1:29">
      <c r="F42">
        <f>(2140-570.1)+(516.8-387.7)+(337-327.4)</f>
        <v>1708.6</v>
      </c>
      <c r="G42">
        <f>(1953.1-1065.4)+(913.3-657.1)+(455.7-432.5)</f>
        <v>1167.0999999999997</v>
      </c>
      <c r="H42">
        <f>(2066.6-642.7)+(483.2-436.8)+3.9</f>
        <v>1474.1999999999998</v>
      </c>
      <c r="V42" s="16" t="s">
        <v>40</v>
      </c>
      <c r="W42">
        <f t="shared" si="6"/>
        <v>0.3125</v>
      </c>
      <c r="X42">
        <f t="shared" si="6"/>
        <v>6.25E-2</v>
      </c>
      <c r="Y42">
        <f t="shared" si="6"/>
        <v>6.25E-2</v>
      </c>
      <c r="Z42">
        <f t="shared" si="6"/>
        <v>0.125</v>
      </c>
      <c r="AA42">
        <f t="shared" si="6"/>
        <v>0.21875</v>
      </c>
      <c r="AB42">
        <f t="shared" si="6"/>
        <v>0.125</v>
      </c>
      <c r="AC42">
        <f t="shared" si="6"/>
        <v>0.125</v>
      </c>
    </row>
    <row r="43" spans="1:29">
      <c r="F43">
        <f>(2147.3-680)+4.1</f>
        <v>1471.4</v>
      </c>
      <c r="G43">
        <f>(2117.7-1372.9)+(1049.5-877.1)+(605-559.6)+0.8</f>
        <v>963.39999999999964</v>
      </c>
      <c r="H43">
        <f>(2004.6-1073.6)+(904.6-853.7)+(561.8-522.6)+1</f>
        <v>1022.0999999999999</v>
      </c>
      <c r="V43" s="16" t="s">
        <v>17</v>
      </c>
      <c r="W43">
        <f t="shared" si="6"/>
        <v>0.125</v>
      </c>
      <c r="X43">
        <f t="shared" si="6"/>
        <v>9.375E-2</v>
      </c>
      <c r="Y43">
        <f t="shared" si="6"/>
        <v>0.125</v>
      </c>
      <c r="Z43">
        <f t="shared" si="6"/>
        <v>6.25E-2</v>
      </c>
      <c r="AA43">
        <f t="shared" si="6"/>
        <v>0.15625</v>
      </c>
      <c r="AB43">
        <f t="shared" si="6"/>
        <v>0.15625</v>
      </c>
      <c r="AC43">
        <f t="shared" si="6"/>
        <v>0.125</v>
      </c>
    </row>
    <row r="44" spans="1:29">
      <c r="F44">
        <f>(2114.9-1764.3)+(1601.8-1062.7)+(763.6-670.4)+(497.6-480.2)</f>
        <v>1000.3000000000002</v>
      </c>
      <c r="G44">
        <f>(2072-889.4)+(853.1-809.6)+(570.9-540.1)+4</f>
        <v>1260.8999999999999</v>
      </c>
      <c r="H44">
        <f>(2107.4-1132.6)+(1049.2-668.2)+(444.6-431.9)</f>
        <v>1368.5000000000002</v>
      </c>
      <c r="V44" s="16" t="s">
        <v>18</v>
      </c>
      <c r="W44">
        <f t="shared" si="6"/>
        <v>0.34375</v>
      </c>
      <c r="X44">
        <f t="shared" si="6"/>
        <v>0.5</v>
      </c>
      <c r="Y44">
        <f t="shared" si="6"/>
        <v>0.46875</v>
      </c>
      <c r="Z44">
        <f t="shared" si="6"/>
        <v>0.5625</v>
      </c>
      <c r="AA44">
        <f t="shared" si="6"/>
        <v>0.375</v>
      </c>
      <c r="AB44">
        <f t="shared" si="6"/>
        <v>0.375</v>
      </c>
      <c r="AC44">
        <f t="shared" si="6"/>
        <v>0.28125</v>
      </c>
    </row>
    <row r="45" spans="1:29">
      <c r="F45">
        <f>(2133.2-480.6)+0.3</f>
        <v>1652.8999999999999</v>
      </c>
      <c r="G45">
        <f>(2152-367.5)</f>
        <v>1784.5</v>
      </c>
      <c r="H45">
        <f>(2074.8-510.5)+14+2.3</f>
        <v>1580.6000000000001</v>
      </c>
    </row>
    <row r="46" spans="1:29">
      <c r="F46">
        <f>(2137.8-928)+(876.8-453.7)+8.1</f>
        <v>1641</v>
      </c>
      <c r="G46">
        <f>(2152.7-406.1)+(366.8-328.1)</f>
        <v>1785.3</v>
      </c>
      <c r="H46">
        <f>(2096.5-1259.7)+(1116.6-810)+(558.5-510.7)+3.7</f>
        <v>1194.8999999999999</v>
      </c>
      <c r="V46" s="16" t="s">
        <v>41</v>
      </c>
      <c r="W46">
        <f>COUNT(W3:W9)</f>
        <v>7</v>
      </c>
      <c r="X46">
        <f>COUNT(X3:X13)</f>
        <v>11</v>
      </c>
      <c r="Y46">
        <f>COUNT(Y3:Y13)</f>
        <v>11</v>
      </c>
      <c r="Z46">
        <f>COUNT(Z3:Z11)</f>
        <v>9</v>
      </c>
      <c r="AA46">
        <f>COUNT(AA3:AA10)</f>
        <v>8</v>
      </c>
      <c r="AB46">
        <f>COUNT(AB3:AB13)</f>
        <v>11</v>
      </c>
      <c r="AC46">
        <f>COUNT(AC3:AC17)</f>
        <v>15</v>
      </c>
    </row>
    <row r="47" spans="1:29">
      <c r="F47">
        <f>(2151.9-402.3)</f>
        <v>1749.6000000000001</v>
      </c>
      <c r="G47">
        <f>(2152.2-422.5)+(388.6-326.6)</f>
        <v>1791.6999999999998</v>
      </c>
      <c r="H47">
        <f>(2149.2-489.4)+(359.7-353.2)</f>
        <v>1666.2999999999997</v>
      </c>
      <c r="V47" s="16" t="s">
        <v>44</v>
      </c>
      <c r="W47">
        <f>COUNT(W10:W23)</f>
        <v>14</v>
      </c>
      <c r="X47">
        <f>COUNT(X14:X18)</f>
        <v>5</v>
      </c>
      <c r="Y47">
        <f>COUNT(Y14:Y19)</f>
        <v>6</v>
      </c>
      <c r="Z47">
        <f>COUNT(Z12:Z16)</f>
        <v>5</v>
      </c>
      <c r="AA47">
        <f>COUNT(AA11:AA22)</f>
        <v>12</v>
      </c>
      <c r="AB47">
        <f>COUNT(AB14:AB22)</f>
        <v>9</v>
      </c>
      <c r="AC47">
        <f>COUNT(AC18:AC25)</f>
        <v>8</v>
      </c>
    </row>
    <row r="48" spans="1:29">
      <c r="F48">
        <f>(2145.1-639)+(553-456.6)+2</f>
        <v>1604.5</v>
      </c>
      <c r="G48">
        <f>(2115.5-1252.5)+(1198.9-501.4)+(389.1-376.9)+0.7</f>
        <v>1573.4</v>
      </c>
      <c r="H48">
        <f>(2126.3-1105.3)+(992.9-715.1)+(476.7-450.6)+1.5</f>
        <v>1326.4</v>
      </c>
      <c r="V48" s="16" t="s">
        <v>42</v>
      </c>
      <c r="W48">
        <f>COUNT(W24:W27)</f>
        <v>4</v>
      </c>
      <c r="X48">
        <f>COUNT(X19:X22)</f>
        <v>4</v>
      </c>
      <c r="Y48">
        <f>COUNT(Y20:Y21)</f>
        <v>2</v>
      </c>
      <c r="Z48">
        <f>COUNT(Z17:Z22)</f>
        <v>6</v>
      </c>
      <c r="AA48">
        <f>COUNT(AA23:AA24)</f>
        <v>2</v>
      </c>
      <c r="AB48">
        <f>COUNT(AB23:AB25)</f>
        <v>3</v>
      </c>
      <c r="AC48">
        <f>COUNT(AC26:AC28)</f>
        <v>3</v>
      </c>
    </row>
    <row r="49" spans="3:29">
      <c r="F49">
        <f>(2147.4-326.2)+1.4</f>
        <v>1822.6000000000001</v>
      </c>
      <c r="G49">
        <f>(2041.7-449.8)+(360.5-349.7)</f>
        <v>1602.7</v>
      </c>
      <c r="H49">
        <f>(2123.9-780.9)+(549.7-463.9)+4.5</f>
        <v>1433.3000000000002</v>
      </c>
      <c r="V49" s="16" t="s">
        <v>43</v>
      </c>
      <c r="W49">
        <f>COUNT(W28:W34)</f>
        <v>7</v>
      </c>
      <c r="X49">
        <f>COUNT(X23:X34)</f>
        <v>12</v>
      </c>
      <c r="Y49">
        <f>COUNT(Y22:Y34)</f>
        <v>13</v>
      </c>
      <c r="Z49">
        <f>COUNT(Z23:Z34)</f>
        <v>12</v>
      </c>
      <c r="AA49">
        <f>COUNT(AA25:AA34)</f>
        <v>10</v>
      </c>
      <c r="AB49">
        <f>COUNT(AB26:AB34)</f>
        <v>9</v>
      </c>
      <c r="AC49">
        <f>COUNT(AC29:AC34)</f>
        <v>6</v>
      </c>
    </row>
    <row r="50" spans="3:29">
      <c r="F50">
        <f>(2154.9-463.6)+(443.8-308.1)</f>
        <v>1827.0000000000002</v>
      </c>
      <c r="G50">
        <f>(2136.9-892.6)+(626.8-603.5)+(434.3-422.5)</f>
        <v>1279.4000000000001</v>
      </c>
      <c r="H50">
        <f>(2141.6-907.6)+5</f>
        <v>1239</v>
      </c>
      <c r="W50">
        <f>W46/COUNT(W$3:W$34)</f>
        <v>0.21875</v>
      </c>
      <c r="X50">
        <f t="shared" ref="X50:AC50" si="7">X46/COUNT(X$3:X$34)</f>
        <v>0.34375</v>
      </c>
      <c r="Y50">
        <f t="shared" si="7"/>
        <v>0.34375</v>
      </c>
      <c r="Z50">
        <f>Z46/COUNT(Z$3:Z$34)</f>
        <v>0.28125</v>
      </c>
      <c r="AA50">
        <f t="shared" si="7"/>
        <v>0.25</v>
      </c>
      <c r="AB50">
        <f t="shared" si="7"/>
        <v>0.34375</v>
      </c>
      <c r="AC50">
        <f t="shared" si="7"/>
        <v>0.46875</v>
      </c>
    </row>
    <row r="51" spans="3:29">
      <c r="F51">
        <f>(2038.1-387.3)+(348.8-325.1)</f>
        <v>1674.5</v>
      </c>
      <c r="G51">
        <f>(2145.5-522)+(476-389.8)+(364-325.9)</f>
        <v>1747.8000000000002</v>
      </c>
      <c r="H51">
        <f>(2133.2-470.7)+(381.8-367.9)+0.3</f>
        <v>1676.6999999999998</v>
      </c>
      <c r="W51">
        <f>W47/COUNT(W$3:W$34)</f>
        <v>0.4375</v>
      </c>
      <c r="X51">
        <f t="shared" ref="X51:AC51" si="8">X47/COUNT(X$3:X$34)</f>
        <v>0.15625</v>
      </c>
      <c r="Y51">
        <f t="shared" si="8"/>
        <v>0.1875</v>
      </c>
      <c r="Z51">
        <f t="shared" si="8"/>
        <v>0.15625</v>
      </c>
      <c r="AA51">
        <f t="shared" si="8"/>
        <v>0.375</v>
      </c>
      <c r="AB51">
        <f t="shared" si="8"/>
        <v>0.28125</v>
      </c>
      <c r="AC51">
        <f t="shared" si="8"/>
        <v>0.25</v>
      </c>
    </row>
    <row r="52" spans="3:29">
      <c r="F52">
        <f>(2143.8-434.1)+(384.6-351.1)+4.2</f>
        <v>1747.4000000000003</v>
      </c>
      <c r="G52">
        <f>(2139.5-615.9)+(574.2-367.7)</f>
        <v>1730.1</v>
      </c>
      <c r="H52">
        <f>(2050.5-1593.3)+(1396.6-1146.8)+(769.1-681.8)+4</f>
        <v>798.30000000000007</v>
      </c>
      <c r="W52">
        <f t="shared" ref="W52:AC53" si="9">W48/COUNT(W$3:W$34)</f>
        <v>0.125</v>
      </c>
      <c r="X52">
        <f t="shared" si="9"/>
        <v>0.125</v>
      </c>
      <c r="Y52">
        <f t="shared" si="9"/>
        <v>6.25E-2</v>
      </c>
      <c r="Z52">
        <f t="shared" si="9"/>
        <v>0.1875</v>
      </c>
      <c r="AA52">
        <f t="shared" si="9"/>
        <v>6.25E-2</v>
      </c>
      <c r="AB52">
        <f t="shared" si="9"/>
        <v>9.375E-2</v>
      </c>
      <c r="AC52">
        <f t="shared" si="9"/>
        <v>9.375E-2</v>
      </c>
    </row>
    <row r="53" spans="3:29">
      <c r="F53">
        <f>(2150.9-593.5)+(564.1-335.3)+5.3</f>
        <v>1791.5</v>
      </c>
      <c r="G53">
        <f>(2128.5-798.4)+(545.4-450.5)+1.5</f>
        <v>1426.5</v>
      </c>
      <c r="H53">
        <f>(2126.9-1184.3)+(1090.7-392.5)+(349.1-334.2)</f>
        <v>1655.7000000000003</v>
      </c>
      <c r="W53">
        <f t="shared" si="9"/>
        <v>0.21875</v>
      </c>
      <c r="X53">
        <f t="shared" si="9"/>
        <v>0.375</v>
      </c>
      <c r="Y53">
        <f t="shared" si="9"/>
        <v>0.40625</v>
      </c>
      <c r="Z53">
        <f t="shared" si="9"/>
        <v>0.375</v>
      </c>
      <c r="AA53">
        <f t="shared" si="9"/>
        <v>0.3125</v>
      </c>
      <c r="AB53">
        <f t="shared" si="9"/>
        <v>0.28125</v>
      </c>
      <c r="AC53">
        <f t="shared" si="9"/>
        <v>0.1875</v>
      </c>
    </row>
    <row r="54" spans="3:29">
      <c r="F54">
        <f>(2150.2-540.8)+(493.9-368.7)+1.8</f>
        <v>1736.3999999999999</v>
      </c>
      <c r="G54">
        <f>(2136.7-743.8)+(689-432.2)+4.6</f>
        <v>1654.2999999999997</v>
      </c>
      <c r="H54">
        <f>(2093.3-1098.7)+(995.7-603.5)+5.4</f>
        <v>1392.2000000000003</v>
      </c>
    </row>
    <row r="55" spans="3:29">
      <c r="F55">
        <f>(2143.6-614)+(422.1-411.4)</f>
        <v>1540.3</v>
      </c>
      <c r="G55">
        <f>(2138.5-638.5)+(426.3-418.3)+1.5</f>
        <v>1509.5</v>
      </c>
      <c r="H55">
        <f>(2145.3-406.3)+0.2</f>
        <v>1739.2000000000003</v>
      </c>
    </row>
    <row r="56" spans="3:29">
      <c r="C56" t="e">
        <f t="shared" ref="C56:F56" si="10">AVERAGE(C40:C55)</f>
        <v>#DIV/0!</v>
      </c>
      <c r="D56" t="e">
        <f t="shared" si="10"/>
        <v>#DIV/0!</v>
      </c>
      <c r="E56" t="e">
        <f t="shared" si="10"/>
        <v>#DIV/0!</v>
      </c>
      <c r="F56">
        <f t="shared" si="10"/>
        <v>1635.5000000000002</v>
      </c>
      <c r="G56">
        <f>AVERAGE(G40:G55)</f>
        <v>1504.4312499999996</v>
      </c>
      <c r="H56">
        <f t="shared" ref="H56:N56" si="11">AVERAGE(H40:H55)</f>
        <v>1379.40625</v>
      </c>
      <c r="I56" t="e">
        <f t="shared" si="11"/>
        <v>#DIV/0!</v>
      </c>
      <c r="J56" t="e">
        <f t="shared" si="11"/>
        <v>#DIV/0!</v>
      </c>
      <c r="K56" t="e">
        <f t="shared" si="11"/>
        <v>#DIV/0!</v>
      </c>
      <c r="L56" t="e">
        <f t="shared" si="11"/>
        <v>#DIV/0!</v>
      </c>
      <c r="M56" t="e">
        <f t="shared" si="11"/>
        <v>#DIV/0!</v>
      </c>
      <c r="N56" t="e">
        <f t="shared" si="11"/>
        <v>#DIV/0!</v>
      </c>
    </row>
    <row r="57" spans="3:29">
      <c r="C57" t="e">
        <f t="shared" ref="C57:F57" si="12">STDEV(C40:C55)/SQRT(COUNT(C40:C55))</f>
        <v>#DIV/0!</v>
      </c>
      <c r="D57" t="e">
        <f t="shared" si="12"/>
        <v>#DIV/0!</v>
      </c>
      <c r="E57" t="e">
        <f t="shared" si="12"/>
        <v>#DIV/0!</v>
      </c>
      <c r="F57">
        <f t="shared" si="12"/>
        <v>49.527223995158955</v>
      </c>
      <c r="G57">
        <f>STDEV(G40:G55)/SQRT(COUNT(G40:G55))</f>
        <v>68.835102914350486</v>
      </c>
      <c r="H57">
        <f t="shared" ref="H57:N57" si="13">STDEV(H40:H55)/SQRT(COUNT(H40:H55))</f>
        <v>73.656531996349059</v>
      </c>
      <c r="I57" t="e">
        <f t="shared" si="13"/>
        <v>#DIV/0!</v>
      </c>
      <c r="J57" t="e">
        <f t="shared" si="13"/>
        <v>#DIV/0!</v>
      </c>
      <c r="K57" t="e">
        <f t="shared" si="13"/>
        <v>#DIV/0!</v>
      </c>
      <c r="L57" t="e">
        <f t="shared" si="13"/>
        <v>#DIV/0!</v>
      </c>
      <c r="M57" t="e">
        <f t="shared" si="13"/>
        <v>#DIV/0!</v>
      </c>
      <c r="N57" t="e">
        <f t="shared" si="13"/>
        <v>#DIV/0!</v>
      </c>
    </row>
    <row r="58" spans="3:29">
      <c r="C58" t="e">
        <f t="shared" ref="C58:F58" si="14">1.5*(C56-300)*291600*(8.6173*10^-5)/1000</f>
        <v>#DIV/0!</v>
      </c>
      <c r="D58" t="e">
        <f t="shared" si="14"/>
        <v>#DIV/0!</v>
      </c>
      <c r="E58" t="e">
        <f t="shared" si="14"/>
        <v>#DIV/0!</v>
      </c>
      <c r="F58">
        <f t="shared" si="14"/>
        <v>50.337759752100013</v>
      </c>
      <c r="G58">
        <f>1.5*(G56-300)*291600*(8.6173*10^-5)/1000</f>
        <v>45.397507226073735</v>
      </c>
      <c r="H58">
        <f t="shared" ref="H58:N58" si="15">1.5*(H56-300)*291600*(8.6173*10^-5)/1000</f>
        <v>40.685056149318747</v>
      </c>
      <c r="I58" t="e">
        <f t="shared" si="15"/>
        <v>#DIV/0!</v>
      </c>
      <c r="J58" t="e">
        <f t="shared" si="15"/>
        <v>#DIV/0!</v>
      </c>
      <c r="K58" t="e">
        <f t="shared" si="15"/>
        <v>#DIV/0!</v>
      </c>
      <c r="L58" t="e">
        <f t="shared" si="15"/>
        <v>#DIV/0!</v>
      </c>
      <c r="M58" t="e">
        <f t="shared" si="15"/>
        <v>#DIV/0!</v>
      </c>
      <c r="N58" t="e">
        <f t="shared" si="15"/>
        <v>#DIV/0!</v>
      </c>
    </row>
    <row r="59" spans="3:29">
      <c r="C59" t="e">
        <f t="shared" ref="C59:F59" si="16">1.5*C57*291600*(8.6173*10^-5)/1000</f>
        <v>#DIV/0!</v>
      </c>
      <c r="D59" t="e">
        <f t="shared" si="16"/>
        <v>#DIV/0!</v>
      </c>
      <c r="E59" t="e">
        <f t="shared" si="16"/>
        <v>#DIV/0!</v>
      </c>
      <c r="F59">
        <f t="shared" si="16"/>
        <v>1.8667836036366559</v>
      </c>
      <c r="G59">
        <f>1.5*G57*291600*(8.6173*10^-5)/1000</f>
        <v>2.5945375312719228</v>
      </c>
      <c r="H59">
        <f t="shared" ref="H59:N59" si="17">1.5*H57*291600*(8.6173*10^-5)/1000</f>
        <v>2.7762671746949348</v>
      </c>
      <c r="I59" t="e">
        <f t="shared" si="17"/>
        <v>#DIV/0!</v>
      </c>
      <c r="J59" t="e">
        <f t="shared" si="17"/>
        <v>#DIV/0!</v>
      </c>
      <c r="K59" t="e">
        <f t="shared" si="17"/>
        <v>#DIV/0!</v>
      </c>
      <c r="L59" t="e">
        <f t="shared" si="17"/>
        <v>#DIV/0!</v>
      </c>
      <c r="M59" t="e">
        <f t="shared" si="17"/>
        <v>#DIV/0!</v>
      </c>
      <c r="N59" t="e">
        <f t="shared" si="17"/>
        <v>#DIV/0!</v>
      </c>
    </row>
    <row r="61" spans="3:29">
      <c r="G61" t="s">
        <v>48</v>
      </c>
    </row>
    <row r="62" spans="3:29">
      <c r="C62">
        <v>374.53428000000002</v>
      </c>
      <c r="D62">
        <v>534.56528000000003</v>
      </c>
      <c r="E62">
        <v>561.10110999999995</v>
      </c>
      <c r="F62">
        <v>375.45877000000002</v>
      </c>
      <c r="G62">
        <v>715</v>
      </c>
      <c r="H62">
        <v>369.83996000000002</v>
      </c>
      <c r="I62">
        <v>465.63103000000001</v>
      </c>
      <c r="J62">
        <v>1100.1697999999999</v>
      </c>
      <c r="K62">
        <v>910.45281999999997</v>
      </c>
      <c r="L62">
        <v>329.47793000000001</v>
      </c>
      <c r="M62">
        <v>772.66108999999994</v>
      </c>
      <c r="N62">
        <v>1082.5259000000001</v>
      </c>
    </row>
    <row r="63" spans="3:29">
      <c r="C63">
        <v>314.71373</v>
      </c>
      <c r="D63">
        <v>307.12225000000001</v>
      </c>
      <c r="E63">
        <v>365.98349000000002</v>
      </c>
      <c r="F63">
        <v>707.65400999999997</v>
      </c>
      <c r="G63">
        <v>484.24304999999998</v>
      </c>
      <c r="H63">
        <v>1059.1864</v>
      </c>
      <c r="I63">
        <v>574.84312999999997</v>
      </c>
      <c r="J63">
        <v>660.80664999999999</v>
      </c>
      <c r="K63">
        <v>1460.5129999999999</v>
      </c>
      <c r="L63">
        <v>510.27773999999999</v>
      </c>
      <c r="M63">
        <v>1051.4729</v>
      </c>
      <c r="N63">
        <v>960.66645000000005</v>
      </c>
    </row>
    <row r="64" spans="3:29">
      <c r="C64">
        <v>364.67228</v>
      </c>
      <c r="D64">
        <v>318.06096000000002</v>
      </c>
      <c r="E64">
        <v>420.92403999999999</v>
      </c>
      <c r="F64">
        <v>705.90652999999998</v>
      </c>
      <c r="G64">
        <v>536</v>
      </c>
      <c r="H64">
        <v>959.38656000000003</v>
      </c>
      <c r="I64">
        <v>721.39021000000002</v>
      </c>
      <c r="J64">
        <v>391.73133999999999</v>
      </c>
      <c r="K64">
        <v>1356.5042000000001</v>
      </c>
      <c r="L64">
        <v>755.80557999999996</v>
      </c>
      <c r="M64">
        <v>799.30577000000005</v>
      </c>
      <c r="N64">
        <v>1469.3123000000001</v>
      </c>
    </row>
    <row r="65" spans="3:14">
      <c r="C65">
        <v>413.69533999999999</v>
      </c>
      <c r="D65">
        <v>753.54098999999997</v>
      </c>
      <c r="E65">
        <v>596.11436000000003</v>
      </c>
      <c r="F65">
        <v>686.01952000000006</v>
      </c>
      <c r="G65">
        <v>1185</v>
      </c>
      <c r="H65">
        <v>495.69328999999999</v>
      </c>
      <c r="I65">
        <v>1243.7896000000001</v>
      </c>
      <c r="J65">
        <v>398.99151000000001</v>
      </c>
      <c r="K65">
        <v>935.69081000000006</v>
      </c>
      <c r="L65">
        <v>1050.3807999999999</v>
      </c>
      <c r="M65">
        <v>819.29645000000005</v>
      </c>
      <c r="N65">
        <v>839.99122999999997</v>
      </c>
    </row>
    <row r="66" spans="3:14">
      <c r="C66">
        <v>407.73491000000001</v>
      </c>
      <c r="D66">
        <v>855.08483999999999</v>
      </c>
      <c r="E66">
        <v>805.57791999999995</v>
      </c>
      <c r="F66">
        <v>727.86626999999999</v>
      </c>
      <c r="G66">
        <v>832</v>
      </c>
      <c r="H66">
        <v>586.71131000000003</v>
      </c>
      <c r="I66">
        <v>1301.0434</v>
      </c>
      <c r="J66">
        <v>461.65271000000001</v>
      </c>
      <c r="K66">
        <v>559.02878999999996</v>
      </c>
      <c r="L66">
        <v>346.84028999999998</v>
      </c>
      <c r="M66">
        <v>850.31178</v>
      </c>
      <c r="N66">
        <v>1430.8714</v>
      </c>
    </row>
    <row r="67" spans="3:14">
      <c r="C67">
        <v>529.74467000000004</v>
      </c>
      <c r="D67">
        <v>653.26418000000001</v>
      </c>
      <c r="E67">
        <v>537.80092999999999</v>
      </c>
      <c r="F67">
        <v>701.16357000000005</v>
      </c>
      <c r="G67">
        <v>751.69674999999995</v>
      </c>
      <c r="H67">
        <v>389.42084</v>
      </c>
      <c r="I67">
        <v>1204.1708000000001</v>
      </c>
      <c r="J67">
        <v>853.01022</v>
      </c>
      <c r="K67">
        <v>1383.0260000000001</v>
      </c>
      <c r="L67">
        <v>790.31539999999995</v>
      </c>
      <c r="N67">
        <v>1197.7465999999999</v>
      </c>
    </row>
    <row r="68" spans="3:14">
      <c r="C68">
        <v>454.65120000000002</v>
      </c>
      <c r="D68">
        <v>379.14317</v>
      </c>
      <c r="E68">
        <v>486.69105000000002</v>
      </c>
      <c r="F68">
        <v>350.14485000000002</v>
      </c>
      <c r="G68">
        <v>547</v>
      </c>
      <c r="H68">
        <v>793.39773000000002</v>
      </c>
      <c r="I68">
        <v>741.70887000000005</v>
      </c>
      <c r="J68">
        <v>951.13509999999997</v>
      </c>
      <c r="K68">
        <v>336.18666000000002</v>
      </c>
      <c r="L68">
        <v>429.71733</v>
      </c>
      <c r="M68">
        <v>1159.1086</v>
      </c>
      <c r="N68">
        <v>1186.836</v>
      </c>
    </row>
    <row r="69" spans="3:14">
      <c r="C69">
        <v>301.71382</v>
      </c>
      <c r="D69">
        <v>666.52657999999997</v>
      </c>
      <c r="E69">
        <v>742.64404000000002</v>
      </c>
      <c r="F69">
        <v>332.45528000000002</v>
      </c>
      <c r="G69">
        <v>923</v>
      </c>
      <c r="H69">
        <v>599.56275000000005</v>
      </c>
      <c r="I69">
        <v>359.26562999999999</v>
      </c>
      <c r="J69">
        <v>537.40409999999997</v>
      </c>
      <c r="K69">
        <v>824.04376000000002</v>
      </c>
      <c r="L69">
        <v>1462.9239</v>
      </c>
      <c r="M69">
        <v>1089.7723000000001</v>
      </c>
      <c r="N69">
        <v>1321.5689</v>
      </c>
    </row>
    <row r="70" spans="3:14">
      <c r="C70">
        <v>300.79298</v>
      </c>
      <c r="D70">
        <v>350.06058000000002</v>
      </c>
      <c r="E70">
        <v>393.80635000000001</v>
      </c>
      <c r="F70">
        <v>532.06524000000002</v>
      </c>
      <c r="G70">
        <v>468</v>
      </c>
      <c r="H70">
        <v>1242.2132999999999</v>
      </c>
      <c r="I70">
        <v>969.69740000000002</v>
      </c>
      <c r="J70">
        <v>977.33019999999999</v>
      </c>
      <c r="K70">
        <v>1276.6413</v>
      </c>
      <c r="L70">
        <v>356.96384</v>
      </c>
      <c r="M70">
        <v>1193.7399</v>
      </c>
      <c r="N70">
        <v>726.00107000000003</v>
      </c>
    </row>
    <row r="71" spans="3:14">
      <c r="C71">
        <v>301.78077999999999</v>
      </c>
      <c r="D71">
        <v>621.70555999999999</v>
      </c>
      <c r="E71">
        <v>310.81720999999999</v>
      </c>
      <c r="F71">
        <v>380.57150000000001</v>
      </c>
      <c r="G71">
        <v>548</v>
      </c>
      <c r="H71">
        <v>402.92833000000002</v>
      </c>
      <c r="I71">
        <v>1265.7943</v>
      </c>
      <c r="J71">
        <v>499.89193</v>
      </c>
      <c r="K71">
        <v>366.45988</v>
      </c>
      <c r="L71">
        <v>488.48077999999998</v>
      </c>
      <c r="M71">
        <v>657.68901000000005</v>
      </c>
      <c r="N71">
        <v>455.31526000000002</v>
      </c>
    </row>
    <row r="72" spans="3:14">
      <c r="C72">
        <v>402.26693999999998</v>
      </c>
      <c r="D72">
        <v>1107.9463000000001</v>
      </c>
      <c r="E72">
        <v>313.59791999999999</v>
      </c>
      <c r="F72">
        <v>566.10626999999999</v>
      </c>
      <c r="G72">
        <v>823</v>
      </c>
      <c r="H72">
        <v>773.10328000000004</v>
      </c>
      <c r="I72">
        <v>666.41710999999998</v>
      </c>
      <c r="J72">
        <v>377.26664</v>
      </c>
      <c r="K72">
        <v>470.23180000000002</v>
      </c>
      <c r="L72">
        <v>448.24856</v>
      </c>
      <c r="M72">
        <v>1266.6534999999999</v>
      </c>
      <c r="N72">
        <v>1432.4043999999999</v>
      </c>
    </row>
    <row r="73" spans="3:14">
      <c r="C73">
        <v>730.78525000000002</v>
      </c>
      <c r="D73">
        <v>320.59978999999998</v>
      </c>
      <c r="E73">
        <v>604.80542000000003</v>
      </c>
      <c r="F73">
        <v>524.41756999999996</v>
      </c>
      <c r="G73">
        <v>805</v>
      </c>
      <c r="H73">
        <v>545.80750999999998</v>
      </c>
      <c r="I73">
        <v>374.71161999999998</v>
      </c>
      <c r="J73">
        <v>828.09898999999996</v>
      </c>
      <c r="K73">
        <v>996.57421999999997</v>
      </c>
      <c r="L73">
        <v>628.82426999999996</v>
      </c>
      <c r="M73">
        <v>751.42012999999997</v>
      </c>
      <c r="N73">
        <v>858.16840999999999</v>
      </c>
    </row>
    <row r="74" spans="3:14">
      <c r="C74">
        <v>635.11635999999999</v>
      </c>
      <c r="D74">
        <v>491.19666000000001</v>
      </c>
      <c r="E74">
        <v>316.38501000000002</v>
      </c>
      <c r="F74">
        <v>415.87698999999998</v>
      </c>
      <c r="G74">
        <v>626</v>
      </c>
      <c r="H74">
        <v>1153.3307</v>
      </c>
      <c r="I74">
        <v>1258.1310000000001</v>
      </c>
      <c r="J74">
        <v>588.84654999999998</v>
      </c>
      <c r="K74">
        <v>1219.2355</v>
      </c>
      <c r="L74">
        <v>676.01850999999999</v>
      </c>
      <c r="M74">
        <v>333.54799000000003</v>
      </c>
      <c r="N74">
        <v>657.14637000000005</v>
      </c>
    </row>
    <row r="75" spans="3:14">
      <c r="C75">
        <v>472.20533</v>
      </c>
      <c r="D75">
        <v>330.91347999999999</v>
      </c>
      <c r="E75">
        <v>1205.8994</v>
      </c>
      <c r="F75">
        <v>377.59071999999998</v>
      </c>
      <c r="G75">
        <v>980</v>
      </c>
      <c r="H75">
        <v>408.98998</v>
      </c>
      <c r="I75">
        <v>1018.0045</v>
      </c>
      <c r="J75">
        <v>1086.3588999999999</v>
      </c>
      <c r="K75">
        <v>655.16558999999995</v>
      </c>
      <c r="L75">
        <v>805.83483999999999</v>
      </c>
      <c r="M75">
        <v>1394.7741000000001</v>
      </c>
      <c r="N75">
        <v>400.50607000000002</v>
      </c>
    </row>
    <row r="76" spans="3:14">
      <c r="C76">
        <v>606.87552000000005</v>
      </c>
      <c r="D76">
        <v>537.36490000000003</v>
      </c>
      <c r="E76">
        <v>376.88123000000002</v>
      </c>
      <c r="F76">
        <v>611.69177999999999</v>
      </c>
      <c r="G76">
        <v>567</v>
      </c>
      <c r="H76">
        <v>586.70896000000005</v>
      </c>
      <c r="I76">
        <v>1244.3896</v>
      </c>
      <c r="J76">
        <v>619.49077</v>
      </c>
      <c r="K76">
        <v>472.94790999999998</v>
      </c>
      <c r="L76">
        <v>657.42980999999997</v>
      </c>
      <c r="M76">
        <v>985.99130000000002</v>
      </c>
      <c r="N76">
        <v>663.24869999999999</v>
      </c>
    </row>
    <row r="77" spans="3:14">
      <c r="C77">
        <v>371.89683000000002</v>
      </c>
      <c r="D77">
        <v>423.04748000000001</v>
      </c>
      <c r="E77">
        <v>320.66818999999998</v>
      </c>
      <c r="F77">
        <v>630.64512999999999</v>
      </c>
      <c r="G77">
        <v>410</v>
      </c>
      <c r="H77">
        <v>687.09078999999997</v>
      </c>
      <c r="I77">
        <v>620.09799999999996</v>
      </c>
      <c r="J77">
        <v>890.1463</v>
      </c>
      <c r="L77">
        <v>514.52368999999999</v>
      </c>
      <c r="M77">
        <v>336.96798000000001</v>
      </c>
      <c r="N77">
        <v>1071.5419999999999</v>
      </c>
    </row>
    <row r="78" spans="3:14">
      <c r="C78">
        <f t="shared" ref="C78" si="18">AVERAGE(C62:C77)</f>
        <v>436.4487637499999</v>
      </c>
      <c r="D78">
        <f t="shared" ref="D78" si="19">AVERAGE(D62:D77)</f>
        <v>540.6339375</v>
      </c>
      <c r="E78">
        <f t="shared" ref="E78:F78" si="20">AVERAGE(E62:E77)</f>
        <v>522.48110437499997</v>
      </c>
      <c r="F78">
        <f t="shared" si="20"/>
        <v>539.102125</v>
      </c>
      <c r="G78">
        <f>AVERAGE(G62:G77)</f>
        <v>700.05873750000001</v>
      </c>
      <c r="H78">
        <f t="shared" ref="H78:N78" si="21">AVERAGE(H62:H77)</f>
        <v>690.83573062500011</v>
      </c>
      <c r="I78">
        <f t="shared" si="21"/>
        <v>876.8178875000001</v>
      </c>
      <c r="J78">
        <f t="shared" si="21"/>
        <v>701.39573187500002</v>
      </c>
      <c r="K78">
        <f t="shared" si="21"/>
        <v>881.51348266666685</v>
      </c>
      <c r="L78">
        <f t="shared" si="21"/>
        <v>640.75395437499992</v>
      </c>
      <c r="M78">
        <f t="shared" si="21"/>
        <v>897.51418666666689</v>
      </c>
      <c r="N78">
        <f t="shared" si="21"/>
        <v>984.61569124999994</v>
      </c>
    </row>
    <row r="79" spans="3:14">
      <c r="C79">
        <f t="shared" ref="C79:M79" si="22">2*STDEV(C62:C77)/SQRT(COUNT(C62:C77))</f>
        <v>64.631745022142752</v>
      </c>
      <c r="D79">
        <f t="shared" si="22"/>
        <v>113.74965045526027</v>
      </c>
      <c r="E79">
        <f t="shared" si="22"/>
        <v>119.37909288471903</v>
      </c>
      <c r="F79">
        <f t="shared" si="22"/>
        <v>73.70515418488516</v>
      </c>
      <c r="G79">
        <f t="shared" si="22"/>
        <v>107.30630303267083</v>
      </c>
      <c r="H79">
        <f t="shared" si="22"/>
        <v>140.73421966210785</v>
      </c>
      <c r="I79">
        <f t="shared" si="22"/>
        <v>173.92466019459241</v>
      </c>
      <c r="J79">
        <f t="shared" si="22"/>
        <v>126.41145863361892</v>
      </c>
      <c r="K79">
        <f t="shared" si="22"/>
        <v>202.68848927097511</v>
      </c>
      <c r="L79">
        <f t="shared" si="22"/>
        <v>147.75168492527797</v>
      </c>
      <c r="M79">
        <f t="shared" si="22"/>
        <v>160.52983769199523</v>
      </c>
      <c r="N79">
        <f>2*STDEV(N62:N77)/SQRT(COUNT(N62:N77))</f>
        <v>172.61728940800003</v>
      </c>
    </row>
    <row r="81" spans="2:14">
      <c r="B81" t="s">
        <v>46</v>
      </c>
      <c r="C81">
        <f>1.5*(C78-300)*291600*(8.6173*10^-5)/1000</f>
        <v>5.1430363819682112</v>
      </c>
      <c r="D81">
        <f t="shared" ref="D81:N81" si="23">1.5*(D78-300)*291600*(8.6173*10^-5)/1000</f>
        <v>9.0699912647524119</v>
      </c>
      <c r="E81">
        <f t="shared" si="23"/>
        <v>8.3857734042760264</v>
      </c>
      <c r="F81">
        <f t="shared" si="23"/>
        <v>9.0122540804691749</v>
      </c>
      <c r="G81">
        <f t="shared" si="23"/>
        <v>15.079042017973373</v>
      </c>
      <c r="H81">
        <f t="shared" si="23"/>
        <v>14.731407795385794</v>
      </c>
      <c r="I81">
        <f t="shared" si="23"/>
        <v>21.741460308265705</v>
      </c>
      <c r="J81">
        <f t="shared" si="23"/>
        <v>15.12943610381288</v>
      </c>
      <c r="K81">
        <f t="shared" si="23"/>
        <v>21.918447010918491</v>
      </c>
      <c r="L81">
        <f t="shared" si="23"/>
        <v>12.843721969230096</v>
      </c>
      <c r="M81">
        <f t="shared" si="23"/>
        <v>22.521546669335915</v>
      </c>
      <c r="N81">
        <f t="shared" si="23"/>
        <v>25.804582694616521</v>
      </c>
    </row>
    <row r="82" spans="2:14">
      <c r="C82">
        <f>1.5*C79*291600*(8.6173*10^-5)/1000</f>
        <v>2.4361042705231051</v>
      </c>
      <c r="D82">
        <f t="shared" ref="D82:N82" si="24">1.5*D79*291600*(8.6173*10^-5)/1000</f>
        <v>4.2874598101851316</v>
      </c>
      <c r="E82">
        <f t="shared" si="24"/>
        <v>4.4996451494231504</v>
      </c>
      <c r="F82">
        <f t="shared" si="24"/>
        <v>2.7780998456385153</v>
      </c>
      <c r="G82">
        <f t="shared" si="24"/>
        <v>4.0445967068099025</v>
      </c>
      <c r="H82">
        <f t="shared" si="24"/>
        <v>5.3045640870463897</v>
      </c>
      <c r="I82">
        <f t="shared" si="24"/>
        <v>6.5555805015657223</v>
      </c>
      <c r="J82">
        <f t="shared" si="24"/>
        <v>4.7647095729027606</v>
      </c>
      <c r="K82">
        <f t="shared" si="24"/>
        <v>7.6397487663335415</v>
      </c>
      <c r="L82">
        <f t="shared" si="24"/>
        <v>5.5690668803718593</v>
      </c>
      <c r="M82">
        <f t="shared" si="24"/>
        <v>6.0507019114812906</v>
      </c>
      <c r="N82">
        <f t="shared" si="24"/>
        <v>6.5063029901000533</v>
      </c>
    </row>
  </sheetData>
  <sortState ref="AC3:AC34">
    <sortCondition ref="AC3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1"/>
  <sheetViews>
    <sheetView showRuler="0" zoomScale="75" zoomScaleNormal="75" zoomScalePageLayoutView="75" workbookViewId="0">
      <selection activeCell="P35" sqref="P35"/>
    </sheetView>
  </sheetViews>
  <sheetFormatPr baseColWidth="10" defaultColWidth="11" defaultRowHeight="15" x14ac:dyDescent="0"/>
  <sheetData>
    <row r="1" spans="1:30">
      <c r="A1" t="s">
        <v>26</v>
      </c>
      <c r="D1" t="s">
        <v>30</v>
      </c>
      <c r="Y1">
        <v>16.8125</v>
      </c>
      <c r="Z1">
        <v>21.4375</v>
      </c>
      <c r="AA1">
        <v>17.25</v>
      </c>
      <c r="AB1">
        <v>19.59375</v>
      </c>
      <c r="AC1">
        <v>17.15625</v>
      </c>
      <c r="AD1">
        <v>10.8125</v>
      </c>
    </row>
    <row r="2" spans="1:30">
      <c r="B2" s="10">
        <v>5</v>
      </c>
      <c r="C2" s="10">
        <v>6</v>
      </c>
      <c r="D2" s="10">
        <v>8</v>
      </c>
      <c r="E2" s="10">
        <v>10</v>
      </c>
      <c r="F2" s="10">
        <v>12</v>
      </c>
      <c r="G2" s="10">
        <v>14</v>
      </c>
      <c r="H2" s="10">
        <v>16</v>
      </c>
      <c r="I2" s="10">
        <v>18</v>
      </c>
      <c r="J2" s="10">
        <v>20</v>
      </c>
      <c r="K2" s="10">
        <v>22</v>
      </c>
      <c r="L2" s="10">
        <v>24</v>
      </c>
      <c r="M2" s="10">
        <v>26</v>
      </c>
      <c r="N2" s="10">
        <v>28</v>
      </c>
      <c r="O2" s="10">
        <v>30</v>
      </c>
      <c r="P2" s="10">
        <v>32</v>
      </c>
      <c r="Q2" s="10">
        <v>34</v>
      </c>
      <c r="R2" s="10">
        <v>38</v>
      </c>
      <c r="Y2" s="10">
        <v>14</v>
      </c>
      <c r="Z2" s="10">
        <v>16</v>
      </c>
      <c r="AA2" s="10">
        <v>18</v>
      </c>
      <c r="AB2" s="10">
        <v>20</v>
      </c>
      <c r="AC2" s="10">
        <v>22</v>
      </c>
      <c r="AD2" s="10">
        <v>24</v>
      </c>
    </row>
    <row r="3" spans="1:30">
      <c r="A3">
        <v>1</v>
      </c>
      <c r="B3">
        <v>3</v>
      </c>
      <c r="C3">
        <v>4</v>
      </c>
      <c r="D3">
        <v>8</v>
      </c>
      <c r="E3">
        <v>7</v>
      </c>
      <c r="F3">
        <v>4</v>
      </c>
      <c r="G3">
        <v>1</v>
      </c>
      <c r="H3">
        <v>5</v>
      </c>
      <c r="I3">
        <v>5</v>
      </c>
      <c r="J3">
        <v>36</v>
      </c>
      <c r="K3">
        <v>16</v>
      </c>
      <c r="L3">
        <v>2</v>
      </c>
      <c r="M3">
        <v>36</v>
      </c>
      <c r="N3">
        <v>4</v>
      </c>
      <c r="O3">
        <v>8</v>
      </c>
      <c r="P3">
        <v>0</v>
      </c>
      <c r="Q3">
        <v>0</v>
      </c>
      <c r="R3">
        <v>5</v>
      </c>
      <c r="Y3">
        <v>1</v>
      </c>
      <c r="Z3">
        <v>1</v>
      </c>
      <c r="AA3">
        <v>1</v>
      </c>
      <c r="AB3">
        <v>1</v>
      </c>
      <c r="AC3">
        <v>0</v>
      </c>
      <c r="AD3">
        <v>0</v>
      </c>
    </row>
    <row r="4" spans="1:30">
      <c r="A4">
        <v>2</v>
      </c>
      <c r="B4">
        <v>2</v>
      </c>
      <c r="C4">
        <v>4</v>
      </c>
      <c r="D4">
        <v>2</v>
      </c>
      <c r="E4">
        <v>5</v>
      </c>
      <c r="F4">
        <v>4</v>
      </c>
      <c r="G4">
        <v>21</v>
      </c>
      <c r="H4">
        <v>2</v>
      </c>
      <c r="I4">
        <v>12</v>
      </c>
      <c r="J4">
        <v>10</v>
      </c>
      <c r="K4">
        <v>14</v>
      </c>
      <c r="L4">
        <v>5</v>
      </c>
      <c r="M4">
        <v>0</v>
      </c>
      <c r="N4">
        <v>26</v>
      </c>
      <c r="O4">
        <v>12</v>
      </c>
      <c r="P4">
        <v>21</v>
      </c>
      <c r="Q4">
        <v>0</v>
      </c>
      <c r="R4">
        <v>0</v>
      </c>
      <c r="Y4">
        <v>2</v>
      </c>
      <c r="Z4">
        <v>2</v>
      </c>
      <c r="AA4">
        <v>1</v>
      </c>
      <c r="AB4">
        <v>3</v>
      </c>
      <c r="AC4">
        <v>0</v>
      </c>
      <c r="AD4">
        <v>1</v>
      </c>
    </row>
    <row r="5" spans="1:30">
      <c r="A5">
        <v>3</v>
      </c>
      <c r="B5">
        <v>2</v>
      </c>
      <c r="C5">
        <v>5</v>
      </c>
      <c r="D5">
        <v>5</v>
      </c>
      <c r="E5">
        <v>7</v>
      </c>
      <c r="F5">
        <v>1</v>
      </c>
      <c r="G5">
        <v>38</v>
      </c>
      <c r="H5">
        <v>24</v>
      </c>
      <c r="I5">
        <v>8</v>
      </c>
      <c r="J5">
        <v>3</v>
      </c>
      <c r="K5">
        <v>24</v>
      </c>
      <c r="L5">
        <v>0</v>
      </c>
      <c r="M5">
        <v>21</v>
      </c>
      <c r="N5">
        <v>1</v>
      </c>
      <c r="O5">
        <v>2</v>
      </c>
      <c r="P5">
        <v>1</v>
      </c>
      <c r="Q5">
        <v>19</v>
      </c>
      <c r="R5">
        <v>2</v>
      </c>
      <c r="Y5">
        <v>3</v>
      </c>
      <c r="Z5">
        <v>2</v>
      </c>
      <c r="AA5">
        <v>3</v>
      </c>
      <c r="AB5">
        <v>5</v>
      </c>
      <c r="AC5">
        <v>1</v>
      </c>
      <c r="AD5">
        <v>1</v>
      </c>
    </row>
    <row r="6" spans="1:30">
      <c r="A6">
        <v>4</v>
      </c>
      <c r="B6">
        <v>5</v>
      </c>
      <c r="C6">
        <v>2</v>
      </c>
      <c r="D6">
        <v>2</v>
      </c>
      <c r="E6">
        <v>1</v>
      </c>
      <c r="F6">
        <v>1</v>
      </c>
      <c r="G6">
        <v>10</v>
      </c>
      <c r="H6">
        <v>51</v>
      </c>
      <c r="I6">
        <v>49</v>
      </c>
      <c r="J6">
        <v>33</v>
      </c>
      <c r="K6">
        <v>2</v>
      </c>
      <c r="L6">
        <v>13</v>
      </c>
      <c r="M6">
        <v>9</v>
      </c>
      <c r="N6">
        <v>17</v>
      </c>
      <c r="O6">
        <v>8</v>
      </c>
      <c r="P6">
        <v>0</v>
      </c>
      <c r="Q6">
        <v>5</v>
      </c>
      <c r="R6">
        <v>0</v>
      </c>
      <c r="Y6">
        <v>3</v>
      </c>
      <c r="Z6">
        <v>2</v>
      </c>
      <c r="AA6">
        <v>3</v>
      </c>
      <c r="AB6">
        <v>5</v>
      </c>
      <c r="AC6">
        <v>2</v>
      </c>
      <c r="AD6">
        <v>2</v>
      </c>
    </row>
    <row r="7" spans="1:30">
      <c r="A7">
        <v>5</v>
      </c>
      <c r="B7">
        <v>4</v>
      </c>
      <c r="C7">
        <v>5</v>
      </c>
      <c r="D7">
        <v>11</v>
      </c>
      <c r="E7">
        <v>3</v>
      </c>
      <c r="F7">
        <v>40</v>
      </c>
      <c r="G7">
        <v>9</v>
      </c>
      <c r="H7">
        <v>21</v>
      </c>
      <c r="I7">
        <v>7</v>
      </c>
      <c r="J7">
        <v>19</v>
      </c>
      <c r="K7">
        <v>48</v>
      </c>
      <c r="L7">
        <v>17</v>
      </c>
      <c r="M7">
        <v>7</v>
      </c>
      <c r="N7">
        <v>30</v>
      </c>
      <c r="O7">
        <v>5</v>
      </c>
      <c r="P7">
        <v>5</v>
      </c>
      <c r="Q7">
        <v>11</v>
      </c>
      <c r="R7">
        <v>24</v>
      </c>
      <c r="Y7">
        <v>5</v>
      </c>
      <c r="Z7">
        <v>5</v>
      </c>
      <c r="AA7">
        <v>4</v>
      </c>
      <c r="AB7">
        <v>7</v>
      </c>
      <c r="AC7">
        <v>2</v>
      </c>
      <c r="AD7">
        <v>2</v>
      </c>
    </row>
    <row r="8" spans="1:30">
      <c r="A8">
        <v>6</v>
      </c>
      <c r="B8">
        <v>5</v>
      </c>
      <c r="C8">
        <v>16</v>
      </c>
      <c r="D8">
        <v>13</v>
      </c>
      <c r="E8">
        <v>4</v>
      </c>
      <c r="F8">
        <v>20</v>
      </c>
      <c r="G8">
        <v>3</v>
      </c>
      <c r="H8">
        <v>5</v>
      </c>
      <c r="I8">
        <v>6</v>
      </c>
      <c r="J8">
        <v>18</v>
      </c>
      <c r="K8">
        <v>10</v>
      </c>
      <c r="L8">
        <v>3</v>
      </c>
      <c r="M8">
        <v>1</v>
      </c>
      <c r="N8">
        <v>1</v>
      </c>
      <c r="O8">
        <v>4</v>
      </c>
      <c r="P8">
        <v>5</v>
      </c>
      <c r="Q8">
        <v>16</v>
      </c>
      <c r="R8">
        <v>1</v>
      </c>
      <c r="Y8">
        <v>5</v>
      </c>
      <c r="Z8">
        <v>5</v>
      </c>
      <c r="AA8">
        <v>5</v>
      </c>
      <c r="AB8">
        <v>8</v>
      </c>
      <c r="AC8">
        <v>3</v>
      </c>
      <c r="AD8">
        <v>3</v>
      </c>
    </row>
    <row r="9" spans="1:30">
      <c r="A9">
        <v>7</v>
      </c>
      <c r="B9">
        <v>4</v>
      </c>
      <c r="C9">
        <v>8</v>
      </c>
      <c r="D9">
        <v>6</v>
      </c>
      <c r="E9">
        <v>22</v>
      </c>
      <c r="F9">
        <v>16</v>
      </c>
      <c r="G9">
        <v>14</v>
      </c>
      <c r="H9">
        <v>83</v>
      </c>
      <c r="I9">
        <v>41</v>
      </c>
      <c r="J9">
        <v>13</v>
      </c>
      <c r="K9">
        <v>31</v>
      </c>
      <c r="L9">
        <v>31</v>
      </c>
      <c r="M9">
        <v>5</v>
      </c>
      <c r="N9">
        <v>3</v>
      </c>
      <c r="O9">
        <v>5</v>
      </c>
      <c r="P9">
        <v>0</v>
      </c>
      <c r="Q9">
        <v>1</v>
      </c>
      <c r="R9">
        <v>0</v>
      </c>
      <c r="Y9">
        <v>5</v>
      </c>
      <c r="Z9">
        <v>5</v>
      </c>
      <c r="AA9">
        <v>6</v>
      </c>
      <c r="AB9">
        <v>9</v>
      </c>
      <c r="AC9">
        <v>4</v>
      </c>
      <c r="AD9">
        <v>3</v>
      </c>
    </row>
    <row r="10" spans="1:30">
      <c r="A10">
        <v>8</v>
      </c>
      <c r="B10">
        <v>7</v>
      </c>
      <c r="C10">
        <v>3</v>
      </c>
      <c r="D10">
        <v>10</v>
      </c>
      <c r="E10">
        <v>24</v>
      </c>
      <c r="F10">
        <v>17</v>
      </c>
      <c r="G10">
        <v>16</v>
      </c>
      <c r="H10">
        <v>61</v>
      </c>
      <c r="I10">
        <v>17</v>
      </c>
      <c r="J10">
        <v>5</v>
      </c>
      <c r="K10">
        <v>14</v>
      </c>
      <c r="L10">
        <v>3</v>
      </c>
      <c r="M10" s="9">
        <v>2</v>
      </c>
      <c r="N10">
        <v>28</v>
      </c>
      <c r="O10">
        <v>2</v>
      </c>
      <c r="P10">
        <v>9</v>
      </c>
      <c r="Q10">
        <v>3</v>
      </c>
      <c r="R10">
        <v>0</v>
      </c>
      <c r="Y10">
        <v>7</v>
      </c>
      <c r="Z10">
        <v>6</v>
      </c>
      <c r="AA10">
        <v>6</v>
      </c>
      <c r="AB10">
        <v>9</v>
      </c>
      <c r="AC10">
        <v>5</v>
      </c>
      <c r="AD10">
        <v>4</v>
      </c>
    </row>
    <row r="11" spans="1:30">
      <c r="A11">
        <v>9</v>
      </c>
      <c r="B11">
        <v>6</v>
      </c>
      <c r="C11">
        <v>2</v>
      </c>
      <c r="D11">
        <v>8</v>
      </c>
      <c r="E11">
        <v>4</v>
      </c>
      <c r="F11">
        <v>79</v>
      </c>
      <c r="G11">
        <v>16</v>
      </c>
      <c r="H11">
        <v>11</v>
      </c>
      <c r="I11">
        <v>3</v>
      </c>
      <c r="J11">
        <v>21</v>
      </c>
      <c r="K11">
        <v>13</v>
      </c>
      <c r="L11">
        <v>16</v>
      </c>
      <c r="M11">
        <v>6</v>
      </c>
      <c r="N11">
        <v>11</v>
      </c>
      <c r="O11">
        <v>1</v>
      </c>
      <c r="P11">
        <v>42</v>
      </c>
      <c r="Q11">
        <v>3</v>
      </c>
      <c r="R11">
        <v>35</v>
      </c>
      <c r="Y11">
        <v>8</v>
      </c>
      <c r="Z11">
        <v>6</v>
      </c>
      <c r="AA11">
        <v>6</v>
      </c>
      <c r="AB11">
        <v>10</v>
      </c>
      <c r="AC11">
        <v>7</v>
      </c>
      <c r="AD11">
        <v>4</v>
      </c>
    </row>
    <row r="12" spans="1:30">
      <c r="A12">
        <v>10</v>
      </c>
      <c r="B12">
        <v>2</v>
      </c>
      <c r="C12">
        <v>1</v>
      </c>
      <c r="D12">
        <v>4</v>
      </c>
      <c r="E12">
        <v>28</v>
      </c>
      <c r="F12">
        <v>21</v>
      </c>
      <c r="G12">
        <v>54</v>
      </c>
      <c r="H12">
        <v>6</v>
      </c>
      <c r="I12">
        <v>25</v>
      </c>
      <c r="J12">
        <v>9</v>
      </c>
      <c r="K12">
        <v>35</v>
      </c>
      <c r="L12">
        <v>11</v>
      </c>
      <c r="M12">
        <v>7</v>
      </c>
      <c r="N12">
        <v>16</v>
      </c>
      <c r="O12">
        <v>19</v>
      </c>
      <c r="P12">
        <v>2</v>
      </c>
      <c r="Q12">
        <v>0</v>
      </c>
      <c r="R12">
        <v>24</v>
      </c>
      <c r="Y12">
        <v>9</v>
      </c>
      <c r="Z12">
        <v>8</v>
      </c>
      <c r="AA12">
        <v>7</v>
      </c>
      <c r="AB12">
        <v>10</v>
      </c>
      <c r="AC12">
        <v>9</v>
      </c>
      <c r="AD12">
        <v>5</v>
      </c>
    </row>
    <row r="13" spans="1:30">
      <c r="A13">
        <v>11</v>
      </c>
      <c r="B13">
        <v>2</v>
      </c>
      <c r="C13">
        <v>3</v>
      </c>
      <c r="D13">
        <v>17</v>
      </c>
      <c r="E13">
        <v>25</v>
      </c>
      <c r="F13">
        <v>3</v>
      </c>
      <c r="G13">
        <v>32</v>
      </c>
      <c r="H13">
        <v>11</v>
      </c>
      <c r="I13">
        <v>6</v>
      </c>
      <c r="J13">
        <v>25</v>
      </c>
      <c r="K13">
        <v>42</v>
      </c>
      <c r="L13">
        <v>5</v>
      </c>
      <c r="M13">
        <v>3</v>
      </c>
      <c r="N13">
        <v>5</v>
      </c>
      <c r="O13">
        <v>15</v>
      </c>
      <c r="P13">
        <v>18</v>
      </c>
      <c r="Q13">
        <v>2</v>
      </c>
      <c r="R13">
        <v>0</v>
      </c>
      <c r="Y13">
        <v>9</v>
      </c>
      <c r="Z13">
        <v>10</v>
      </c>
      <c r="AA13">
        <v>7</v>
      </c>
      <c r="AB13">
        <v>10</v>
      </c>
      <c r="AC13">
        <v>9</v>
      </c>
      <c r="AD13">
        <v>5</v>
      </c>
    </row>
    <row r="14" spans="1:30">
      <c r="A14">
        <v>12</v>
      </c>
      <c r="B14">
        <v>2</v>
      </c>
      <c r="C14">
        <v>3</v>
      </c>
      <c r="D14">
        <v>20</v>
      </c>
      <c r="E14">
        <v>14</v>
      </c>
      <c r="F14">
        <v>33</v>
      </c>
      <c r="G14">
        <v>9</v>
      </c>
      <c r="H14">
        <v>1</v>
      </c>
      <c r="I14">
        <v>1</v>
      </c>
      <c r="J14">
        <v>15</v>
      </c>
      <c r="K14">
        <v>26</v>
      </c>
      <c r="L14">
        <v>27</v>
      </c>
      <c r="M14">
        <v>44</v>
      </c>
      <c r="N14">
        <v>9</v>
      </c>
      <c r="O14">
        <v>1</v>
      </c>
      <c r="P14">
        <v>17</v>
      </c>
      <c r="Q14">
        <v>3</v>
      </c>
      <c r="R14">
        <v>4</v>
      </c>
      <c r="Y14">
        <v>10</v>
      </c>
      <c r="Z14">
        <v>11</v>
      </c>
      <c r="AA14">
        <v>8</v>
      </c>
      <c r="AB14">
        <v>12</v>
      </c>
      <c r="AC14">
        <v>10</v>
      </c>
      <c r="AD14">
        <v>5</v>
      </c>
    </row>
    <row r="15" spans="1:30">
      <c r="A15">
        <v>13</v>
      </c>
      <c r="B15">
        <v>8</v>
      </c>
      <c r="C15">
        <v>2</v>
      </c>
      <c r="D15">
        <v>6</v>
      </c>
      <c r="E15">
        <v>8</v>
      </c>
      <c r="F15">
        <v>5</v>
      </c>
      <c r="G15">
        <v>12</v>
      </c>
      <c r="H15">
        <v>8</v>
      </c>
      <c r="I15">
        <v>7</v>
      </c>
      <c r="J15">
        <v>8</v>
      </c>
      <c r="K15">
        <v>32</v>
      </c>
      <c r="L15">
        <v>5</v>
      </c>
      <c r="M15">
        <v>22</v>
      </c>
      <c r="N15">
        <v>1</v>
      </c>
      <c r="O15">
        <v>10</v>
      </c>
      <c r="P15">
        <v>0</v>
      </c>
      <c r="Q15">
        <v>31</v>
      </c>
      <c r="R15">
        <v>0</v>
      </c>
      <c r="Y15">
        <v>10</v>
      </c>
      <c r="Z15">
        <v>11</v>
      </c>
      <c r="AA15">
        <v>10</v>
      </c>
      <c r="AB15">
        <v>13</v>
      </c>
      <c r="AC15">
        <v>10</v>
      </c>
      <c r="AD15">
        <v>5</v>
      </c>
    </row>
    <row r="16" spans="1:30">
      <c r="A16">
        <v>14</v>
      </c>
      <c r="B16">
        <v>3</v>
      </c>
      <c r="C16">
        <v>5</v>
      </c>
      <c r="D16">
        <v>8</v>
      </c>
      <c r="E16">
        <v>17</v>
      </c>
      <c r="F16">
        <v>11</v>
      </c>
      <c r="G16">
        <v>28</v>
      </c>
      <c r="H16">
        <v>11</v>
      </c>
      <c r="I16">
        <v>19</v>
      </c>
      <c r="J16">
        <v>42</v>
      </c>
      <c r="K16">
        <v>28</v>
      </c>
      <c r="L16">
        <v>4</v>
      </c>
      <c r="M16">
        <v>6</v>
      </c>
      <c r="N16">
        <v>2</v>
      </c>
      <c r="O16">
        <v>1</v>
      </c>
      <c r="P16">
        <v>19</v>
      </c>
      <c r="Q16">
        <v>0</v>
      </c>
      <c r="R16">
        <v>0</v>
      </c>
      <c r="Y16">
        <v>11</v>
      </c>
      <c r="Z16">
        <v>11</v>
      </c>
      <c r="AA16">
        <v>11</v>
      </c>
      <c r="AB16">
        <v>13</v>
      </c>
      <c r="AC16">
        <v>12</v>
      </c>
      <c r="AD16">
        <v>5</v>
      </c>
    </row>
    <row r="17" spans="1:30">
      <c r="A17">
        <v>15</v>
      </c>
      <c r="B17">
        <v>5</v>
      </c>
      <c r="C17">
        <v>2</v>
      </c>
      <c r="D17">
        <v>4</v>
      </c>
      <c r="E17">
        <v>7</v>
      </c>
      <c r="F17">
        <v>15</v>
      </c>
      <c r="G17">
        <v>18</v>
      </c>
      <c r="H17">
        <v>27</v>
      </c>
      <c r="I17">
        <v>11</v>
      </c>
      <c r="J17">
        <v>49</v>
      </c>
      <c r="K17">
        <v>12</v>
      </c>
      <c r="L17">
        <v>10</v>
      </c>
      <c r="M17">
        <v>17</v>
      </c>
      <c r="N17">
        <v>13</v>
      </c>
      <c r="O17">
        <v>14</v>
      </c>
      <c r="P17">
        <v>6</v>
      </c>
      <c r="Q17">
        <v>0</v>
      </c>
      <c r="R17">
        <v>5</v>
      </c>
      <c r="Y17">
        <v>11</v>
      </c>
      <c r="Z17">
        <v>14</v>
      </c>
      <c r="AA17">
        <v>12</v>
      </c>
      <c r="AB17">
        <v>15</v>
      </c>
      <c r="AC17">
        <v>13</v>
      </c>
      <c r="AD17">
        <v>6</v>
      </c>
    </row>
    <row r="18" spans="1:30">
      <c r="A18">
        <v>16</v>
      </c>
      <c r="B18">
        <v>3</v>
      </c>
      <c r="C18">
        <v>11</v>
      </c>
      <c r="D18">
        <v>3</v>
      </c>
      <c r="E18">
        <v>74</v>
      </c>
      <c r="F18">
        <v>28</v>
      </c>
      <c r="G18">
        <v>7</v>
      </c>
      <c r="H18">
        <v>47</v>
      </c>
      <c r="I18">
        <v>17</v>
      </c>
      <c r="J18">
        <v>25</v>
      </c>
      <c r="K18">
        <v>21</v>
      </c>
      <c r="L18">
        <v>15</v>
      </c>
      <c r="M18">
        <v>21</v>
      </c>
      <c r="N18">
        <v>18</v>
      </c>
      <c r="O18">
        <v>0</v>
      </c>
      <c r="P18">
        <v>1</v>
      </c>
      <c r="Q18">
        <v>6</v>
      </c>
      <c r="R18">
        <v>2</v>
      </c>
      <c r="Y18">
        <v>12</v>
      </c>
      <c r="Z18">
        <v>16</v>
      </c>
      <c r="AA18">
        <v>15</v>
      </c>
      <c r="AB18">
        <v>15</v>
      </c>
      <c r="AC18">
        <v>14</v>
      </c>
      <c r="AD18">
        <v>8</v>
      </c>
    </row>
    <row r="19" spans="1:30">
      <c r="A19">
        <v>17</v>
      </c>
      <c r="B19">
        <v>5</v>
      </c>
      <c r="C19">
        <v>15</v>
      </c>
      <c r="D19">
        <v>11</v>
      </c>
      <c r="E19">
        <v>4</v>
      </c>
      <c r="F19">
        <v>2</v>
      </c>
      <c r="G19">
        <v>5</v>
      </c>
      <c r="H19">
        <v>16</v>
      </c>
      <c r="I19">
        <v>22</v>
      </c>
      <c r="J19">
        <v>7</v>
      </c>
      <c r="K19">
        <v>5</v>
      </c>
      <c r="L19">
        <v>12</v>
      </c>
      <c r="M19">
        <v>15</v>
      </c>
      <c r="N19">
        <v>2</v>
      </c>
      <c r="O19">
        <v>4</v>
      </c>
      <c r="P19">
        <v>10</v>
      </c>
      <c r="Q19">
        <v>1</v>
      </c>
      <c r="Y19">
        <v>12</v>
      </c>
      <c r="Z19">
        <v>16</v>
      </c>
      <c r="AA19">
        <v>15</v>
      </c>
      <c r="AB19">
        <v>18</v>
      </c>
      <c r="AC19">
        <v>14</v>
      </c>
      <c r="AD19">
        <v>10</v>
      </c>
    </row>
    <row r="20" spans="1:30">
      <c r="A20">
        <v>18</v>
      </c>
      <c r="B20">
        <v>3</v>
      </c>
      <c r="C20">
        <v>5</v>
      </c>
      <c r="D20">
        <v>4</v>
      </c>
      <c r="E20">
        <v>9</v>
      </c>
      <c r="F20">
        <v>77</v>
      </c>
      <c r="G20">
        <v>15</v>
      </c>
      <c r="H20">
        <v>22</v>
      </c>
      <c r="I20">
        <v>15</v>
      </c>
      <c r="J20">
        <v>13</v>
      </c>
      <c r="K20">
        <v>9</v>
      </c>
      <c r="L20">
        <v>20</v>
      </c>
      <c r="M20">
        <v>2</v>
      </c>
      <c r="N20">
        <v>27</v>
      </c>
      <c r="O20">
        <v>24</v>
      </c>
      <c r="P20">
        <v>4</v>
      </c>
      <c r="Q20">
        <v>0</v>
      </c>
      <c r="Y20">
        <v>13</v>
      </c>
      <c r="Z20">
        <v>16</v>
      </c>
      <c r="AA20">
        <v>17</v>
      </c>
      <c r="AB20">
        <v>19</v>
      </c>
      <c r="AC20">
        <v>15</v>
      </c>
      <c r="AD20">
        <v>11</v>
      </c>
    </row>
    <row r="21" spans="1:30">
      <c r="A21">
        <v>19</v>
      </c>
      <c r="B21">
        <v>5</v>
      </c>
      <c r="C21">
        <v>6</v>
      </c>
      <c r="D21">
        <v>8</v>
      </c>
      <c r="E21">
        <v>13</v>
      </c>
      <c r="F21">
        <v>33</v>
      </c>
      <c r="G21">
        <v>5</v>
      </c>
      <c r="H21">
        <v>27</v>
      </c>
      <c r="I21">
        <v>34</v>
      </c>
      <c r="J21">
        <v>28</v>
      </c>
      <c r="K21">
        <v>29</v>
      </c>
      <c r="L21">
        <v>12</v>
      </c>
      <c r="M21">
        <v>0</v>
      </c>
      <c r="N21">
        <v>18</v>
      </c>
      <c r="O21">
        <v>22</v>
      </c>
      <c r="P21">
        <v>0</v>
      </c>
      <c r="Q21">
        <v>1</v>
      </c>
      <c r="Y21">
        <v>14</v>
      </c>
      <c r="Z21">
        <v>19</v>
      </c>
      <c r="AA21">
        <v>17</v>
      </c>
      <c r="AB21">
        <v>21</v>
      </c>
      <c r="AC21">
        <v>16</v>
      </c>
      <c r="AD21">
        <v>11</v>
      </c>
    </row>
    <row r="22" spans="1:30">
      <c r="A22">
        <v>20</v>
      </c>
      <c r="B22">
        <v>12</v>
      </c>
      <c r="C22">
        <v>4</v>
      </c>
      <c r="D22">
        <v>5</v>
      </c>
      <c r="E22">
        <v>7</v>
      </c>
      <c r="F22">
        <v>37</v>
      </c>
      <c r="G22">
        <v>15</v>
      </c>
      <c r="H22">
        <v>34</v>
      </c>
      <c r="I22">
        <v>10</v>
      </c>
      <c r="J22">
        <v>15</v>
      </c>
      <c r="K22">
        <v>39</v>
      </c>
      <c r="L22">
        <v>36</v>
      </c>
      <c r="M22">
        <v>28</v>
      </c>
      <c r="N22">
        <v>5</v>
      </c>
      <c r="O22">
        <v>12</v>
      </c>
      <c r="P22">
        <v>18</v>
      </c>
      <c r="Q22">
        <v>14</v>
      </c>
      <c r="Y22">
        <v>15</v>
      </c>
      <c r="Z22">
        <v>21</v>
      </c>
      <c r="AA22">
        <v>19</v>
      </c>
      <c r="AB22">
        <v>21</v>
      </c>
      <c r="AC22">
        <v>16</v>
      </c>
      <c r="AD22">
        <v>11</v>
      </c>
    </row>
    <row r="23" spans="1:30">
      <c r="A23">
        <v>21</v>
      </c>
      <c r="B23">
        <v>6</v>
      </c>
      <c r="C23">
        <v>3</v>
      </c>
      <c r="D23">
        <v>8</v>
      </c>
      <c r="E23">
        <v>2</v>
      </c>
      <c r="F23">
        <v>30</v>
      </c>
      <c r="G23">
        <v>2</v>
      </c>
      <c r="H23">
        <v>16</v>
      </c>
      <c r="I23">
        <v>51</v>
      </c>
      <c r="J23">
        <v>12</v>
      </c>
      <c r="K23">
        <v>10</v>
      </c>
      <c r="L23">
        <v>1</v>
      </c>
      <c r="M23">
        <v>0</v>
      </c>
      <c r="N23">
        <v>0</v>
      </c>
      <c r="O23">
        <v>6</v>
      </c>
      <c r="P23">
        <v>4</v>
      </c>
      <c r="Q23">
        <v>0</v>
      </c>
      <c r="Y23">
        <v>15</v>
      </c>
      <c r="Z23">
        <v>22</v>
      </c>
      <c r="AA23">
        <v>21</v>
      </c>
      <c r="AB23">
        <v>25</v>
      </c>
      <c r="AC23">
        <v>21</v>
      </c>
      <c r="AD23">
        <v>12</v>
      </c>
    </row>
    <row r="24" spans="1:30">
      <c r="A24">
        <v>22</v>
      </c>
      <c r="B24">
        <v>4</v>
      </c>
      <c r="C24">
        <v>2</v>
      </c>
      <c r="D24">
        <v>5</v>
      </c>
      <c r="E24">
        <v>3</v>
      </c>
      <c r="F24">
        <v>35</v>
      </c>
      <c r="G24">
        <v>96</v>
      </c>
      <c r="H24">
        <v>14</v>
      </c>
      <c r="I24">
        <v>23</v>
      </c>
      <c r="J24">
        <v>35</v>
      </c>
      <c r="K24">
        <v>7</v>
      </c>
      <c r="L24">
        <v>5</v>
      </c>
      <c r="M24">
        <v>2</v>
      </c>
      <c r="N24">
        <v>13</v>
      </c>
      <c r="O24">
        <v>0</v>
      </c>
      <c r="P24">
        <v>1</v>
      </c>
      <c r="Q24">
        <v>23</v>
      </c>
      <c r="Y24">
        <v>16</v>
      </c>
      <c r="Z24">
        <v>24</v>
      </c>
      <c r="AA24">
        <v>22</v>
      </c>
      <c r="AB24">
        <v>25</v>
      </c>
      <c r="AC24">
        <v>24</v>
      </c>
      <c r="AD24">
        <v>12</v>
      </c>
    </row>
    <row r="25" spans="1:30">
      <c r="A25">
        <v>23</v>
      </c>
      <c r="B25">
        <v>5</v>
      </c>
      <c r="C25">
        <v>3</v>
      </c>
      <c r="D25">
        <v>3</v>
      </c>
      <c r="E25">
        <v>18</v>
      </c>
      <c r="F25">
        <v>2</v>
      </c>
      <c r="G25">
        <v>23</v>
      </c>
      <c r="H25">
        <v>46</v>
      </c>
      <c r="I25">
        <v>1</v>
      </c>
      <c r="J25">
        <v>1</v>
      </c>
      <c r="K25">
        <v>0</v>
      </c>
      <c r="L25">
        <v>29</v>
      </c>
      <c r="M25">
        <v>12</v>
      </c>
      <c r="N25">
        <v>0</v>
      </c>
      <c r="O25">
        <v>19</v>
      </c>
      <c r="P25">
        <v>47</v>
      </c>
      <c r="Q25">
        <v>3</v>
      </c>
      <c r="Y25">
        <v>16</v>
      </c>
      <c r="Z25">
        <v>27</v>
      </c>
      <c r="AA25">
        <v>23</v>
      </c>
      <c r="AB25">
        <v>28</v>
      </c>
      <c r="AC25">
        <v>26</v>
      </c>
      <c r="AD25">
        <v>13</v>
      </c>
    </row>
    <row r="26" spans="1:30">
      <c r="A26">
        <v>24</v>
      </c>
      <c r="B26">
        <v>4</v>
      </c>
      <c r="C26">
        <v>3</v>
      </c>
      <c r="D26">
        <v>1</v>
      </c>
      <c r="E26">
        <v>13</v>
      </c>
      <c r="F26">
        <v>6</v>
      </c>
      <c r="G26">
        <v>11</v>
      </c>
      <c r="H26">
        <v>2</v>
      </c>
      <c r="I26">
        <v>25</v>
      </c>
      <c r="J26">
        <v>34</v>
      </c>
      <c r="K26">
        <v>1</v>
      </c>
      <c r="L26">
        <v>5</v>
      </c>
      <c r="M26">
        <v>20</v>
      </c>
      <c r="N26">
        <v>12</v>
      </c>
      <c r="O26">
        <v>2</v>
      </c>
      <c r="P26">
        <v>8</v>
      </c>
      <c r="Q26">
        <v>14</v>
      </c>
      <c r="Y26">
        <v>16</v>
      </c>
      <c r="Z26">
        <v>27</v>
      </c>
      <c r="AA26">
        <v>25</v>
      </c>
      <c r="AB26">
        <v>30</v>
      </c>
      <c r="AC26">
        <v>28</v>
      </c>
      <c r="AD26">
        <v>15</v>
      </c>
    </row>
    <row r="27" spans="1:30">
      <c r="A27">
        <v>25</v>
      </c>
      <c r="B27">
        <v>5</v>
      </c>
      <c r="C27">
        <v>2</v>
      </c>
      <c r="D27">
        <v>3</v>
      </c>
      <c r="E27">
        <v>14</v>
      </c>
      <c r="F27">
        <v>14</v>
      </c>
      <c r="G27">
        <v>8</v>
      </c>
      <c r="H27">
        <v>6</v>
      </c>
      <c r="I27">
        <v>29</v>
      </c>
      <c r="J27">
        <v>10</v>
      </c>
      <c r="K27">
        <v>32</v>
      </c>
      <c r="L27">
        <v>11</v>
      </c>
      <c r="M27">
        <v>4</v>
      </c>
      <c r="N27">
        <v>0</v>
      </c>
      <c r="O27">
        <v>0</v>
      </c>
      <c r="P27">
        <v>0</v>
      </c>
      <c r="Q27">
        <v>0</v>
      </c>
      <c r="Y27">
        <v>18</v>
      </c>
      <c r="Z27">
        <v>31</v>
      </c>
      <c r="AA27">
        <v>25</v>
      </c>
      <c r="AB27">
        <v>31</v>
      </c>
      <c r="AC27">
        <v>29</v>
      </c>
      <c r="AD27">
        <v>16</v>
      </c>
    </row>
    <row r="28" spans="1:30">
      <c r="A28">
        <v>26</v>
      </c>
      <c r="B28">
        <v>5</v>
      </c>
      <c r="C28">
        <v>2</v>
      </c>
      <c r="D28">
        <v>8</v>
      </c>
      <c r="E28">
        <v>7</v>
      </c>
      <c r="F28">
        <v>28</v>
      </c>
      <c r="G28">
        <v>16</v>
      </c>
      <c r="H28">
        <v>19</v>
      </c>
      <c r="I28">
        <v>3</v>
      </c>
      <c r="J28">
        <v>30</v>
      </c>
      <c r="K28">
        <v>2</v>
      </c>
      <c r="L28">
        <v>1</v>
      </c>
      <c r="M28">
        <v>4</v>
      </c>
      <c r="N28">
        <v>9</v>
      </c>
      <c r="O28">
        <v>1</v>
      </c>
      <c r="P28">
        <v>7</v>
      </c>
      <c r="Q28">
        <v>0</v>
      </c>
      <c r="Y28">
        <v>21</v>
      </c>
      <c r="Z28">
        <v>34</v>
      </c>
      <c r="AA28">
        <v>28</v>
      </c>
      <c r="AB28">
        <v>33</v>
      </c>
      <c r="AC28">
        <v>31</v>
      </c>
      <c r="AD28">
        <v>16</v>
      </c>
    </row>
    <row r="29" spans="1:30">
      <c r="A29">
        <v>27</v>
      </c>
      <c r="B29">
        <v>3</v>
      </c>
      <c r="C29">
        <v>3</v>
      </c>
      <c r="D29">
        <v>17</v>
      </c>
      <c r="E29">
        <v>23</v>
      </c>
      <c r="F29">
        <v>14</v>
      </c>
      <c r="G29">
        <v>12</v>
      </c>
      <c r="H29">
        <v>2</v>
      </c>
      <c r="I29">
        <v>6</v>
      </c>
      <c r="J29">
        <v>35</v>
      </c>
      <c r="K29">
        <v>9</v>
      </c>
      <c r="L29">
        <v>4</v>
      </c>
      <c r="M29">
        <v>9</v>
      </c>
      <c r="N29">
        <v>12</v>
      </c>
      <c r="O29">
        <v>0</v>
      </c>
      <c r="P29">
        <v>0</v>
      </c>
      <c r="Q29">
        <v>9</v>
      </c>
      <c r="Y29">
        <v>23</v>
      </c>
      <c r="Z29">
        <v>46</v>
      </c>
      <c r="AA29">
        <v>29</v>
      </c>
      <c r="AB29">
        <v>34</v>
      </c>
      <c r="AC29">
        <v>32</v>
      </c>
      <c r="AD29">
        <v>17</v>
      </c>
    </row>
    <row r="30" spans="1:30">
      <c r="A30">
        <v>28</v>
      </c>
      <c r="B30">
        <v>3</v>
      </c>
      <c r="C30">
        <v>1</v>
      </c>
      <c r="D30">
        <v>3</v>
      </c>
      <c r="E30">
        <v>5</v>
      </c>
      <c r="F30">
        <v>10</v>
      </c>
      <c r="G30">
        <v>13</v>
      </c>
      <c r="H30">
        <v>46</v>
      </c>
      <c r="I30">
        <v>4</v>
      </c>
      <c r="J30">
        <v>5</v>
      </c>
      <c r="K30">
        <v>15</v>
      </c>
      <c r="L30">
        <v>11</v>
      </c>
      <c r="M30">
        <v>6</v>
      </c>
      <c r="N30">
        <v>5</v>
      </c>
      <c r="O30">
        <v>2</v>
      </c>
      <c r="P30">
        <v>15</v>
      </c>
      <c r="Q30">
        <v>5</v>
      </c>
      <c r="Y30">
        <v>28</v>
      </c>
      <c r="Z30">
        <v>46</v>
      </c>
      <c r="AA30">
        <v>31</v>
      </c>
      <c r="AB30">
        <v>35</v>
      </c>
      <c r="AC30">
        <v>32</v>
      </c>
      <c r="AD30">
        <v>20</v>
      </c>
    </row>
    <row r="31" spans="1:30">
      <c r="A31">
        <v>29</v>
      </c>
      <c r="B31">
        <v>3</v>
      </c>
      <c r="C31">
        <v>4</v>
      </c>
      <c r="D31">
        <v>2</v>
      </c>
      <c r="E31">
        <v>2</v>
      </c>
      <c r="F31">
        <v>6</v>
      </c>
      <c r="G31">
        <v>10</v>
      </c>
      <c r="H31">
        <v>16</v>
      </c>
      <c r="I31">
        <v>21</v>
      </c>
      <c r="J31">
        <v>21</v>
      </c>
      <c r="K31">
        <v>16</v>
      </c>
      <c r="L31">
        <v>6</v>
      </c>
      <c r="M31">
        <v>21</v>
      </c>
      <c r="N31">
        <v>1</v>
      </c>
      <c r="O31">
        <v>12</v>
      </c>
      <c r="P31">
        <v>5</v>
      </c>
      <c r="Q31">
        <v>0</v>
      </c>
      <c r="Y31">
        <v>32</v>
      </c>
      <c r="Z31">
        <v>47</v>
      </c>
      <c r="AA31">
        <v>34</v>
      </c>
      <c r="AB31">
        <v>35</v>
      </c>
      <c r="AC31">
        <v>35</v>
      </c>
      <c r="AD31">
        <v>27</v>
      </c>
    </row>
    <row r="32" spans="1:30">
      <c r="A32">
        <v>30</v>
      </c>
      <c r="B32">
        <v>3</v>
      </c>
      <c r="C32">
        <v>3</v>
      </c>
      <c r="D32">
        <v>7</v>
      </c>
      <c r="E32">
        <v>32</v>
      </c>
      <c r="F32">
        <v>22</v>
      </c>
      <c r="G32">
        <v>11</v>
      </c>
      <c r="H32">
        <v>10</v>
      </c>
      <c r="I32">
        <v>28</v>
      </c>
      <c r="J32">
        <v>31</v>
      </c>
      <c r="K32">
        <v>4</v>
      </c>
      <c r="L32">
        <v>8</v>
      </c>
      <c r="M32">
        <v>19</v>
      </c>
      <c r="N32">
        <v>2</v>
      </c>
      <c r="O32">
        <v>4</v>
      </c>
      <c r="P32">
        <v>19</v>
      </c>
      <c r="Q32">
        <v>0</v>
      </c>
      <c r="Y32">
        <v>38</v>
      </c>
      <c r="Z32">
        <v>51</v>
      </c>
      <c r="AA32">
        <v>41</v>
      </c>
      <c r="AB32">
        <v>36</v>
      </c>
      <c r="AC32">
        <v>39</v>
      </c>
      <c r="AD32">
        <v>29</v>
      </c>
    </row>
    <row r="33" spans="1:30">
      <c r="A33">
        <v>31</v>
      </c>
      <c r="B33">
        <v>5</v>
      </c>
      <c r="C33">
        <v>5</v>
      </c>
      <c r="D33">
        <v>1</v>
      </c>
      <c r="E33">
        <v>2</v>
      </c>
      <c r="F33">
        <v>26</v>
      </c>
      <c r="G33">
        <v>5</v>
      </c>
      <c r="H33">
        <v>31</v>
      </c>
      <c r="I33">
        <v>15</v>
      </c>
      <c r="J33">
        <v>9</v>
      </c>
      <c r="K33">
        <v>3</v>
      </c>
      <c r="L33">
        <v>16</v>
      </c>
      <c r="M33">
        <v>0</v>
      </c>
      <c r="N33">
        <v>3</v>
      </c>
      <c r="O33">
        <v>6</v>
      </c>
      <c r="P33">
        <v>1</v>
      </c>
      <c r="Q33">
        <v>11</v>
      </c>
      <c r="Y33">
        <v>54</v>
      </c>
      <c r="Z33">
        <v>61</v>
      </c>
      <c r="AA33">
        <v>49</v>
      </c>
      <c r="AB33">
        <v>42</v>
      </c>
      <c r="AC33">
        <v>42</v>
      </c>
      <c r="AD33">
        <v>31</v>
      </c>
    </row>
    <row r="34" spans="1:30">
      <c r="A34">
        <v>32</v>
      </c>
      <c r="B34">
        <v>5</v>
      </c>
      <c r="C34">
        <v>2</v>
      </c>
      <c r="D34">
        <v>4</v>
      </c>
      <c r="E34">
        <v>4</v>
      </c>
      <c r="F34">
        <v>4</v>
      </c>
      <c r="G34">
        <v>3</v>
      </c>
      <c r="H34">
        <v>5</v>
      </c>
      <c r="I34">
        <v>31</v>
      </c>
      <c r="J34">
        <v>10</v>
      </c>
      <c r="K34">
        <v>0</v>
      </c>
      <c r="L34">
        <v>2</v>
      </c>
      <c r="M34">
        <v>5</v>
      </c>
      <c r="N34">
        <v>3</v>
      </c>
      <c r="O34">
        <v>0</v>
      </c>
      <c r="P34">
        <v>0</v>
      </c>
      <c r="Q34">
        <v>15</v>
      </c>
      <c r="Y34">
        <v>96</v>
      </c>
      <c r="Z34">
        <v>83</v>
      </c>
      <c r="AA34">
        <v>51</v>
      </c>
      <c r="AB34">
        <v>49</v>
      </c>
      <c r="AC34">
        <v>48</v>
      </c>
      <c r="AD34">
        <v>36</v>
      </c>
    </row>
    <row r="35" spans="1:30">
      <c r="B35">
        <f t="shared" ref="B35:C35" si="0">AVERAGE(B3:B34)</f>
        <v>4.34375</v>
      </c>
      <c r="C35">
        <f t="shared" si="0"/>
        <v>4.34375</v>
      </c>
      <c r="D35">
        <f t="shared" ref="D35:G35" si="1">AVERAGE(D3:D34)</f>
        <v>6.78125</v>
      </c>
      <c r="E35">
        <f t="shared" si="1"/>
        <v>12.75</v>
      </c>
      <c r="F35">
        <f t="shared" si="1"/>
        <v>20.125</v>
      </c>
      <c r="G35">
        <f t="shared" si="1"/>
        <v>16.8125</v>
      </c>
      <c r="H35">
        <f>AVERAGE(H3:H34)</f>
        <v>21.4375</v>
      </c>
      <c r="I35">
        <f t="shared" ref="I35:R35" si="2">AVERAGE(I3:I34)</f>
        <v>17.25</v>
      </c>
      <c r="J35">
        <f t="shared" si="2"/>
        <v>19.59375</v>
      </c>
      <c r="K35">
        <f t="shared" si="2"/>
        <v>17.15625</v>
      </c>
      <c r="L35">
        <f t="shared" si="2"/>
        <v>10.8125</v>
      </c>
      <c r="M35">
        <f t="shared" si="2"/>
        <v>11.0625</v>
      </c>
      <c r="N35">
        <f t="shared" si="2"/>
        <v>9.28125</v>
      </c>
      <c r="O35">
        <f t="shared" ref="O35" si="3">AVERAGE(O3:O34)</f>
        <v>6.90625</v>
      </c>
      <c r="P35">
        <f t="shared" si="2"/>
        <v>8.90625</v>
      </c>
      <c r="Q35">
        <f t="shared" si="2"/>
        <v>6.125</v>
      </c>
      <c r="R35">
        <f t="shared" si="2"/>
        <v>6.375</v>
      </c>
      <c r="T35">
        <f>SUM(D35:M35)</f>
        <v>153.78125</v>
      </c>
      <c r="X35" s="16" t="s">
        <v>16</v>
      </c>
      <c r="Y35">
        <f>COUNT(Y3:Y9)</f>
        <v>7</v>
      </c>
      <c r="Z35">
        <f>COUNT(Z3:Z9)</f>
        <v>7</v>
      </c>
      <c r="AA35">
        <f>COUNT(AA3:AA8)</f>
        <v>6</v>
      </c>
      <c r="AB35">
        <f>COUNT(AB3:AB6)</f>
        <v>4</v>
      </c>
      <c r="AC35">
        <f>COUNT(AC3:AC10)</f>
        <v>8</v>
      </c>
      <c r="AD35">
        <f>COUNT(AD3:AD16)</f>
        <v>14</v>
      </c>
    </row>
    <row r="36" spans="1:30">
      <c r="B36">
        <f>STDEV(B3:B34)/SQRT(COUNT(B3:B18))</f>
        <v>0.51434806449680825</v>
      </c>
      <c r="C36">
        <f>STDEV(C3:C34)/SQRT(COUNT(C3:C18))</f>
        <v>0.89038179333543521</v>
      </c>
      <c r="D36">
        <f>STDEV(D3:D34)/SQRT(COUNT(D3:D18))</f>
        <v>1.1976697384585431</v>
      </c>
      <c r="E36">
        <f t="shared" ref="E36:R36" si="4">STDEV(E3:E34)/SQRT(COUNT(E3:E18))</f>
        <v>3.5281129014192971</v>
      </c>
      <c r="F36">
        <f t="shared" si="4"/>
        <v>4.8354996072394529</v>
      </c>
      <c r="G36">
        <f t="shared" si="4"/>
        <v>4.5611603203288018</v>
      </c>
      <c r="H36">
        <f t="shared" si="4"/>
        <v>4.9256314070446354</v>
      </c>
      <c r="I36">
        <f t="shared" si="4"/>
        <v>3.3875959693583448</v>
      </c>
      <c r="J36">
        <f t="shared" si="4"/>
        <v>3.1430025806184432</v>
      </c>
      <c r="K36">
        <f t="shared" si="4"/>
        <v>3.3703578439043742</v>
      </c>
      <c r="L36">
        <f t="shared" si="4"/>
        <v>2.3404210229179125</v>
      </c>
      <c r="M36">
        <f t="shared" si="4"/>
        <v>2.7671295684132859</v>
      </c>
      <c r="N36">
        <f t="shared" si="4"/>
        <v>2.2756019896551729</v>
      </c>
      <c r="O36">
        <f t="shared" ref="O36" si="5">STDEV(O3:O34)/SQRT(COUNT(O3:O18))</f>
        <v>1.7544406504546519</v>
      </c>
      <c r="P36">
        <f t="shared" si="4"/>
        <v>2.911572692610445</v>
      </c>
      <c r="Q36">
        <f t="shared" si="4"/>
        <v>1.9957111271989758</v>
      </c>
      <c r="R36">
        <f t="shared" si="4"/>
        <v>2.7399437342154793</v>
      </c>
      <c r="X36" s="16" t="s">
        <v>39</v>
      </c>
      <c r="Y36">
        <f>COUNT(Y10:Y15)</f>
        <v>6</v>
      </c>
      <c r="Z36">
        <f>COUNT(Z10:Z13)</f>
        <v>4</v>
      </c>
      <c r="AA36">
        <f>COUNT(AA9:AA15)</f>
        <v>7</v>
      </c>
      <c r="AB36">
        <f>COUNT(AB7:AB13)</f>
        <v>7</v>
      </c>
      <c r="AC36">
        <f>COUNT(AC11:AC15)</f>
        <v>5</v>
      </c>
      <c r="AD36">
        <f>COUNT(AD17:AD19)</f>
        <v>3</v>
      </c>
    </row>
    <row r="37" spans="1:30">
      <c r="X37" s="16" t="s">
        <v>40</v>
      </c>
      <c r="Y37">
        <f>COUNT(Y16:Y23)</f>
        <v>8</v>
      </c>
      <c r="Z37">
        <f>COUNT(Z14:Z17)</f>
        <v>4</v>
      </c>
      <c r="AA37">
        <f>COUNT(AA16:AA19)</f>
        <v>4</v>
      </c>
      <c r="AB37">
        <f>COUNT(AB14:AB18)</f>
        <v>5</v>
      </c>
      <c r="AC37">
        <f>COUNT(AC16:AC20)</f>
        <v>5</v>
      </c>
      <c r="AD37">
        <f>COUNT(AD20:AD26)</f>
        <v>7</v>
      </c>
    </row>
    <row r="38" spans="1:30">
      <c r="X38" s="16" t="s">
        <v>17</v>
      </c>
      <c r="Y38">
        <f>COUNT(Y24:Y27)</f>
        <v>4</v>
      </c>
      <c r="Z38">
        <f>COUNT(Z18:Z21)</f>
        <v>4</v>
      </c>
      <c r="AA38">
        <f>COUNT(AA20:AA22)</f>
        <v>3</v>
      </c>
      <c r="AB38">
        <f>COUNT(AB19:AB20)</f>
        <v>2</v>
      </c>
      <c r="AC38">
        <f>COUNT(AC21:AC22)</f>
        <v>2</v>
      </c>
      <c r="AD38">
        <f>COUNT(AD27:AD30)</f>
        <v>4</v>
      </c>
    </row>
    <row r="39" spans="1:30">
      <c r="B39" s="10"/>
      <c r="D39" s="10">
        <v>8</v>
      </c>
      <c r="E39" s="10">
        <v>10</v>
      </c>
      <c r="F39" s="10">
        <v>12</v>
      </c>
      <c r="G39" s="10">
        <v>14</v>
      </c>
      <c r="H39" s="10">
        <v>16</v>
      </c>
      <c r="I39" s="10">
        <v>18</v>
      </c>
      <c r="J39" s="10">
        <v>20</v>
      </c>
      <c r="K39" s="10">
        <v>22</v>
      </c>
      <c r="L39" s="10">
        <v>24</v>
      </c>
      <c r="M39" s="10">
        <v>26</v>
      </c>
      <c r="N39" s="10">
        <v>28</v>
      </c>
      <c r="O39" s="10">
        <v>30</v>
      </c>
      <c r="X39" s="16" t="s">
        <v>18</v>
      </c>
      <c r="Y39">
        <f>COUNT(Y28:Y34)</f>
        <v>7</v>
      </c>
      <c r="Z39">
        <f>COUNT(Z22:Z34)</f>
        <v>13</v>
      </c>
      <c r="AA39">
        <f>COUNT(AA23:AA34)</f>
        <v>12</v>
      </c>
      <c r="AB39">
        <f>COUNT(AB21:AB34)</f>
        <v>14</v>
      </c>
      <c r="AC39">
        <f>COUNT(AC23:AC34)</f>
        <v>12</v>
      </c>
      <c r="AD39">
        <f>COUNT(AD31:AD34)</f>
        <v>4</v>
      </c>
    </row>
    <row r="40" spans="1:30">
      <c r="A40" t="s">
        <v>33</v>
      </c>
      <c r="X40" s="16" t="s">
        <v>16</v>
      </c>
      <c r="Y40">
        <f>Y35/COUNT(Y$3:Y$34)</f>
        <v>0.21875</v>
      </c>
      <c r="Z40">
        <f t="shared" ref="Z40:AD40" si="6">Z35/COUNT(Z$3:Z$34)</f>
        <v>0.21875</v>
      </c>
      <c r="AA40">
        <f t="shared" si="6"/>
        <v>0.1875</v>
      </c>
      <c r="AB40">
        <f t="shared" si="6"/>
        <v>0.125</v>
      </c>
      <c r="AC40">
        <f t="shared" si="6"/>
        <v>0.25</v>
      </c>
      <c r="AD40">
        <f t="shared" si="6"/>
        <v>0.4375</v>
      </c>
    </row>
    <row r="41" spans="1:30">
      <c r="A41">
        <f>(18.5*10^3)/(8.6173*10^-5)</f>
        <v>214684413.91155002</v>
      </c>
      <c r="I41" t="s">
        <v>38</v>
      </c>
      <c r="X41" s="16" t="s">
        <v>39</v>
      </c>
      <c r="Y41">
        <f t="shared" ref="Y41:AD44" si="7">Y36/COUNT(Y$3:Y$34)</f>
        <v>0.1875</v>
      </c>
      <c r="Z41">
        <f t="shared" si="7"/>
        <v>0.125</v>
      </c>
      <c r="AA41">
        <f t="shared" si="7"/>
        <v>0.21875</v>
      </c>
      <c r="AB41">
        <f t="shared" si="7"/>
        <v>0.21875</v>
      </c>
      <c r="AC41">
        <f t="shared" si="7"/>
        <v>0.15625</v>
      </c>
      <c r="AD41">
        <f t="shared" si="7"/>
        <v>9.375E-2</v>
      </c>
    </row>
    <row r="42" spans="1:30">
      <c r="H42">
        <f>(736.98047-349.67238)+(302.73149 -302.72886)</f>
        <v>387.31072</v>
      </c>
      <c r="I42">
        <f>(671.3-399)</f>
        <v>272.29999999999995</v>
      </c>
      <c r="J42">
        <f>(594.4-507.5)+(400.4-387.3)</f>
        <v>99.999999999999943</v>
      </c>
      <c r="X42" s="16" t="s">
        <v>40</v>
      </c>
      <c r="Y42">
        <f t="shared" si="7"/>
        <v>0.25</v>
      </c>
      <c r="Z42">
        <f t="shared" si="7"/>
        <v>0.125</v>
      </c>
      <c r="AA42">
        <f t="shared" si="7"/>
        <v>0.125</v>
      </c>
      <c r="AB42">
        <f t="shared" si="7"/>
        <v>0.15625</v>
      </c>
      <c r="AC42">
        <f t="shared" si="7"/>
        <v>0.15625</v>
      </c>
      <c r="AD42">
        <f t="shared" si="7"/>
        <v>0.21875</v>
      </c>
    </row>
    <row r="43" spans="1:30">
      <c r="H43">
        <f>(737.67329-346.46397)+(313.26911-312.93873)</f>
        <v>391.53969999999993</v>
      </c>
      <c r="I43">
        <f>(735.2-402.6)+6.2</f>
        <v>338.8</v>
      </c>
      <c r="J43">
        <f>(668.6-410.9)+5.4</f>
        <v>263.10000000000002</v>
      </c>
      <c r="X43" s="16" t="s">
        <v>17</v>
      </c>
      <c r="Y43">
        <f t="shared" si="7"/>
        <v>0.125</v>
      </c>
      <c r="Z43">
        <f t="shared" si="7"/>
        <v>0.125</v>
      </c>
      <c r="AA43">
        <f t="shared" si="7"/>
        <v>9.375E-2</v>
      </c>
      <c r="AB43">
        <f t="shared" si="7"/>
        <v>6.25E-2</v>
      </c>
      <c r="AC43">
        <f t="shared" si="7"/>
        <v>6.25E-2</v>
      </c>
      <c r="AD43">
        <f t="shared" si="7"/>
        <v>0.125</v>
      </c>
    </row>
    <row r="44" spans="1:30">
      <c r="H44">
        <f>(721.22926 -465.77739)+(367.02594-356.62376)</f>
        <v>265.85404999999992</v>
      </c>
      <c r="I44">
        <f>(714.7-408.9)</f>
        <v>305.80000000000007</v>
      </c>
      <c r="J44">
        <f>(739.2-347.5)</f>
        <v>391.70000000000005</v>
      </c>
      <c r="X44" s="16" t="s">
        <v>18</v>
      </c>
      <c r="Y44">
        <f t="shared" si="7"/>
        <v>0.21875</v>
      </c>
      <c r="Z44">
        <f t="shared" si="7"/>
        <v>0.40625</v>
      </c>
      <c r="AA44">
        <f t="shared" si="7"/>
        <v>0.375</v>
      </c>
      <c r="AB44">
        <f t="shared" si="7"/>
        <v>0.4375</v>
      </c>
      <c r="AC44">
        <f t="shared" si="7"/>
        <v>0.375</v>
      </c>
      <c r="AD44">
        <f t="shared" si="7"/>
        <v>0.125</v>
      </c>
    </row>
    <row r="45" spans="1:30">
      <c r="H45">
        <f>(700.29021-588.5967)+(492.48602-407.69347)+(359.39444-351.17528)</f>
        <v>204.70521999999994</v>
      </c>
      <c r="I45">
        <f>(581.5-504.5)+(418.4-394.6)</f>
        <v>100.79999999999995</v>
      </c>
      <c r="J45">
        <f>(507.1-468.6)+(402.5-393.6)</f>
        <v>47.399999999999977</v>
      </c>
    </row>
    <row r="46" spans="1:30">
      <c r="H46">
        <f>(731.65783-432.51571)+(377.43925-329.91165)</f>
        <v>346.66971999999998</v>
      </c>
      <c r="I46">
        <f>(726.8-402.1)+4.9</f>
        <v>329.59999999999991</v>
      </c>
      <c r="J46">
        <f>(645.5-591.3)+(390.8-387.8)</f>
        <v>57.200000000000045</v>
      </c>
    </row>
    <row r="47" spans="1:30">
      <c r="H47">
        <f>(735.26627-350.27283)</f>
        <v>384.99343999999996</v>
      </c>
      <c r="I47">
        <f>(732.3-365.6)+0.3</f>
        <v>366.99999999999994</v>
      </c>
      <c r="J47">
        <f>(698-535.5)+(394.6-384.6)</f>
        <v>172.5</v>
      </c>
    </row>
    <row r="48" spans="1:30">
      <c r="H48">
        <f>(455.7974-432.76792)+(354.40054-352.71028)</f>
        <v>24.719739999999945</v>
      </c>
      <c r="I48">
        <f>68+12.3</f>
        <v>80.3</v>
      </c>
      <c r="J48">
        <f>(687.2-587.4)+(407.7-395.5)</f>
        <v>112.00000000000006</v>
      </c>
    </row>
    <row r="49" spans="4:15">
      <c r="H49">
        <f>(526.88387-437.51057)+(371.51911-362.77227)</f>
        <v>98.120140000000049</v>
      </c>
      <c r="I49">
        <f>(718.6-493.6)+(404.4-368.2)+1.2</f>
        <v>262.39999999999998</v>
      </c>
      <c r="J49">
        <f>(713.1-442.8)</f>
        <v>270.3</v>
      </c>
    </row>
    <row r="50" spans="4:15">
      <c r="I50">
        <f>(731.8-368)+2.3</f>
        <v>366.09999999999997</v>
      </c>
    </row>
    <row r="51" spans="4:15">
      <c r="I51">
        <f>(643.9-612)+(491.1-423.9)+2.4</f>
        <v>101.50000000000003</v>
      </c>
    </row>
    <row r="52" spans="4:15">
      <c r="I52">
        <f>(699.2-556.7)+(448.5-410.6)+0.5</f>
        <v>180.89999999999998</v>
      </c>
    </row>
    <row r="53" spans="4:15">
      <c r="I53">
        <f>(736.3-337.5)</f>
        <v>398.79999999999995</v>
      </c>
    </row>
    <row r="54" spans="4:15">
      <c r="I54">
        <f>(734.6-380.9)+(339.1-324.4)</f>
        <v>368.40000000000009</v>
      </c>
    </row>
    <row r="55" spans="4:15">
      <c r="I55">
        <f>(714.4-475.8)+(401.4-365)+0.3</f>
        <v>275.29999999999995</v>
      </c>
    </row>
    <row r="56" spans="4:15">
      <c r="I56">
        <f>(727.1-394.9)+1.3</f>
        <v>333.50000000000006</v>
      </c>
    </row>
    <row r="57" spans="4:15">
      <c r="I57">
        <f>(685.5-568.3)+26.4</f>
        <v>143.60000000000005</v>
      </c>
    </row>
    <row r="58" spans="4:15">
      <c r="D58" t="e">
        <f t="shared" ref="D58:O58" si="8">AVERAGE(D42:D57)</f>
        <v>#DIV/0!</v>
      </c>
      <c r="E58" t="e">
        <f t="shared" si="8"/>
        <v>#DIV/0!</v>
      </c>
      <c r="F58" t="e">
        <f t="shared" si="8"/>
        <v>#DIV/0!</v>
      </c>
      <c r="G58" t="e">
        <f t="shared" si="8"/>
        <v>#DIV/0!</v>
      </c>
      <c r="H58">
        <f t="shared" si="8"/>
        <v>262.98909125</v>
      </c>
      <c r="I58">
        <f t="shared" si="8"/>
        <v>264.06874999999997</v>
      </c>
      <c r="J58">
        <f t="shared" si="8"/>
        <v>176.77500000000001</v>
      </c>
      <c r="K58" t="e">
        <f t="shared" si="8"/>
        <v>#DIV/0!</v>
      </c>
      <c r="L58" t="e">
        <f t="shared" si="8"/>
        <v>#DIV/0!</v>
      </c>
      <c r="M58" t="e">
        <f t="shared" si="8"/>
        <v>#DIV/0!</v>
      </c>
      <c r="N58" t="e">
        <f t="shared" si="8"/>
        <v>#DIV/0!</v>
      </c>
      <c r="O58" t="e">
        <f t="shared" si="8"/>
        <v>#DIV/0!</v>
      </c>
    </row>
    <row r="59" spans="4:15">
      <c r="D59" t="e">
        <f t="shared" ref="D59:G59" si="9">STDEV(D42:D57)</f>
        <v>#DIV/0!</v>
      </c>
      <c r="E59" t="e">
        <f t="shared" si="9"/>
        <v>#DIV/0!</v>
      </c>
      <c r="F59" t="e">
        <f t="shared" si="9"/>
        <v>#DIV/0!</v>
      </c>
      <c r="G59" t="e">
        <f t="shared" si="9"/>
        <v>#DIV/0!</v>
      </c>
      <c r="H59">
        <f>STDEV(H42:H57)</f>
        <v>142.04018927998189</v>
      </c>
      <c r="I59">
        <f t="shared" ref="I59:O59" si="10">STDEV(I42:I57)</f>
        <v>108.00207231808108</v>
      </c>
      <c r="J59">
        <f t="shared" si="10"/>
        <v>121.61780590968466</v>
      </c>
      <c r="K59" t="e">
        <f t="shared" si="10"/>
        <v>#DIV/0!</v>
      </c>
      <c r="L59" t="e">
        <f t="shared" si="10"/>
        <v>#DIV/0!</v>
      </c>
      <c r="M59" t="e">
        <f t="shared" si="10"/>
        <v>#DIV/0!</v>
      </c>
      <c r="N59" t="e">
        <f t="shared" si="10"/>
        <v>#DIV/0!</v>
      </c>
      <c r="O59" t="e">
        <f t="shared" si="10"/>
        <v>#DIV/0!</v>
      </c>
    </row>
    <row r="61" spans="4:15">
      <c r="I61" t="s">
        <v>36</v>
      </c>
    </row>
    <row r="62" spans="4:15">
      <c r="D62">
        <v>343.87939</v>
      </c>
      <c r="E62">
        <v>319.48048999999997</v>
      </c>
      <c r="F62">
        <v>326.89429999999999</v>
      </c>
      <c r="G62">
        <v>338.21893</v>
      </c>
      <c r="H62">
        <v>349.67237999999998</v>
      </c>
      <c r="I62">
        <v>398.95429000000001</v>
      </c>
      <c r="J62">
        <v>507.47550000000001</v>
      </c>
      <c r="K62">
        <v>425.44456000000002</v>
      </c>
      <c r="L62">
        <v>440.22080999999997</v>
      </c>
      <c r="M62">
        <v>468.61306999999999</v>
      </c>
      <c r="N62">
        <v>464.20405</v>
      </c>
      <c r="O62">
        <v>466.11939999999998</v>
      </c>
    </row>
    <row r="63" spans="4:15">
      <c r="D63">
        <v>314.85018000000002</v>
      </c>
      <c r="E63">
        <v>332.95688999999999</v>
      </c>
      <c r="F63">
        <v>322.91314</v>
      </c>
      <c r="G63">
        <v>394.65177</v>
      </c>
      <c r="H63">
        <v>346.46397000000002</v>
      </c>
      <c r="I63">
        <v>402.57377000000002</v>
      </c>
      <c r="J63">
        <v>410.85622000000001</v>
      </c>
      <c r="K63">
        <v>431.82834000000003</v>
      </c>
      <c r="L63">
        <v>406.07603</v>
      </c>
      <c r="N63">
        <v>487.96292</v>
      </c>
      <c r="O63">
        <v>408.95650000000001</v>
      </c>
    </row>
    <row r="64" spans="4:15">
      <c r="D64">
        <v>481.43776000000003</v>
      </c>
      <c r="E64">
        <v>320.06571000000002</v>
      </c>
      <c r="F64">
        <v>335.09192999999999</v>
      </c>
      <c r="G64">
        <v>586.48904000000005</v>
      </c>
      <c r="H64">
        <v>465.77739000000003</v>
      </c>
      <c r="I64">
        <v>408.85428000000002</v>
      </c>
      <c r="J64">
        <v>347.46084000000002</v>
      </c>
      <c r="K64">
        <v>468.10514000000001</v>
      </c>
      <c r="M64">
        <v>434.58980000000003</v>
      </c>
      <c r="N64">
        <v>475.29437000000001</v>
      </c>
      <c r="O64">
        <v>368.93520999999998</v>
      </c>
    </row>
    <row r="65" spans="4:15">
      <c r="D65">
        <v>306.56536</v>
      </c>
      <c r="E65">
        <v>330.59771999999998</v>
      </c>
      <c r="F65">
        <v>323.74196999999998</v>
      </c>
      <c r="G65">
        <v>487.02472</v>
      </c>
      <c r="H65">
        <v>588.59670000000006</v>
      </c>
      <c r="I65">
        <v>504.54334999999998</v>
      </c>
      <c r="J65">
        <v>468.63979999999998</v>
      </c>
      <c r="K65">
        <v>357.78183999999999</v>
      </c>
      <c r="L65">
        <v>433.33262000000002</v>
      </c>
      <c r="M65">
        <v>395.85547000000003</v>
      </c>
      <c r="N65">
        <v>480.31475</v>
      </c>
      <c r="O65">
        <v>381.09474</v>
      </c>
    </row>
    <row r="66" spans="4:15">
      <c r="D66">
        <v>416.12912999999998</v>
      </c>
      <c r="E66">
        <v>321.16196000000002</v>
      </c>
      <c r="F66">
        <v>460.26263</v>
      </c>
      <c r="G66">
        <v>407.28561999999999</v>
      </c>
      <c r="H66">
        <v>432.51571000000001</v>
      </c>
      <c r="I66">
        <v>402.09082000000001</v>
      </c>
      <c r="J66">
        <v>591.31088</v>
      </c>
      <c r="K66">
        <v>451.05349000000001</v>
      </c>
      <c r="L66">
        <v>470.77</v>
      </c>
      <c r="M66">
        <v>468.88157999999999</v>
      </c>
      <c r="N66">
        <v>501.60547000000003</v>
      </c>
      <c r="O66">
        <v>367.57578000000001</v>
      </c>
    </row>
    <row r="67" spans="4:15">
      <c r="D67">
        <v>318.55894000000001</v>
      </c>
      <c r="E67">
        <v>318.89524999999998</v>
      </c>
      <c r="F67">
        <v>411.54905000000002</v>
      </c>
      <c r="G67">
        <v>321.91640000000001</v>
      </c>
      <c r="H67">
        <v>350.27283</v>
      </c>
      <c r="I67">
        <v>365.57632000000001</v>
      </c>
      <c r="J67">
        <v>535.49614999999994</v>
      </c>
      <c r="K67">
        <v>392.26517999999999</v>
      </c>
      <c r="L67">
        <v>409.27136999999999</v>
      </c>
      <c r="M67">
        <v>331.95863000000003</v>
      </c>
      <c r="N67">
        <v>304.18883</v>
      </c>
      <c r="O67">
        <v>362.74248</v>
      </c>
    </row>
    <row r="68" spans="4:15">
      <c r="D68">
        <v>389.80324000000002</v>
      </c>
      <c r="E68">
        <v>432.92045000000002</v>
      </c>
      <c r="F68">
        <v>411.46523999999999</v>
      </c>
      <c r="G68">
        <v>398.19144</v>
      </c>
      <c r="H68">
        <v>432.76792</v>
      </c>
      <c r="I68">
        <v>601.30633</v>
      </c>
      <c r="J68">
        <v>587.36672999999996</v>
      </c>
      <c r="K68">
        <v>496.45611000000002</v>
      </c>
      <c r="L68">
        <v>431.46821</v>
      </c>
      <c r="M68">
        <v>458.41750999999999</v>
      </c>
      <c r="N68">
        <v>430.56429000000003</v>
      </c>
      <c r="O68">
        <v>452.22257000000002</v>
      </c>
    </row>
    <row r="69" spans="4:15">
      <c r="D69">
        <v>322.16453000000001</v>
      </c>
      <c r="E69">
        <v>440.06448999999998</v>
      </c>
      <c r="F69">
        <v>413.25024000000002</v>
      </c>
      <c r="G69">
        <v>446.14936999999998</v>
      </c>
      <c r="H69">
        <v>437.51056999999997</v>
      </c>
      <c r="I69">
        <v>493.60993000000002</v>
      </c>
      <c r="J69">
        <v>442.75128000000001</v>
      </c>
      <c r="K69">
        <v>406.6558</v>
      </c>
      <c r="L69">
        <v>477.67612000000003</v>
      </c>
      <c r="M69">
        <v>469.77987000000002</v>
      </c>
      <c r="N69">
        <v>498.34802000000002</v>
      </c>
      <c r="O69">
        <v>409.39812999999998</v>
      </c>
    </row>
    <row r="71" spans="4:15">
      <c r="D71">
        <f t="shared" ref="D71:H71" si="11">AVERAGE(D62:D69)</f>
        <v>361.67356625000002</v>
      </c>
      <c r="E71">
        <f t="shared" si="11"/>
        <v>352.01787000000002</v>
      </c>
      <c r="F71">
        <f t="shared" si="11"/>
        <v>375.64606249999997</v>
      </c>
      <c r="G71">
        <f t="shared" si="11"/>
        <v>422.49091125000001</v>
      </c>
      <c r="H71">
        <f t="shared" si="11"/>
        <v>425.44718374999997</v>
      </c>
      <c r="I71">
        <f>AVERAGE(I62:I69)</f>
        <v>447.18863625</v>
      </c>
      <c r="J71">
        <f t="shared" ref="J71:O71" si="12">AVERAGE(J62:J69)</f>
        <v>486.41967499999993</v>
      </c>
      <c r="K71">
        <f t="shared" si="12"/>
        <v>428.69880750000004</v>
      </c>
      <c r="L71">
        <f t="shared" si="12"/>
        <v>438.40216571428573</v>
      </c>
      <c r="M71">
        <f t="shared" si="12"/>
        <v>432.58513285714287</v>
      </c>
      <c r="N71">
        <f t="shared" si="12"/>
        <v>455.3103375</v>
      </c>
      <c r="O71">
        <f t="shared" si="12"/>
        <v>402.13060124999998</v>
      </c>
    </row>
  </sheetData>
  <sortState ref="AD3:AD34">
    <sortCondition ref="AD3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9"/>
  <sheetViews>
    <sheetView showRuler="0" zoomScale="75" zoomScaleNormal="75" zoomScalePageLayoutView="75" workbookViewId="0">
      <selection activeCell="K35" sqref="K35"/>
    </sheetView>
  </sheetViews>
  <sheetFormatPr baseColWidth="10" defaultColWidth="11" defaultRowHeight="15" x14ac:dyDescent="0"/>
  <cols>
    <col min="1" max="1" width="12.6640625" customWidth="1"/>
    <col min="7" max="7" width="11.33203125" customWidth="1"/>
  </cols>
  <sheetData>
    <row r="1" spans="1:27">
      <c r="A1" t="s">
        <v>26</v>
      </c>
      <c r="D1" t="s">
        <v>31</v>
      </c>
      <c r="W1">
        <v>16.25</v>
      </c>
      <c r="X1">
        <v>16.375</v>
      </c>
      <c r="Y1">
        <v>11.96875</v>
      </c>
      <c r="Z1">
        <v>8.5625</v>
      </c>
      <c r="AA1">
        <v>3.6875</v>
      </c>
    </row>
    <row r="2" spans="1:27">
      <c r="B2" s="10">
        <v>4</v>
      </c>
      <c r="C2" s="10">
        <v>5</v>
      </c>
      <c r="D2" s="10">
        <v>6</v>
      </c>
      <c r="E2" s="10">
        <v>7</v>
      </c>
      <c r="F2" s="10">
        <v>8</v>
      </c>
      <c r="G2" s="10">
        <v>9</v>
      </c>
      <c r="H2" s="10">
        <v>10</v>
      </c>
      <c r="I2" s="10">
        <v>12</v>
      </c>
      <c r="J2" s="10">
        <v>14</v>
      </c>
      <c r="K2" s="10">
        <v>16</v>
      </c>
      <c r="L2" s="10">
        <v>18</v>
      </c>
      <c r="M2" s="10">
        <v>20</v>
      </c>
      <c r="N2" s="10">
        <v>22</v>
      </c>
      <c r="O2" s="10">
        <v>24</v>
      </c>
      <c r="P2" s="10">
        <v>26</v>
      </c>
      <c r="Q2" s="10">
        <v>28</v>
      </c>
      <c r="R2" s="10">
        <v>32</v>
      </c>
      <c r="S2" s="10">
        <v>34</v>
      </c>
      <c r="T2" s="10">
        <v>38</v>
      </c>
      <c r="U2" s="10"/>
      <c r="W2" s="10">
        <v>8</v>
      </c>
      <c r="X2" s="10">
        <v>9</v>
      </c>
      <c r="Y2" s="10">
        <v>10</v>
      </c>
      <c r="Z2" s="10">
        <v>12</v>
      </c>
      <c r="AA2" s="10">
        <v>14</v>
      </c>
    </row>
    <row r="3" spans="1:27">
      <c r="A3">
        <v>1</v>
      </c>
      <c r="B3">
        <v>5</v>
      </c>
      <c r="C3">
        <v>9</v>
      </c>
      <c r="D3">
        <v>17</v>
      </c>
      <c r="E3">
        <v>13</v>
      </c>
      <c r="F3">
        <v>35</v>
      </c>
      <c r="G3">
        <v>23</v>
      </c>
      <c r="H3">
        <v>3</v>
      </c>
      <c r="I3">
        <v>9</v>
      </c>
      <c r="J3">
        <v>10</v>
      </c>
      <c r="K3">
        <v>2</v>
      </c>
      <c r="W3">
        <v>4</v>
      </c>
      <c r="X3">
        <v>3</v>
      </c>
      <c r="Y3">
        <v>3</v>
      </c>
      <c r="Z3">
        <v>0</v>
      </c>
      <c r="AA3">
        <v>0</v>
      </c>
    </row>
    <row r="4" spans="1:27">
      <c r="A4">
        <v>2</v>
      </c>
      <c r="B4">
        <v>6</v>
      </c>
      <c r="C4">
        <v>8</v>
      </c>
      <c r="D4">
        <v>12</v>
      </c>
      <c r="E4">
        <v>29</v>
      </c>
      <c r="F4">
        <v>12</v>
      </c>
      <c r="G4">
        <v>27</v>
      </c>
      <c r="H4">
        <v>12</v>
      </c>
      <c r="I4">
        <v>9</v>
      </c>
      <c r="J4">
        <v>0</v>
      </c>
      <c r="K4">
        <v>1</v>
      </c>
      <c r="W4">
        <v>5</v>
      </c>
      <c r="X4">
        <v>7</v>
      </c>
      <c r="Y4">
        <v>3</v>
      </c>
      <c r="Z4">
        <v>0</v>
      </c>
      <c r="AA4">
        <v>0</v>
      </c>
    </row>
    <row r="5" spans="1:27">
      <c r="A5">
        <v>3</v>
      </c>
      <c r="B5">
        <v>3</v>
      </c>
      <c r="C5">
        <v>6</v>
      </c>
      <c r="D5">
        <v>12</v>
      </c>
      <c r="E5">
        <v>8</v>
      </c>
      <c r="F5">
        <v>7</v>
      </c>
      <c r="G5">
        <v>14</v>
      </c>
      <c r="H5">
        <v>12</v>
      </c>
      <c r="I5">
        <v>0</v>
      </c>
      <c r="J5">
        <v>2</v>
      </c>
      <c r="K5">
        <v>0</v>
      </c>
      <c r="W5">
        <v>7</v>
      </c>
      <c r="X5">
        <v>8</v>
      </c>
      <c r="Y5">
        <v>6</v>
      </c>
      <c r="Z5">
        <v>0</v>
      </c>
      <c r="AA5">
        <v>0</v>
      </c>
    </row>
    <row r="6" spans="1:27">
      <c r="A6">
        <v>4</v>
      </c>
      <c r="B6">
        <v>5</v>
      </c>
      <c r="C6">
        <v>8</v>
      </c>
      <c r="D6">
        <v>4</v>
      </c>
      <c r="E6">
        <v>15</v>
      </c>
      <c r="F6">
        <v>24</v>
      </c>
      <c r="G6">
        <v>21</v>
      </c>
      <c r="H6">
        <v>3</v>
      </c>
      <c r="I6">
        <v>17</v>
      </c>
      <c r="J6">
        <v>2</v>
      </c>
      <c r="K6">
        <v>0</v>
      </c>
      <c r="W6">
        <v>7</v>
      </c>
      <c r="X6">
        <v>9</v>
      </c>
      <c r="Y6">
        <v>6</v>
      </c>
      <c r="Z6">
        <v>0</v>
      </c>
      <c r="AA6">
        <v>0</v>
      </c>
    </row>
    <row r="7" spans="1:27">
      <c r="A7">
        <v>5</v>
      </c>
      <c r="B7">
        <v>11</v>
      </c>
      <c r="C7">
        <v>10</v>
      </c>
      <c r="D7">
        <v>5</v>
      </c>
      <c r="E7">
        <v>19</v>
      </c>
      <c r="F7">
        <v>9</v>
      </c>
      <c r="G7">
        <v>25</v>
      </c>
      <c r="H7">
        <v>11</v>
      </c>
      <c r="I7">
        <v>14</v>
      </c>
      <c r="J7">
        <v>5</v>
      </c>
      <c r="K7">
        <v>0</v>
      </c>
      <c r="W7">
        <v>7</v>
      </c>
      <c r="X7">
        <v>9</v>
      </c>
      <c r="Y7">
        <v>6</v>
      </c>
      <c r="Z7">
        <v>1</v>
      </c>
      <c r="AA7">
        <v>0</v>
      </c>
    </row>
    <row r="8" spans="1:27">
      <c r="A8">
        <v>6</v>
      </c>
      <c r="B8">
        <v>5</v>
      </c>
      <c r="C8">
        <v>22</v>
      </c>
      <c r="D8">
        <v>11</v>
      </c>
      <c r="E8">
        <v>22</v>
      </c>
      <c r="F8">
        <v>13</v>
      </c>
      <c r="G8">
        <v>11</v>
      </c>
      <c r="H8">
        <v>7</v>
      </c>
      <c r="I8">
        <v>11</v>
      </c>
      <c r="J8">
        <v>4</v>
      </c>
      <c r="K8">
        <v>1</v>
      </c>
      <c r="W8">
        <v>8</v>
      </c>
      <c r="X8">
        <v>10</v>
      </c>
      <c r="Y8">
        <v>6</v>
      </c>
      <c r="Z8">
        <v>3</v>
      </c>
      <c r="AA8">
        <v>1</v>
      </c>
    </row>
    <row r="9" spans="1:27">
      <c r="A9">
        <v>7</v>
      </c>
      <c r="B9">
        <v>10</v>
      </c>
      <c r="C9">
        <v>25</v>
      </c>
      <c r="D9">
        <v>24</v>
      </c>
      <c r="E9">
        <v>26</v>
      </c>
      <c r="F9">
        <v>35</v>
      </c>
      <c r="G9">
        <v>7</v>
      </c>
      <c r="H9">
        <v>13</v>
      </c>
      <c r="I9">
        <v>0</v>
      </c>
      <c r="J9">
        <v>3</v>
      </c>
      <c r="K9">
        <v>0</v>
      </c>
      <c r="W9">
        <v>9</v>
      </c>
      <c r="X9">
        <v>10</v>
      </c>
      <c r="Y9">
        <v>7</v>
      </c>
      <c r="Z9">
        <v>3</v>
      </c>
      <c r="AA9">
        <v>1</v>
      </c>
    </row>
    <row r="10" spans="1:27">
      <c r="A10">
        <v>8</v>
      </c>
      <c r="B10">
        <v>4</v>
      </c>
      <c r="C10">
        <v>13</v>
      </c>
      <c r="D10">
        <v>14</v>
      </c>
      <c r="E10">
        <v>4</v>
      </c>
      <c r="F10">
        <v>25</v>
      </c>
      <c r="G10">
        <v>23</v>
      </c>
      <c r="H10">
        <v>10</v>
      </c>
      <c r="I10">
        <v>5</v>
      </c>
      <c r="J10">
        <v>8</v>
      </c>
      <c r="K10">
        <v>0</v>
      </c>
      <c r="P10" s="9"/>
      <c r="W10">
        <v>9</v>
      </c>
      <c r="X10">
        <v>11</v>
      </c>
      <c r="Y10">
        <v>7</v>
      </c>
      <c r="Z10">
        <v>3</v>
      </c>
      <c r="AA10">
        <v>1</v>
      </c>
    </row>
    <row r="11" spans="1:27">
      <c r="A11">
        <v>9</v>
      </c>
      <c r="B11">
        <v>6</v>
      </c>
      <c r="C11">
        <v>10</v>
      </c>
      <c r="D11">
        <v>14</v>
      </c>
      <c r="E11">
        <v>16</v>
      </c>
      <c r="F11">
        <v>15</v>
      </c>
      <c r="G11">
        <v>17</v>
      </c>
      <c r="H11">
        <v>15</v>
      </c>
      <c r="I11">
        <v>12</v>
      </c>
      <c r="J11">
        <v>2</v>
      </c>
      <c r="K11">
        <v>0</v>
      </c>
      <c r="W11">
        <v>11</v>
      </c>
      <c r="X11">
        <v>11</v>
      </c>
      <c r="Y11">
        <v>7</v>
      </c>
      <c r="Z11">
        <v>4</v>
      </c>
      <c r="AA11">
        <v>1</v>
      </c>
    </row>
    <row r="12" spans="1:27">
      <c r="A12">
        <v>10</v>
      </c>
      <c r="B12">
        <v>3</v>
      </c>
      <c r="C12">
        <v>14</v>
      </c>
      <c r="D12">
        <v>22</v>
      </c>
      <c r="E12">
        <v>13</v>
      </c>
      <c r="F12">
        <v>22</v>
      </c>
      <c r="G12">
        <v>21</v>
      </c>
      <c r="H12">
        <v>6</v>
      </c>
      <c r="I12">
        <v>0</v>
      </c>
      <c r="J12">
        <v>1</v>
      </c>
      <c r="K12">
        <v>2</v>
      </c>
      <c r="W12">
        <v>11</v>
      </c>
      <c r="X12">
        <v>12</v>
      </c>
      <c r="Y12">
        <v>8</v>
      </c>
      <c r="Z12">
        <v>4</v>
      </c>
      <c r="AA12">
        <v>2</v>
      </c>
    </row>
    <row r="13" spans="1:27">
      <c r="A13">
        <v>11</v>
      </c>
      <c r="B13">
        <v>6</v>
      </c>
      <c r="C13">
        <v>7</v>
      </c>
      <c r="D13">
        <v>5</v>
      </c>
      <c r="E13">
        <v>7</v>
      </c>
      <c r="F13">
        <v>11</v>
      </c>
      <c r="G13">
        <v>19</v>
      </c>
      <c r="H13">
        <v>14</v>
      </c>
      <c r="I13">
        <v>18</v>
      </c>
      <c r="J13">
        <v>1</v>
      </c>
      <c r="K13">
        <v>4</v>
      </c>
      <c r="W13">
        <v>12</v>
      </c>
      <c r="X13">
        <v>12</v>
      </c>
      <c r="Y13">
        <v>10</v>
      </c>
      <c r="Z13">
        <v>5</v>
      </c>
      <c r="AA13">
        <v>2</v>
      </c>
    </row>
    <row r="14" spans="1:27">
      <c r="A14">
        <v>12</v>
      </c>
      <c r="B14">
        <v>5</v>
      </c>
      <c r="C14">
        <v>16</v>
      </c>
      <c r="D14">
        <v>20</v>
      </c>
      <c r="E14">
        <v>13</v>
      </c>
      <c r="F14">
        <v>17</v>
      </c>
      <c r="G14">
        <v>13</v>
      </c>
      <c r="H14">
        <v>24</v>
      </c>
      <c r="I14">
        <v>9</v>
      </c>
      <c r="J14">
        <v>5</v>
      </c>
      <c r="K14">
        <v>7</v>
      </c>
      <c r="W14">
        <v>12</v>
      </c>
      <c r="X14">
        <v>13</v>
      </c>
      <c r="Y14">
        <v>10</v>
      </c>
      <c r="Z14">
        <v>6</v>
      </c>
      <c r="AA14">
        <v>2</v>
      </c>
    </row>
    <row r="15" spans="1:27">
      <c r="A15">
        <v>13</v>
      </c>
      <c r="B15">
        <v>5</v>
      </c>
      <c r="C15">
        <v>36</v>
      </c>
      <c r="D15">
        <v>15</v>
      </c>
      <c r="E15">
        <v>8</v>
      </c>
      <c r="F15">
        <v>13</v>
      </c>
      <c r="G15">
        <v>24</v>
      </c>
      <c r="H15">
        <v>11</v>
      </c>
      <c r="I15">
        <v>9</v>
      </c>
      <c r="J15">
        <v>0</v>
      </c>
      <c r="K15">
        <v>7</v>
      </c>
      <c r="W15">
        <v>13</v>
      </c>
      <c r="X15">
        <v>14</v>
      </c>
      <c r="Y15">
        <v>11</v>
      </c>
      <c r="Z15">
        <v>6</v>
      </c>
      <c r="AA15">
        <v>2</v>
      </c>
    </row>
    <row r="16" spans="1:27">
      <c r="A16">
        <v>14</v>
      </c>
      <c r="B16">
        <v>11</v>
      </c>
      <c r="C16">
        <v>25</v>
      </c>
      <c r="D16">
        <v>8</v>
      </c>
      <c r="E16">
        <v>14</v>
      </c>
      <c r="F16">
        <v>11</v>
      </c>
      <c r="G16">
        <v>9</v>
      </c>
      <c r="H16">
        <v>23</v>
      </c>
      <c r="I16">
        <v>28</v>
      </c>
      <c r="J16">
        <v>4</v>
      </c>
      <c r="K16">
        <v>0</v>
      </c>
      <c r="W16">
        <v>13</v>
      </c>
      <c r="X16">
        <v>14</v>
      </c>
      <c r="Y16">
        <v>11</v>
      </c>
      <c r="Z16">
        <v>6</v>
      </c>
      <c r="AA16">
        <v>2</v>
      </c>
    </row>
    <row r="17" spans="1:27">
      <c r="A17">
        <v>15</v>
      </c>
      <c r="B17">
        <v>3</v>
      </c>
      <c r="C17">
        <v>15</v>
      </c>
      <c r="D17">
        <v>17</v>
      </c>
      <c r="E17">
        <v>10</v>
      </c>
      <c r="F17">
        <v>5</v>
      </c>
      <c r="G17">
        <v>15</v>
      </c>
      <c r="H17">
        <v>16</v>
      </c>
      <c r="I17">
        <v>6</v>
      </c>
      <c r="J17">
        <v>2</v>
      </c>
      <c r="K17">
        <v>8</v>
      </c>
      <c r="W17">
        <v>13</v>
      </c>
      <c r="X17">
        <v>15</v>
      </c>
      <c r="Y17">
        <v>11</v>
      </c>
      <c r="Z17">
        <v>8</v>
      </c>
      <c r="AA17">
        <v>2</v>
      </c>
    </row>
    <row r="18" spans="1:27">
      <c r="A18">
        <v>16</v>
      </c>
      <c r="B18">
        <v>6</v>
      </c>
      <c r="C18">
        <v>5</v>
      </c>
      <c r="D18">
        <v>12</v>
      </c>
      <c r="E18">
        <v>12</v>
      </c>
      <c r="F18">
        <v>14</v>
      </c>
      <c r="G18">
        <v>19</v>
      </c>
      <c r="H18">
        <v>10</v>
      </c>
      <c r="I18">
        <v>18</v>
      </c>
      <c r="J18">
        <v>13</v>
      </c>
      <c r="K18">
        <v>1</v>
      </c>
      <c r="W18">
        <v>14</v>
      </c>
      <c r="X18">
        <v>15</v>
      </c>
      <c r="Y18">
        <v>12</v>
      </c>
      <c r="Z18">
        <v>9</v>
      </c>
      <c r="AA18">
        <v>3</v>
      </c>
    </row>
    <row r="19" spans="1:27">
      <c r="A19">
        <v>17</v>
      </c>
      <c r="B19">
        <v>5</v>
      </c>
      <c r="C19">
        <v>9</v>
      </c>
      <c r="D19">
        <v>14</v>
      </c>
      <c r="E19">
        <v>8</v>
      </c>
      <c r="F19">
        <v>16</v>
      </c>
      <c r="G19">
        <v>14</v>
      </c>
      <c r="H19">
        <v>18</v>
      </c>
      <c r="I19">
        <v>4</v>
      </c>
      <c r="J19">
        <v>12</v>
      </c>
      <c r="K19">
        <v>5</v>
      </c>
      <c r="W19">
        <v>14</v>
      </c>
      <c r="X19">
        <v>17</v>
      </c>
      <c r="Y19">
        <v>12</v>
      </c>
      <c r="Z19">
        <v>9</v>
      </c>
      <c r="AA19">
        <v>3</v>
      </c>
    </row>
    <row r="20" spans="1:27">
      <c r="A20">
        <v>18</v>
      </c>
      <c r="B20">
        <v>8</v>
      </c>
      <c r="C20">
        <v>7</v>
      </c>
      <c r="D20">
        <v>10</v>
      </c>
      <c r="E20">
        <v>13</v>
      </c>
      <c r="F20">
        <v>33</v>
      </c>
      <c r="G20">
        <v>21</v>
      </c>
      <c r="H20">
        <v>17</v>
      </c>
      <c r="I20">
        <v>8</v>
      </c>
      <c r="J20">
        <v>1</v>
      </c>
      <c r="K20">
        <v>1</v>
      </c>
      <c r="W20">
        <v>15</v>
      </c>
      <c r="X20">
        <v>18</v>
      </c>
      <c r="Y20">
        <v>12</v>
      </c>
      <c r="Z20">
        <v>9</v>
      </c>
      <c r="AA20">
        <v>3</v>
      </c>
    </row>
    <row r="21" spans="1:27">
      <c r="A21">
        <v>19</v>
      </c>
      <c r="B21">
        <v>7</v>
      </c>
      <c r="C21">
        <v>10</v>
      </c>
      <c r="D21">
        <v>15</v>
      </c>
      <c r="E21">
        <v>11</v>
      </c>
      <c r="F21">
        <v>13</v>
      </c>
      <c r="G21">
        <v>15</v>
      </c>
      <c r="H21">
        <v>25</v>
      </c>
      <c r="I21">
        <v>16</v>
      </c>
      <c r="J21">
        <v>1</v>
      </c>
      <c r="K21">
        <v>3</v>
      </c>
      <c r="W21">
        <v>15</v>
      </c>
      <c r="X21">
        <v>19</v>
      </c>
      <c r="Y21">
        <v>12</v>
      </c>
      <c r="Z21">
        <v>9</v>
      </c>
      <c r="AA21">
        <v>3</v>
      </c>
    </row>
    <row r="22" spans="1:27">
      <c r="A22">
        <v>20</v>
      </c>
      <c r="B22">
        <v>3</v>
      </c>
      <c r="C22">
        <v>7</v>
      </c>
      <c r="D22">
        <v>22</v>
      </c>
      <c r="E22">
        <v>20</v>
      </c>
      <c r="F22">
        <v>27</v>
      </c>
      <c r="G22">
        <v>9</v>
      </c>
      <c r="H22">
        <v>16</v>
      </c>
      <c r="I22">
        <v>14</v>
      </c>
      <c r="J22">
        <v>3</v>
      </c>
      <c r="K22">
        <v>0</v>
      </c>
      <c r="W22">
        <v>16</v>
      </c>
      <c r="X22">
        <v>19</v>
      </c>
      <c r="Y22">
        <v>13</v>
      </c>
      <c r="Z22">
        <v>9</v>
      </c>
      <c r="AA22">
        <v>3</v>
      </c>
    </row>
    <row r="23" spans="1:27">
      <c r="A23">
        <v>21</v>
      </c>
      <c r="B23">
        <v>2</v>
      </c>
      <c r="C23">
        <v>14</v>
      </c>
      <c r="D23">
        <v>9</v>
      </c>
      <c r="E23">
        <v>20</v>
      </c>
      <c r="F23">
        <v>15</v>
      </c>
      <c r="G23">
        <v>11</v>
      </c>
      <c r="H23">
        <v>6</v>
      </c>
      <c r="I23">
        <v>1</v>
      </c>
      <c r="J23">
        <v>2</v>
      </c>
      <c r="K23">
        <v>9</v>
      </c>
      <c r="W23">
        <v>17</v>
      </c>
      <c r="X23">
        <v>19</v>
      </c>
      <c r="Y23">
        <v>13</v>
      </c>
      <c r="Z23">
        <v>10</v>
      </c>
      <c r="AA23">
        <v>3</v>
      </c>
    </row>
    <row r="24" spans="1:27">
      <c r="A24">
        <v>22</v>
      </c>
      <c r="B24">
        <v>6</v>
      </c>
      <c r="C24">
        <v>4</v>
      </c>
      <c r="D24">
        <v>11</v>
      </c>
      <c r="E24">
        <v>16</v>
      </c>
      <c r="F24">
        <v>4</v>
      </c>
      <c r="G24">
        <v>19</v>
      </c>
      <c r="H24">
        <v>8</v>
      </c>
      <c r="I24">
        <v>3</v>
      </c>
      <c r="J24">
        <v>0</v>
      </c>
      <c r="K24">
        <v>0</v>
      </c>
      <c r="W24">
        <v>19</v>
      </c>
      <c r="X24">
        <v>21</v>
      </c>
      <c r="Y24">
        <v>14</v>
      </c>
      <c r="Z24">
        <v>10</v>
      </c>
      <c r="AA24">
        <v>4</v>
      </c>
    </row>
    <row r="25" spans="1:27">
      <c r="A25">
        <v>23</v>
      </c>
      <c r="B25">
        <v>3</v>
      </c>
      <c r="C25">
        <v>9</v>
      </c>
      <c r="D25">
        <v>11</v>
      </c>
      <c r="E25">
        <v>13</v>
      </c>
      <c r="F25">
        <v>7</v>
      </c>
      <c r="G25">
        <v>8</v>
      </c>
      <c r="H25">
        <v>12</v>
      </c>
      <c r="I25">
        <v>10</v>
      </c>
      <c r="J25">
        <v>3</v>
      </c>
      <c r="K25">
        <v>7</v>
      </c>
      <c r="W25">
        <v>20</v>
      </c>
      <c r="X25">
        <v>21</v>
      </c>
      <c r="Y25">
        <v>14</v>
      </c>
      <c r="Z25">
        <v>11</v>
      </c>
      <c r="AA25">
        <v>4</v>
      </c>
    </row>
    <row r="26" spans="1:27">
      <c r="A26">
        <v>24</v>
      </c>
      <c r="B26">
        <v>9</v>
      </c>
      <c r="C26">
        <v>13</v>
      </c>
      <c r="D26">
        <v>5</v>
      </c>
      <c r="E26">
        <v>12</v>
      </c>
      <c r="F26">
        <v>25</v>
      </c>
      <c r="G26">
        <v>21</v>
      </c>
      <c r="H26">
        <v>15</v>
      </c>
      <c r="I26">
        <v>9</v>
      </c>
      <c r="J26">
        <v>0</v>
      </c>
      <c r="K26">
        <v>0</v>
      </c>
      <c r="W26">
        <v>22</v>
      </c>
      <c r="X26">
        <v>21</v>
      </c>
      <c r="Y26">
        <v>15</v>
      </c>
      <c r="Z26">
        <v>12</v>
      </c>
      <c r="AA26">
        <v>5</v>
      </c>
    </row>
    <row r="27" spans="1:27">
      <c r="A27">
        <v>25</v>
      </c>
      <c r="B27">
        <v>4</v>
      </c>
      <c r="C27">
        <v>9</v>
      </c>
      <c r="D27">
        <v>6</v>
      </c>
      <c r="E27">
        <v>44</v>
      </c>
      <c r="F27">
        <v>12</v>
      </c>
      <c r="G27">
        <v>18</v>
      </c>
      <c r="H27">
        <v>6</v>
      </c>
      <c r="I27">
        <v>12</v>
      </c>
      <c r="J27">
        <v>9</v>
      </c>
      <c r="K27">
        <v>1</v>
      </c>
      <c r="W27">
        <v>23</v>
      </c>
      <c r="X27">
        <v>21</v>
      </c>
      <c r="Y27">
        <v>15</v>
      </c>
      <c r="Z27">
        <v>12</v>
      </c>
      <c r="AA27">
        <v>5</v>
      </c>
    </row>
    <row r="28" spans="1:27">
      <c r="A28">
        <v>26</v>
      </c>
      <c r="B28">
        <v>5</v>
      </c>
      <c r="C28">
        <v>7</v>
      </c>
      <c r="D28">
        <v>6</v>
      </c>
      <c r="E28">
        <v>10</v>
      </c>
      <c r="F28">
        <v>19</v>
      </c>
      <c r="G28">
        <v>10</v>
      </c>
      <c r="H28">
        <v>12</v>
      </c>
      <c r="I28">
        <v>10</v>
      </c>
      <c r="J28">
        <v>3</v>
      </c>
      <c r="K28">
        <v>4</v>
      </c>
      <c r="W28">
        <v>24</v>
      </c>
      <c r="X28">
        <v>23</v>
      </c>
      <c r="Y28">
        <v>16</v>
      </c>
      <c r="Z28">
        <v>14</v>
      </c>
      <c r="AA28">
        <v>7</v>
      </c>
    </row>
    <row r="29" spans="1:27">
      <c r="A29">
        <v>27</v>
      </c>
      <c r="B29">
        <v>5</v>
      </c>
      <c r="C29">
        <v>27</v>
      </c>
      <c r="D29">
        <v>20</v>
      </c>
      <c r="E29">
        <v>24</v>
      </c>
      <c r="F29">
        <v>14</v>
      </c>
      <c r="G29">
        <v>10</v>
      </c>
      <c r="H29">
        <v>7</v>
      </c>
      <c r="I29">
        <v>0</v>
      </c>
      <c r="J29">
        <v>3</v>
      </c>
      <c r="K29">
        <v>15</v>
      </c>
      <c r="W29">
        <v>25</v>
      </c>
      <c r="X29">
        <v>23</v>
      </c>
      <c r="Y29">
        <v>16</v>
      </c>
      <c r="Z29">
        <v>14</v>
      </c>
      <c r="AA29">
        <v>7</v>
      </c>
    </row>
    <row r="30" spans="1:27">
      <c r="A30">
        <v>28</v>
      </c>
      <c r="B30">
        <v>5</v>
      </c>
      <c r="C30">
        <v>8</v>
      </c>
      <c r="D30">
        <v>16</v>
      </c>
      <c r="E30">
        <v>3</v>
      </c>
      <c r="F30">
        <v>7</v>
      </c>
      <c r="G30">
        <v>25</v>
      </c>
      <c r="H30">
        <v>6</v>
      </c>
      <c r="I30">
        <v>6</v>
      </c>
      <c r="J30">
        <v>0</v>
      </c>
      <c r="K30">
        <v>0</v>
      </c>
      <c r="W30">
        <v>25</v>
      </c>
      <c r="X30">
        <v>24</v>
      </c>
      <c r="Y30">
        <v>17</v>
      </c>
      <c r="Z30">
        <v>16</v>
      </c>
      <c r="AA30">
        <v>8</v>
      </c>
    </row>
    <row r="31" spans="1:27">
      <c r="A31">
        <v>29</v>
      </c>
      <c r="B31">
        <v>7</v>
      </c>
      <c r="C31">
        <v>5</v>
      </c>
      <c r="D31">
        <v>14</v>
      </c>
      <c r="E31">
        <v>5</v>
      </c>
      <c r="F31">
        <v>8</v>
      </c>
      <c r="G31">
        <v>28</v>
      </c>
      <c r="H31">
        <v>13</v>
      </c>
      <c r="I31">
        <v>3</v>
      </c>
      <c r="J31">
        <v>7</v>
      </c>
      <c r="K31">
        <v>7</v>
      </c>
      <c r="W31">
        <v>27</v>
      </c>
      <c r="X31">
        <v>25</v>
      </c>
      <c r="Y31">
        <v>18</v>
      </c>
      <c r="Z31">
        <v>17</v>
      </c>
      <c r="AA31">
        <v>9</v>
      </c>
    </row>
    <row r="32" spans="1:27">
      <c r="A32">
        <v>30</v>
      </c>
      <c r="B32">
        <v>14</v>
      </c>
      <c r="C32">
        <v>7</v>
      </c>
      <c r="D32">
        <v>3</v>
      </c>
      <c r="E32">
        <v>17</v>
      </c>
      <c r="F32">
        <v>20</v>
      </c>
      <c r="G32">
        <v>12</v>
      </c>
      <c r="H32">
        <v>7</v>
      </c>
      <c r="I32">
        <v>3</v>
      </c>
      <c r="J32">
        <v>2</v>
      </c>
      <c r="K32">
        <v>0</v>
      </c>
      <c r="W32">
        <v>33</v>
      </c>
      <c r="X32">
        <v>25</v>
      </c>
      <c r="Y32">
        <v>23</v>
      </c>
      <c r="Z32">
        <v>18</v>
      </c>
      <c r="AA32">
        <v>10</v>
      </c>
    </row>
    <row r="33" spans="1:27">
      <c r="A33">
        <v>31</v>
      </c>
      <c r="B33">
        <v>4</v>
      </c>
      <c r="C33">
        <v>16</v>
      </c>
      <c r="D33">
        <v>14</v>
      </c>
      <c r="E33">
        <v>16</v>
      </c>
      <c r="F33">
        <v>9</v>
      </c>
      <c r="G33">
        <v>3</v>
      </c>
      <c r="H33">
        <v>11</v>
      </c>
      <c r="I33">
        <v>6</v>
      </c>
      <c r="J33">
        <v>7</v>
      </c>
      <c r="K33">
        <v>3</v>
      </c>
      <c r="W33">
        <v>35</v>
      </c>
      <c r="X33">
        <v>27</v>
      </c>
      <c r="Y33">
        <v>24</v>
      </c>
      <c r="Z33">
        <v>18</v>
      </c>
      <c r="AA33">
        <v>12</v>
      </c>
    </row>
    <row r="34" spans="1:27">
      <c r="A34">
        <v>32</v>
      </c>
      <c r="B34">
        <v>4</v>
      </c>
      <c r="C34">
        <v>9</v>
      </c>
      <c r="D34">
        <v>14</v>
      </c>
      <c r="E34">
        <v>40</v>
      </c>
      <c r="F34">
        <v>23</v>
      </c>
      <c r="G34">
        <v>12</v>
      </c>
      <c r="H34">
        <v>14</v>
      </c>
      <c r="I34">
        <v>4</v>
      </c>
      <c r="J34">
        <v>3</v>
      </c>
      <c r="K34">
        <v>0</v>
      </c>
      <c r="W34">
        <v>35</v>
      </c>
      <c r="X34">
        <v>28</v>
      </c>
      <c r="Y34">
        <v>25</v>
      </c>
      <c r="Z34">
        <v>28</v>
      </c>
      <c r="AA34">
        <v>13</v>
      </c>
    </row>
    <row r="35" spans="1:27">
      <c r="B35">
        <f t="shared" ref="B35:C35" si="0">AVERAGE(B3:B34)</f>
        <v>5.78125</v>
      </c>
      <c r="C35">
        <f t="shared" si="0"/>
        <v>12.1875</v>
      </c>
      <c r="D35">
        <f t="shared" ref="D35:E35" si="1">AVERAGE(D3:D34)</f>
        <v>12.5625</v>
      </c>
      <c r="E35">
        <f t="shared" si="1"/>
        <v>15.65625</v>
      </c>
      <c r="F35">
        <f t="shared" ref="F35:I35" si="2">AVERAGE(F3:F34)</f>
        <v>16.25</v>
      </c>
      <c r="G35">
        <f t="shared" ref="G35" si="3">AVERAGE(G3:G34)</f>
        <v>16.375</v>
      </c>
      <c r="H35">
        <f t="shared" si="2"/>
        <v>11.96875</v>
      </c>
      <c r="I35">
        <f t="shared" si="2"/>
        <v>8.5625</v>
      </c>
      <c r="J35">
        <f t="shared" ref="J35" si="4">AVERAGE(J3:J34)</f>
        <v>3.6875</v>
      </c>
      <c r="K35">
        <f>AVERAGE(K3:K34)</f>
        <v>2.75</v>
      </c>
      <c r="L35" t="e">
        <f t="shared" ref="L35:T35" si="5">AVERAGE(L3:L34)</f>
        <v>#DIV/0!</v>
      </c>
      <c r="M35" t="e">
        <f t="shared" si="5"/>
        <v>#DIV/0!</v>
      </c>
      <c r="N35" t="e">
        <f t="shared" si="5"/>
        <v>#DIV/0!</v>
      </c>
      <c r="O35" t="e">
        <f t="shared" si="5"/>
        <v>#DIV/0!</v>
      </c>
      <c r="P35" t="e">
        <f t="shared" si="5"/>
        <v>#DIV/0!</v>
      </c>
      <c r="Q35" t="e">
        <f t="shared" si="5"/>
        <v>#DIV/0!</v>
      </c>
      <c r="R35" t="e">
        <f t="shared" si="5"/>
        <v>#DIV/0!</v>
      </c>
      <c r="S35" t="e">
        <f t="shared" si="5"/>
        <v>#DIV/0!</v>
      </c>
      <c r="T35" t="e">
        <f t="shared" si="5"/>
        <v>#DIV/0!</v>
      </c>
      <c r="V35" s="16" t="s">
        <v>16</v>
      </c>
      <c r="W35">
        <f>COUNT(W3:W4)</f>
        <v>2</v>
      </c>
      <c r="X35">
        <f>COUNT(X3)</f>
        <v>1</v>
      </c>
      <c r="Y35">
        <f>COUNT(Y3:Y4)</f>
        <v>2</v>
      </c>
      <c r="Z35">
        <f>COUNT(Z3:Z13)</f>
        <v>11</v>
      </c>
      <c r="AA35">
        <f>COUNT(AA3:AA27)</f>
        <v>25</v>
      </c>
    </row>
    <row r="36" spans="1:27">
      <c r="B36">
        <f t="shared" ref="B36:G36" si="6">STDEV(B3:B34)/SQRT(COUNT(B3:B18))</f>
        <v>0.68017542507133244</v>
      </c>
      <c r="C36">
        <f t="shared" si="6"/>
        <v>1.8604949696943727</v>
      </c>
      <c r="D36">
        <f t="shared" si="6"/>
        <v>1.3954671723233971</v>
      </c>
      <c r="E36">
        <f t="shared" si="6"/>
        <v>2.3128405372628809</v>
      </c>
      <c r="F36">
        <f t="shared" si="6"/>
        <v>2.1326947969116898</v>
      </c>
      <c r="G36">
        <f t="shared" si="6"/>
        <v>1.6198740492655197</v>
      </c>
      <c r="H36">
        <f t="shared" ref="H36:T36" si="7">STDEV(H3:H34)/SQRT(COUNT(H3:H18))</f>
        <v>1.3933661593537636</v>
      </c>
      <c r="I36">
        <f t="shared" si="7"/>
        <v>1.615121961838456</v>
      </c>
      <c r="J36">
        <f t="shared" ref="J36" si="8">STDEV(J3:J34)/SQRT(COUNT(J3:J18))</f>
        <v>0.88088459022185339</v>
      </c>
      <c r="K36">
        <f t="shared" si="7"/>
        <v>0.91139736739268817</v>
      </c>
      <c r="L36" t="e">
        <f t="shared" si="7"/>
        <v>#DIV/0!</v>
      </c>
      <c r="M36" t="e">
        <f t="shared" si="7"/>
        <v>#DIV/0!</v>
      </c>
      <c r="N36" t="e">
        <f t="shared" si="7"/>
        <v>#DIV/0!</v>
      </c>
      <c r="O36" t="e">
        <f t="shared" si="7"/>
        <v>#DIV/0!</v>
      </c>
      <c r="P36" t="e">
        <f t="shared" si="7"/>
        <v>#DIV/0!</v>
      </c>
      <c r="Q36" t="e">
        <f t="shared" si="7"/>
        <v>#DIV/0!</v>
      </c>
      <c r="R36" t="e">
        <f t="shared" si="7"/>
        <v>#DIV/0!</v>
      </c>
      <c r="S36" t="e">
        <f t="shared" si="7"/>
        <v>#DIV/0!</v>
      </c>
      <c r="T36" t="e">
        <f t="shared" si="7"/>
        <v>#DIV/0!</v>
      </c>
      <c r="V36" s="16" t="s">
        <v>39</v>
      </c>
      <c r="W36">
        <f>COUNT(W5:W10)</f>
        <v>6</v>
      </c>
      <c r="X36">
        <f>COUNT(X4:X9)</f>
        <v>6</v>
      </c>
      <c r="Y36">
        <f>COUNT(Y5:Y14)</f>
        <v>10</v>
      </c>
      <c r="Z36">
        <f>COUNT(Z14:Z24)</f>
        <v>11</v>
      </c>
      <c r="AA36">
        <f>COUNT(AA28:AA32)</f>
        <v>5</v>
      </c>
    </row>
    <row r="37" spans="1:27">
      <c r="A37" t="s">
        <v>33</v>
      </c>
      <c r="V37" s="16" t="s">
        <v>40</v>
      </c>
      <c r="W37">
        <f>COUNT(W11:W21)</f>
        <v>11</v>
      </c>
      <c r="X37">
        <f>COUNT(X10:X18)</f>
        <v>9</v>
      </c>
      <c r="Y37">
        <f>COUNT(Y15:Y27)</f>
        <v>13</v>
      </c>
      <c r="Z37">
        <f>COUNT(Z25:Z29)</f>
        <v>5</v>
      </c>
      <c r="AA37">
        <f>COUNT(AA33:AA34)</f>
        <v>2</v>
      </c>
    </row>
    <row r="38" spans="1:27">
      <c r="A38">
        <f>(4.625*10^3)/(8.6173*10^-5)</f>
        <v>53671103.477887504</v>
      </c>
      <c r="B38" t="s">
        <v>32</v>
      </c>
      <c r="V38" s="16" t="s">
        <v>17</v>
      </c>
      <c r="W38">
        <f>COUNT(W22:W25)</f>
        <v>4</v>
      </c>
      <c r="X38">
        <f>COUNT(X19:X23)</f>
        <v>5</v>
      </c>
      <c r="Y38">
        <f>COUNT(Y28:Y31)</f>
        <v>4</v>
      </c>
      <c r="Z38">
        <f>COUNT(Z30:Z33)</f>
        <v>4</v>
      </c>
      <c r="AA38">
        <v>0</v>
      </c>
    </row>
    <row r="39" spans="1:27">
      <c r="B39">
        <f>(400.92806-305.46541)+(302.27561-301.46174)+(298.96521-298.96583)</f>
        <v>96.275899999999979</v>
      </c>
      <c r="C39">
        <f>(394.69417-319.5823)+(308.7496-305.16514 )</f>
        <v>78.696329999999989</v>
      </c>
      <c r="D39">
        <f>(371.48169 -327.64414)+(312.92219 -310.71468)</f>
        <v>46.045060000000035</v>
      </c>
      <c r="E39">
        <f>(375.18535-328.79113)+(312.20567 -310.04985)</f>
        <v>48.550040000000024</v>
      </c>
      <c r="F39">
        <f>(337.83694-327.57724)</f>
        <v>10.259700000000009</v>
      </c>
      <c r="G39">
        <f>(375.90879-341.82033)+(319.10745-312.82577)+(300.73006-300.72779)+(300.12319-300.12473)</f>
        <v>40.370869999999968</v>
      </c>
      <c r="H39">
        <f>(385.14716-325.98921)</f>
        <v>59.157949999999971</v>
      </c>
      <c r="V39" s="16" t="s">
        <v>18</v>
      </c>
      <c r="W39">
        <f>COUNT(W26:W34)</f>
        <v>9</v>
      </c>
      <c r="X39">
        <f>COUNT(X24:X34)</f>
        <v>11</v>
      </c>
      <c r="Y39">
        <f>COUNT(Y32:Y34)</f>
        <v>3</v>
      </c>
      <c r="Z39">
        <f>COUNT(Z34)</f>
        <v>1</v>
      </c>
      <c r="AA39">
        <v>0</v>
      </c>
    </row>
    <row r="40" spans="1:27">
      <c r="B40">
        <f>(396.34711-304.59027 )+(301.25156-300.97451)</f>
        <v>92.033889999999985</v>
      </c>
      <c r="C40">
        <f>(392.7319 -314.92811)+(306.49966-303.34407)</f>
        <v>80.95938000000001</v>
      </c>
      <c r="D40">
        <f>(381.69225-331.56977)+(315.29022 -311.72035)</f>
        <v>53.692349999999976</v>
      </c>
      <c r="E40">
        <f>(346.10927-330.82328)+(314.7255-313.40868 )</f>
        <v>16.602809999999977</v>
      </c>
      <c r="F40">
        <f>(374.5348-325.95871)+(311.16334-309.67229 )</f>
        <v>50.067140000000052</v>
      </c>
      <c r="G40">
        <f>(341.76258-335.03999)+(309.41626-309.0644)</f>
        <v>7.0744500000000698</v>
      </c>
      <c r="H40">
        <f>(361.17054-336.46947)+(312.23739-311.88115 )</f>
        <v>25.05731000000003</v>
      </c>
      <c r="V40" s="16" t="s">
        <v>16</v>
      </c>
      <c r="W40">
        <f>W35/COUNT(W$3:W$34)</f>
        <v>6.25E-2</v>
      </c>
      <c r="X40">
        <f t="shared" ref="X40:AA40" si="9">X35/COUNT(X$3:X$34)</f>
        <v>3.125E-2</v>
      </c>
      <c r="Y40">
        <f t="shared" si="9"/>
        <v>6.25E-2</v>
      </c>
      <c r="Z40">
        <f t="shared" si="9"/>
        <v>0.34375</v>
      </c>
      <c r="AA40">
        <f t="shared" si="9"/>
        <v>0.78125</v>
      </c>
    </row>
    <row r="41" spans="1:27">
      <c r="B41">
        <f>(396.8416-301.57383)</f>
        <v>95.267770000000041</v>
      </c>
      <c r="C41">
        <f>(391.46865-309.94683)</f>
        <v>81.521820000000048</v>
      </c>
      <c r="D41">
        <f>(386.96033-333.00324)+(317.42705 -308.13887 )</f>
        <v>63.245270000000005</v>
      </c>
      <c r="E41">
        <f>(386.40838-315.21579)+(306.72714-305.42164 )</f>
        <v>72.498089999999991</v>
      </c>
      <c r="F41">
        <f>(379.96759-327.96642)+(314.8891 -309.44764)</f>
        <v>57.442629999999951</v>
      </c>
      <c r="G41">
        <f>(374.80439-325.7926)+(310.61055-309.86071)+(300.26195-300.26294)</f>
        <v>49.760640000000024</v>
      </c>
      <c r="H41">
        <f>(339.3526-331.92996)</f>
        <v>7.4226400000000012</v>
      </c>
      <c r="V41" s="16" t="s">
        <v>39</v>
      </c>
      <c r="W41">
        <f t="shared" ref="W41:AA44" si="10">W36/COUNT(W$3:W$34)</f>
        <v>0.1875</v>
      </c>
      <c r="X41">
        <f t="shared" si="10"/>
        <v>0.1875</v>
      </c>
      <c r="Y41">
        <f t="shared" si="10"/>
        <v>0.3125</v>
      </c>
      <c r="Z41">
        <f t="shared" si="10"/>
        <v>0.34375</v>
      </c>
      <c r="AA41">
        <f t="shared" si="10"/>
        <v>0.15625</v>
      </c>
    </row>
    <row r="42" spans="1:27">
      <c r="B42">
        <f>(396.7365-303.83527)+(299.16114-299.12835)</f>
        <v>92.934019999999975</v>
      </c>
      <c r="C42">
        <f>(396.19843-311.63225)+(305.18503-302.9125)</f>
        <v>86.838709999999935</v>
      </c>
      <c r="D42">
        <f>(398.23736 -308.86625)</f>
        <v>89.371110000000044</v>
      </c>
      <c r="E42">
        <f>(378.53827 -333.83358 )+(313.60215-311.5686 )</f>
        <v>46.738240000000019</v>
      </c>
      <c r="F42">
        <f>(367.42924-334.22377)+(315.92761-313.44288)</f>
        <v>35.690200000000004</v>
      </c>
      <c r="G42">
        <f>(338.7714-330.22583)+(305.84959-305.79577)</f>
        <v>8.5993900000000281</v>
      </c>
      <c r="H42">
        <f>(372.59901-338.04596)+(321.88385 -317.08202 )</f>
        <v>39.354880000000037</v>
      </c>
      <c r="V42" s="16" t="s">
        <v>40</v>
      </c>
      <c r="W42">
        <f t="shared" si="10"/>
        <v>0.34375</v>
      </c>
      <c r="X42">
        <f t="shared" si="10"/>
        <v>0.28125</v>
      </c>
      <c r="Y42">
        <f t="shared" si="10"/>
        <v>0.40625</v>
      </c>
      <c r="Z42">
        <f t="shared" si="10"/>
        <v>0.15625</v>
      </c>
      <c r="AA42">
        <f t="shared" si="10"/>
        <v>6.25E-2</v>
      </c>
    </row>
    <row r="43" spans="1:27">
      <c r="B43">
        <f>(393.16689-317.27773)+(308.0542-304.58257)+(299.52226-299.52221)</f>
        <v>79.360840000000053</v>
      </c>
      <c r="C43">
        <f>(393.63815-324.66142)+(312.56793 -306.40911)</f>
        <v>75.135549999999967</v>
      </c>
      <c r="D43">
        <f>(390.39074 -310.78196 )</f>
        <v>79.608779999999967</v>
      </c>
      <c r="E43">
        <f>(371.4287-325.15064)+(310.5481-309.15464)</f>
        <v>47.671519999999987</v>
      </c>
      <c r="F43">
        <f>(375.74315-334.03127)+(307.01365-306.9038 )</f>
        <v>41.821730000000002</v>
      </c>
      <c r="G43">
        <f>(338.50556-333.00642)+(310.06029-309.79999)</f>
        <v>5.7594400000000405</v>
      </c>
      <c r="H43">
        <f>(325.36177-323.6808)</f>
        <v>1.6809700000000021</v>
      </c>
      <c r="V43" s="16" t="s">
        <v>17</v>
      </c>
      <c r="W43">
        <f t="shared" si="10"/>
        <v>0.125</v>
      </c>
      <c r="X43">
        <f t="shared" si="10"/>
        <v>0.15625</v>
      </c>
      <c r="Y43">
        <f t="shared" si="10"/>
        <v>0.125</v>
      </c>
      <c r="Z43">
        <f t="shared" si="10"/>
        <v>0.125</v>
      </c>
      <c r="AA43">
        <f t="shared" si="10"/>
        <v>0</v>
      </c>
    </row>
    <row r="44" spans="1:27">
      <c r="B44">
        <f>(394.67152-305.87419)+(300.77005-300.67864)</f>
        <v>88.888740000000041</v>
      </c>
      <c r="C44">
        <f>(378.12909-332.07285 )+(316.46822-308.52027)</f>
        <v>54.004189999999994</v>
      </c>
      <c r="D44">
        <f>(390.16885-319.42327 )</f>
        <v>70.745580000000018</v>
      </c>
      <c r="E44">
        <f>(369.45001-334.48002)+(315.4129 -311.35053 )</f>
        <v>39.032359999999983</v>
      </c>
      <c r="F44">
        <f>(356.42058-331.52556)</f>
        <v>24.895019999999988</v>
      </c>
      <c r="G44">
        <f>(381.82713-335.00022)+(318.27321-310.17479)+(300.70283-300.70208)</f>
        <v>54.926080000000013</v>
      </c>
      <c r="H44">
        <f>(370.32408-340.54984)+(316.86503 -314.92248)</f>
        <v>31.716789999999946</v>
      </c>
      <c r="V44" s="16" t="s">
        <v>18</v>
      </c>
      <c r="W44">
        <f t="shared" si="10"/>
        <v>0.28125</v>
      </c>
      <c r="X44">
        <f t="shared" si="10"/>
        <v>0.34375</v>
      </c>
      <c r="Y44">
        <f t="shared" si="10"/>
        <v>9.375E-2</v>
      </c>
      <c r="Z44">
        <f t="shared" si="10"/>
        <v>3.125E-2</v>
      </c>
      <c r="AA44">
        <f t="shared" si="10"/>
        <v>0</v>
      </c>
    </row>
    <row r="45" spans="1:27">
      <c r="B45">
        <f>(393.34146-312.39768)+(305.12938-303.37687)+(300.06318-300.06175)</f>
        <v>82.697720000000004</v>
      </c>
      <c r="C45">
        <f>(375.72378-327.64426)+(310.52611-308.36466)</f>
        <v>50.240970000000004</v>
      </c>
      <c r="D45">
        <f>(372.85759-330.18792)+(314.43249-310.51358 )</f>
        <v>46.588579999999979</v>
      </c>
      <c r="E45">
        <f>(370.30871-336.23152 )+(310.53962 -309.5772)</f>
        <v>35.039610000000039</v>
      </c>
      <c r="F45">
        <f>(357.15029-327.43129)+(311.93969-310.6793)</f>
        <v>30.979389999999967</v>
      </c>
      <c r="G45">
        <f>(383.16513-329.94325)+(307.7274-307.53593)</f>
        <v>53.41334999999998</v>
      </c>
      <c r="H45">
        <f>(341.17834-332.91108)</f>
        <v>8.2672599999999647</v>
      </c>
    </row>
    <row r="46" spans="1:27">
      <c r="B46">
        <f>(397.00383-305.72974)+(300.92954-300.92678)</f>
        <v>91.276849999999968</v>
      </c>
      <c r="C46">
        <f>(389.10535-325.6675)+(313.21142-308.21913)</f>
        <v>68.430139999999938</v>
      </c>
      <c r="D46">
        <f>(381.71702 -320.37086)+(309.11153 -307.15002)</f>
        <v>63.30767000000003</v>
      </c>
      <c r="E46">
        <f>(390.72585-309.28609 )</f>
        <v>81.439759999999978</v>
      </c>
      <c r="F46">
        <f>(333.44167 -328.53051)</f>
        <v>4.9111599999999953</v>
      </c>
      <c r="G46">
        <f>(351.65056-335.48028)+(310.48463 -309.89787)</f>
        <v>16.757039999999961</v>
      </c>
      <c r="H46">
        <f>(371.5849 -326.60271)</f>
        <v>44.982190000000003</v>
      </c>
    </row>
    <row r="48" spans="1:27">
      <c r="A48" t="s">
        <v>34</v>
      </c>
      <c r="B48">
        <f>AVERAGE(B39:B46)</f>
        <v>89.841966249999999</v>
      </c>
      <c r="C48">
        <f t="shared" ref="C48:F48" si="11">AVERAGE(C39:C46)</f>
        <v>71.978386249999986</v>
      </c>
      <c r="D48">
        <f t="shared" si="11"/>
        <v>64.075550000000007</v>
      </c>
      <c r="E48">
        <f t="shared" si="11"/>
        <v>48.44655375</v>
      </c>
      <c r="F48">
        <f t="shared" si="11"/>
        <v>32.008371249999996</v>
      </c>
      <c r="G48">
        <f>AVERAGE(G39:G46)</f>
        <v>29.58265750000001</v>
      </c>
      <c r="H48">
        <f>AVERAGE(H39:H46)</f>
        <v>27.204998749999994</v>
      </c>
    </row>
    <row r="49" spans="1:8">
      <c r="A49" t="s">
        <v>49</v>
      </c>
      <c r="B49">
        <f>STDEV(B39:B46)/SQRT(COUNT(B39:B46))</f>
        <v>2.1089180094828675</v>
      </c>
      <c r="C49">
        <f t="shared" ref="C49:H49" si="12">STDEV(C39:C46)/SQRT(COUNT(C39:C46))</f>
        <v>4.7355797976507104</v>
      </c>
      <c r="D49">
        <f t="shared" si="12"/>
        <v>5.4537314001863546</v>
      </c>
      <c r="E49">
        <f t="shared" si="12"/>
        <v>7.2616347258333196</v>
      </c>
      <c r="F49">
        <f t="shared" si="12"/>
        <v>6.4666736963379146</v>
      </c>
      <c r="G49">
        <f t="shared" si="12"/>
        <v>7.8064608680277763</v>
      </c>
      <c r="H49">
        <f t="shared" si="12"/>
        <v>7.2099432510537724</v>
      </c>
    </row>
    <row r="50" spans="1:8">
      <c r="A50" t="s">
        <v>35</v>
      </c>
      <c r="B50">
        <f>1.5*(B48)*291600*(8.6173*10^-5)/1000</f>
        <v>3.3863296988010307</v>
      </c>
      <c r="C50">
        <f t="shared" ref="C50:H50" si="13">1.5*(C48)*291600*(8.6173*10^-5)/1000</f>
        <v>2.7130143874177146</v>
      </c>
      <c r="D50">
        <f t="shared" si="13"/>
        <v>2.4151401287036101</v>
      </c>
      <c r="E50">
        <f t="shared" si="13"/>
        <v>1.8260509048930733</v>
      </c>
      <c r="F50">
        <f t="shared" si="13"/>
        <v>1.2064617761426617</v>
      </c>
      <c r="G50">
        <f t="shared" si="13"/>
        <v>1.1150316031925569</v>
      </c>
      <c r="H50">
        <f t="shared" si="13"/>
        <v>1.0254127226759122</v>
      </c>
    </row>
    <row r="51" spans="1:8">
      <c r="B51">
        <f>1.5*B49*291600*(8.6173*10^-5)/1000</f>
        <v>7.9489485659472517E-2</v>
      </c>
      <c r="C51">
        <f t="shared" ref="C51:H51" si="14">1.5*C49*291600*(8.6173*10^-5)/1000</f>
        <v>0.17849380617075239</v>
      </c>
      <c r="D51">
        <f t="shared" si="14"/>
        <v>0.20556242678776834</v>
      </c>
      <c r="E51">
        <f t="shared" si="14"/>
        <v>0.27370604585286723</v>
      </c>
      <c r="F51">
        <f t="shared" si="14"/>
        <v>0.24374231892286219</v>
      </c>
      <c r="G51">
        <f t="shared" si="14"/>
        <v>0.29424167105125587</v>
      </c>
      <c r="H51">
        <f t="shared" si="14"/>
        <v>0.27175768715673504</v>
      </c>
    </row>
    <row r="52" spans="1:8">
      <c r="G52" t="s">
        <v>37</v>
      </c>
    </row>
    <row r="53" spans="1:8">
      <c r="G53">
        <v>341.82033000000001</v>
      </c>
    </row>
    <row r="59" spans="1:8">
      <c r="G59">
        <v>329.94324999999998</v>
      </c>
    </row>
  </sheetData>
  <sortState ref="AA3:AA34">
    <sortCondition ref="AA3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showRuler="0" zoomScale="75" zoomScaleNormal="75" zoomScalePageLayoutView="75" workbookViewId="0">
      <selection activeCell="I38" sqref="I38"/>
    </sheetView>
  </sheetViews>
  <sheetFormatPr baseColWidth="10" defaultColWidth="11" defaultRowHeight="15" x14ac:dyDescent="0"/>
  <sheetData>
    <row r="1" spans="1:16">
      <c r="A1" t="s">
        <v>26</v>
      </c>
      <c r="D1" t="s">
        <v>51</v>
      </c>
    </row>
    <row r="2" spans="1:16">
      <c r="B2" s="10">
        <v>8</v>
      </c>
      <c r="C2" s="10">
        <v>10</v>
      </c>
      <c r="D2" s="10" t="s">
        <v>54</v>
      </c>
      <c r="E2" s="10">
        <v>12</v>
      </c>
      <c r="F2" s="10">
        <v>14</v>
      </c>
      <c r="G2" s="10">
        <v>16</v>
      </c>
      <c r="H2" s="10">
        <v>18</v>
      </c>
      <c r="I2" s="10">
        <v>20</v>
      </c>
      <c r="J2" s="10" t="s">
        <v>53</v>
      </c>
      <c r="K2" s="10">
        <v>22</v>
      </c>
      <c r="L2" s="10">
        <v>24</v>
      </c>
      <c r="M2" s="10">
        <v>26</v>
      </c>
      <c r="N2" s="10">
        <v>28</v>
      </c>
      <c r="O2" s="10">
        <v>30</v>
      </c>
      <c r="P2" s="10" t="s">
        <v>52</v>
      </c>
    </row>
    <row r="3" spans="1:16">
      <c r="A3">
        <v>1</v>
      </c>
      <c r="C3">
        <v>5</v>
      </c>
      <c r="D3">
        <v>1</v>
      </c>
      <c r="J3">
        <v>1</v>
      </c>
      <c r="O3">
        <v>1</v>
      </c>
      <c r="P3">
        <v>1</v>
      </c>
    </row>
    <row r="4" spans="1:16">
      <c r="A4">
        <v>2</v>
      </c>
      <c r="C4">
        <v>2</v>
      </c>
      <c r="D4">
        <v>2</v>
      </c>
    </row>
    <row r="5" spans="1:16">
      <c r="A5">
        <v>3</v>
      </c>
      <c r="C5">
        <v>5</v>
      </c>
      <c r="D5">
        <v>5</v>
      </c>
      <c r="J5">
        <v>7</v>
      </c>
      <c r="O5">
        <v>3</v>
      </c>
    </row>
    <row r="6" spans="1:16">
      <c r="A6">
        <v>4</v>
      </c>
      <c r="C6">
        <v>1</v>
      </c>
      <c r="J6">
        <v>1</v>
      </c>
      <c r="O6">
        <v>1</v>
      </c>
      <c r="P6">
        <v>1</v>
      </c>
    </row>
    <row r="7" spans="1:16">
      <c r="A7">
        <v>5</v>
      </c>
      <c r="C7">
        <v>1</v>
      </c>
      <c r="D7">
        <v>2</v>
      </c>
      <c r="J7">
        <v>1</v>
      </c>
      <c r="O7">
        <v>1</v>
      </c>
      <c r="P7">
        <v>1</v>
      </c>
    </row>
    <row r="8" spans="1:16">
      <c r="A8">
        <v>6</v>
      </c>
      <c r="C8">
        <v>1</v>
      </c>
      <c r="D8">
        <v>1</v>
      </c>
      <c r="O8">
        <v>2</v>
      </c>
      <c r="P8">
        <v>2</v>
      </c>
    </row>
    <row r="9" spans="1:16">
      <c r="A9">
        <v>7</v>
      </c>
      <c r="C9">
        <v>1</v>
      </c>
      <c r="D9">
        <v>1</v>
      </c>
      <c r="J9">
        <v>1</v>
      </c>
      <c r="O9">
        <v>1</v>
      </c>
    </row>
    <row r="10" spans="1:16">
      <c r="A10">
        <v>8</v>
      </c>
      <c r="C10">
        <v>18</v>
      </c>
      <c r="D10">
        <v>13</v>
      </c>
      <c r="J10">
        <v>1</v>
      </c>
    </row>
    <row r="11" spans="1:16">
      <c r="A11">
        <v>9</v>
      </c>
      <c r="C11">
        <v>2</v>
      </c>
      <c r="O11">
        <v>7</v>
      </c>
    </row>
    <row r="12" spans="1:16">
      <c r="A12">
        <v>10</v>
      </c>
      <c r="C12">
        <v>3</v>
      </c>
      <c r="O12">
        <v>10</v>
      </c>
    </row>
    <row r="13" spans="1:16">
      <c r="A13">
        <v>11</v>
      </c>
      <c r="C13">
        <v>27</v>
      </c>
      <c r="O13">
        <v>9</v>
      </c>
    </row>
    <row r="14" spans="1:16">
      <c r="A14">
        <v>12</v>
      </c>
      <c r="C14">
        <v>12</v>
      </c>
      <c r="O14">
        <v>2</v>
      </c>
    </row>
    <row r="15" spans="1:16">
      <c r="A15">
        <v>13</v>
      </c>
      <c r="C15">
        <v>13</v>
      </c>
      <c r="O15">
        <v>3</v>
      </c>
    </row>
    <row r="16" spans="1:16">
      <c r="A16">
        <v>14</v>
      </c>
      <c r="C16">
        <v>1</v>
      </c>
      <c r="O16">
        <v>1</v>
      </c>
    </row>
    <row r="17" spans="1:15">
      <c r="A17">
        <v>15</v>
      </c>
      <c r="C17">
        <v>1</v>
      </c>
      <c r="F17" s="15"/>
      <c r="O17">
        <v>1</v>
      </c>
    </row>
    <row r="18" spans="1:15">
      <c r="A18">
        <v>16</v>
      </c>
      <c r="C18">
        <v>2</v>
      </c>
      <c r="O18">
        <v>1</v>
      </c>
    </row>
    <row r="19" spans="1:15">
      <c r="A19">
        <v>17</v>
      </c>
    </row>
    <row r="20" spans="1:15">
      <c r="A20">
        <v>18</v>
      </c>
    </row>
    <row r="21" spans="1:15">
      <c r="A21">
        <v>19</v>
      </c>
    </row>
    <row r="22" spans="1:15">
      <c r="A22">
        <v>20</v>
      </c>
    </row>
    <row r="23" spans="1:15">
      <c r="A23">
        <v>21</v>
      </c>
    </row>
    <row r="24" spans="1:15">
      <c r="A24">
        <v>22</v>
      </c>
    </row>
    <row r="25" spans="1:15">
      <c r="A25">
        <v>23</v>
      </c>
    </row>
    <row r="26" spans="1:15">
      <c r="A26">
        <v>24</v>
      </c>
    </row>
    <row r="27" spans="1:15">
      <c r="A27">
        <v>25</v>
      </c>
    </row>
    <row r="28" spans="1:15">
      <c r="A28">
        <v>26</v>
      </c>
    </row>
    <row r="29" spans="1:15">
      <c r="A29">
        <v>27</v>
      </c>
    </row>
    <row r="30" spans="1:15">
      <c r="A30">
        <v>28</v>
      </c>
    </row>
    <row r="31" spans="1:15">
      <c r="A31">
        <v>29</v>
      </c>
    </row>
    <row r="32" spans="1:15">
      <c r="A32">
        <v>30</v>
      </c>
    </row>
    <row r="33" spans="1:16">
      <c r="A33">
        <v>31</v>
      </c>
    </row>
    <row r="34" spans="1:16">
      <c r="A34">
        <v>32</v>
      </c>
    </row>
    <row r="35" spans="1:16">
      <c r="B35" t="e">
        <f t="shared" ref="B35:O35" si="0">AVERAGE(B3:B34)</f>
        <v>#DIV/0!</v>
      </c>
      <c r="C35">
        <f t="shared" si="0"/>
        <v>5.9375</v>
      </c>
      <c r="D35">
        <f t="shared" ref="D35" si="1">AVERAGE(D3:D34)</f>
        <v>3.5714285714285716</v>
      </c>
      <c r="E35" t="e">
        <f t="shared" si="0"/>
        <v>#DIV/0!</v>
      </c>
      <c r="F35" t="e">
        <f t="shared" si="0"/>
        <v>#DIV/0!</v>
      </c>
      <c r="G35" t="e">
        <f t="shared" si="0"/>
        <v>#DIV/0!</v>
      </c>
      <c r="H35" t="e">
        <f t="shared" si="0"/>
        <v>#DIV/0!</v>
      </c>
      <c r="I35" t="e">
        <f t="shared" si="0"/>
        <v>#DIV/0!</v>
      </c>
      <c r="J35">
        <f t="shared" ref="J35" si="2">AVERAGE(J3:J34)</f>
        <v>2</v>
      </c>
      <c r="K35" t="e">
        <f t="shared" si="0"/>
        <v>#DIV/0!</v>
      </c>
      <c r="L35" t="e">
        <f t="shared" si="0"/>
        <v>#DIV/0!</v>
      </c>
      <c r="M35" t="e">
        <f t="shared" si="0"/>
        <v>#DIV/0!</v>
      </c>
      <c r="N35" t="e">
        <f t="shared" si="0"/>
        <v>#DIV/0!</v>
      </c>
      <c r="O35">
        <f t="shared" si="0"/>
        <v>3.0714285714285716</v>
      </c>
      <c r="P35">
        <f t="shared" ref="P35" si="3">AVERAGE(P3:P34)</f>
        <v>1.25</v>
      </c>
    </row>
    <row r="36" spans="1:16">
      <c r="B36" t="e">
        <f t="shared" ref="B36:L36" si="4">STDEV(B3:B34)/SQRT(COUNT(B3:B34))</f>
        <v>#DIV/0!</v>
      </c>
      <c r="C36">
        <f t="shared" si="4"/>
        <v>1.9136978819378292</v>
      </c>
      <c r="D36">
        <f t="shared" ref="D36" si="5">STDEV(D3:D34)/SQRT(COUNT(D3:D34))</f>
        <v>1.6598500055174641</v>
      </c>
      <c r="E36" t="e">
        <f t="shared" si="4"/>
        <v>#DIV/0!</v>
      </c>
      <c r="F36" t="e">
        <f t="shared" si="4"/>
        <v>#DIV/0!</v>
      </c>
      <c r="G36" t="e">
        <f t="shared" si="4"/>
        <v>#DIV/0!</v>
      </c>
      <c r="H36" t="e">
        <f t="shared" si="4"/>
        <v>#DIV/0!</v>
      </c>
      <c r="I36" t="e">
        <f t="shared" si="4"/>
        <v>#DIV/0!</v>
      </c>
      <c r="J36">
        <f t="shared" ref="J36" si="6">STDEV(J3:J34)/SQRT(COUNT(J3:J34))</f>
        <v>1</v>
      </c>
      <c r="K36" t="e">
        <f t="shared" si="4"/>
        <v>#DIV/0!</v>
      </c>
      <c r="L36" t="e">
        <f t="shared" si="4"/>
        <v>#DIV/0!</v>
      </c>
      <c r="M36" t="e">
        <f>STDEV(M3:M34)/SQRT(COUNT(M3:M34))</f>
        <v>#DIV/0!</v>
      </c>
      <c r="N36" t="e">
        <f t="shared" ref="N36:O36" si="7">STDEV(N3:N34)/SQRT(COUNT(N3:N34))</f>
        <v>#DIV/0!</v>
      </c>
      <c r="O36">
        <f t="shared" si="7"/>
        <v>0.84816729193127982</v>
      </c>
      <c r="P36">
        <f t="shared" ref="P36" si="8">STDEV(P3:P34)/SQRT(COUNT(P3:P34))</f>
        <v>0.25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15k</vt:lpstr>
      <vt:lpstr>10K gjf</vt:lpstr>
      <vt:lpstr>7.5K gjf</vt:lpstr>
      <vt:lpstr>10Kgjf rand1</vt:lpstr>
      <vt:lpstr>7.5K gjf rand1</vt:lpstr>
      <vt:lpstr>5k gjf rand1</vt:lpstr>
      <vt:lpstr>2.5k gjf rand1</vt:lpstr>
      <vt:lpstr>1.25k gjf rand1</vt:lpstr>
      <vt:lpstr>15kgjf rand1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2013-10-15T17:31:29Z</dcterms:created>
  <dcterms:modified xsi:type="dcterms:W3CDTF">2014-10-30T21:05:16Z</dcterms:modified>
</cp:coreProperties>
</file>