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920" yWindow="720" windowWidth="22800" windowHeight="18820" tabRatio="747" activeTab="9"/>
  </bookViews>
  <sheets>
    <sheet name="bcc Fe" sheetId="1" r:id="rId1"/>
    <sheet name="B2" sheetId="4" r:id="rId2"/>
    <sheet name="B2NiAl mag" sheetId="9" r:id="rId3"/>
    <sheet name="D03" sheetId="2" r:id="rId4"/>
    <sheet name="L12" sheetId="3" r:id="rId5"/>
    <sheet name="summary" sheetId="5" r:id="rId6"/>
    <sheet name="interface" sheetId="6" r:id="rId7"/>
    <sheet name="Fe 128" sheetId="7" r:id="rId8"/>
    <sheet name="fcc Al Ni" sheetId="8" r:id="rId9"/>
    <sheet name="Sheet1" sheetId="10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0" l="1"/>
  <c r="I8" i="10"/>
  <c r="I7" i="10"/>
  <c r="I6" i="10"/>
  <c r="B27" i="10"/>
  <c r="B26" i="10"/>
  <c r="B25" i="10"/>
  <c r="G10" i="10"/>
  <c r="H10" i="10"/>
  <c r="F10" i="10"/>
  <c r="B9" i="10"/>
  <c r="C9" i="10"/>
  <c r="C26" i="10"/>
  <c r="C27" i="10"/>
  <c r="C25" i="10"/>
  <c r="B22" i="10"/>
  <c r="B20" i="10"/>
  <c r="C6" i="10"/>
  <c r="H6" i="10"/>
  <c r="H7" i="10"/>
  <c r="H8" i="10"/>
  <c r="G7" i="10"/>
  <c r="G8" i="10"/>
  <c r="G6" i="10"/>
  <c r="F8" i="10"/>
  <c r="F17" i="10"/>
  <c r="F18" i="10"/>
  <c r="F16" i="10"/>
  <c r="F14" i="10"/>
  <c r="F7" i="10"/>
  <c r="F6" i="10"/>
  <c r="B6" i="10"/>
  <c r="D16" i="10"/>
  <c r="C16" i="10"/>
  <c r="D14" i="10"/>
  <c r="C14" i="10"/>
  <c r="D32" i="2"/>
  <c r="C27" i="4"/>
  <c r="G27" i="4"/>
  <c r="G26" i="4"/>
  <c r="G25" i="4"/>
  <c r="F25" i="4"/>
  <c r="G24" i="4"/>
  <c r="F17" i="4"/>
  <c r="O33" i="4"/>
  <c r="O32" i="4"/>
  <c r="O12" i="4"/>
  <c r="O13" i="4"/>
  <c r="J10" i="1"/>
  <c r="H10" i="1"/>
  <c r="I10" i="1"/>
  <c r="E24" i="2"/>
  <c r="E27" i="2"/>
  <c r="E26" i="2"/>
  <c r="K19" i="3"/>
  <c r="J19" i="3"/>
  <c r="K18" i="3"/>
  <c r="J18" i="3"/>
  <c r="K17" i="3"/>
  <c r="J17" i="3"/>
  <c r="C11" i="3"/>
  <c r="D11" i="3"/>
  <c r="E11" i="3"/>
  <c r="F11" i="3"/>
  <c r="G11" i="3"/>
  <c r="B11" i="3"/>
  <c r="C14" i="9"/>
  <c r="D14" i="9"/>
  <c r="E14" i="9"/>
  <c r="C9" i="9"/>
  <c r="D9" i="9"/>
  <c r="E9" i="9"/>
  <c r="B5" i="9"/>
  <c r="D5" i="9"/>
  <c r="C10" i="9"/>
  <c r="D10" i="9"/>
  <c r="E10" i="9"/>
  <c r="C11" i="9"/>
  <c r="D11" i="9"/>
  <c r="E11" i="9"/>
  <c r="B10" i="9"/>
  <c r="B12" i="9"/>
  <c r="B11" i="9"/>
  <c r="B14" i="9"/>
  <c r="B9" i="9"/>
  <c r="C5" i="9"/>
  <c r="D3" i="9"/>
  <c r="C3" i="9"/>
  <c r="B3" i="9"/>
  <c r="B24" i="2"/>
  <c r="B26" i="2"/>
  <c r="B27" i="2"/>
  <c r="D33" i="2"/>
  <c r="D34" i="2"/>
  <c r="D30" i="2"/>
  <c r="D24" i="2"/>
  <c r="A5" i="2"/>
  <c r="B5" i="2"/>
  <c r="D26" i="2"/>
  <c r="D27" i="2"/>
  <c r="Z45" i="4"/>
  <c r="Z44" i="4"/>
  <c r="Z43" i="4"/>
  <c r="W44" i="4"/>
  <c r="W45" i="4"/>
  <c r="W43" i="4"/>
  <c r="W23" i="4"/>
  <c r="W24" i="4"/>
  <c r="W22" i="4"/>
  <c r="AC37" i="4"/>
  <c r="AC36" i="4"/>
  <c r="AC35" i="4"/>
  <c r="AC14" i="4"/>
  <c r="AC15" i="4"/>
  <c r="AC16" i="4"/>
  <c r="R30" i="4"/>
  <c r="P30" i="4"/>
  <c r="B6" i="4"/>
  <c r="C6" i="4"/>
  <c r="P28" i="4"/>
  <c r="P29" i="4"/>
  <c r="N28" i="4"/>
  <c r="N29" i="4"/>
  <c r="P32" i="4"/>
  <c r="Q28" i="4"/>
  <c r="Q29" i="4"/>
  <c r="Q32" i="4"/>
  <c r="R28" i="4"/>
  <c r="R29" i="4"/>
  <c r="R32" i="4"/>
  <c r="O28" i="4"/>
  <c r="O29" i="4"/>
  <c r="N30" i="4"/>
  <c r="R27" i="4"/>
  <c r="Q27" i="4"/>
  <c r="P27" i="4"/>
  <c r="O27" i="4"/>
  <c r="N27" i="4"/>
  <c r="R21" i="4"/>
  <c r="R33" i="4"/>
  <c r="Q33" i="4"/>
  <c r="P33" i="4"/>
  <c r="R31" i="4"/>
  <c r="P31" i="4"/>
  <c r="N31" i="4"/>
  <c r="P21" i="4"/>
  <c r="P19" i="4"/>
  <c r="P20" i="4"/>
  <c r="N19" i="4"/>
  <c r="N20" i="4"/>
  <c r="P23" i="4"/>
  <c r="Q19" i="4"/>
  <c r="Q20" i="4"/>
  <c r="Q23" i="4"/>
  <c r="R19" i="4"/>
  <c r="R20" i="4"/>
  <c r="R23" i="4"/>
  <c r="O19" i="4"/>
  <c r="O20" i="4"/>
  <c r="O23" i="4"/>
  <c r="P18" i="4"/>
  <c r="Q18" i="4"/>
  <c r="R18" i="4"/>
  <c r="O18" i="4"/>
  <c r="R22" i="4"/>
  <c r="P22" i="4"/>
  <c r="P24" i="4"/>
  <c r="Q24" i="4"/>
  <c r="R24" i="4"/>
  <c r="N21" i="4"/>
  <c r="O24" i="4"/>
  <c r="N22" i="4"/>
  <c r="N18" i="4"/>
  <c r="D6" i="4"/>
  <c r="O44" i="4"/>
  <c r="O45" i="4"/>
  <c r="N44" i="4"/>
  <c r="N45" i="4"/>
  <c r="O46" i="4"/>
  <c r="O48" i="4"/>
  <c r="P37" i="4"/>
  <c r="P38" i="4"/>
  <c r="N37" i="4"/>
  <c r="N38" i="4"/>
  <c r="P39" i="4"/>
  <c r="O37" i="4"/>
  <c r="O38" i="4"/>
  <c r="O39" i="4"/>
  <c r="P62" i="4"/>
  <c r="P63" i="4"/>
  <c r="N62" i="4"/>
  <c r="N63" i="4"/>
  <c r="P66" i="4"/>
  <c r="P53" i="4"/>
  <c r="P54" i="4"/>
  <c r="N53" i="4"/>
  <c r="N54" i="4"/>
  <c r="P57" i="4"/>
  <c r="Q53" i="4"/>
  <c r="Q54" i="4"/>
  <c r="Q57" i="4"/>
  <c r="R53" i="4"/>
  <c r="R54" i="4"/>
  <c r="R57" i="4"/>
  <c r="O53" i="4"/>
  <c r="O54" i="4"/>
  <c r="O57" i="4"/>
  <c r="R58" i="4"/>
  <c r="Q58" i="4"/>
  <c r="P58" i="4"/>
  <c r="O58" i="4"/>
  <c r="R56" i="4"/>
  <c r="P56" i="4"/>
  <c r="R52" i="4"/>
  <c r="Q52" i="4"/>
  <c r="P52" i="4"/>
  <c r="O52" i="4"/>
  <c r="O62" i="4"/>
  <c r="O63" i="4"/>
  <c r="O66" i="4"/>
  <c r="O67" i="4"/>
  <c r="Q62" i="4"/>
  <c r="R64" i="4"/>
  <c r="R65" i="4"/>
  <c r="R44" i="4"/>
  <c r="R45" i="4"/>
  <c r="Q44" i="4"/>
  <c r="Q45" i="4"/>
  <c r="P64" i="4"/>
  <c r="P65" i="4"/>
  <c r="P67" i="4"/>
  <c r="Q63" i="4"/>
  <c r="Q66" i="4"/>
  <c r="Q67" i="4"/>
  <c r="R62" i="4"/>
  <c r="R63" i="4"/>
  <c r="R66" i="4"/>
  <c r="R67" i="4"/>
  <c r="P61" i="4"/>
  <c r="Q61" i="4"/>
  <c r="R61" i="4"/>
  <c r="O61" i="4"/>
  <c r="P48" i="4"/>
  <c r="N61" i="4"/>
  <c r="N64" i="4"/>
  <c r="N65" i="4"/>
  <c r="N55" i="4"/>
  <c r="N56" i="4"/>
  <c r="N52" i="4"/>
  <c r="Q48" i="4"/>
  <c r="R48" i="4"/>
  <c r="O8" i="4"/>
  <c r="N8" i="4"/>
  <c r="R37" i="4"/>
  <c r="R38" i="4"/>
  <c r="Q37" i="4"/>
  <c r="Q38" i="4"/>
  <c r="P44" i="4"/>
  <c r="P45" i="4"/>
  <c r="P46" i="4"/>
  <c r="P47" i="4"/>
  <c r="Q46" i="4"/>
  <c r="Q47" i="4"/>
  <c r="R46" i="4"/>
  <c r="R47" i="4"/>
  <c r="O47" i="4"/>
  <c r="O9" i="4"/>
  <c r="N9" i="4"/>
  <c r="W6" i="4"/>
  <c r="W7" i="4"/>
  <c r="W8" i="4"/>
  <c r="V6" i="4"/>
  <c r="V7" i="4"/>
  <c r="V8" i="4"/>
  <c r="Y53" i="4"/>
  <c r="Y54" i="4"/>
  <c r="Y55" i="4"/>
  <c r="X53" i="4"/>
  <c r="X54" i="4"/>
  <c r="X55" i="4"/>
  <c r="W53" i="4"/>
  <c r="W54" i="4"/>
  <c r="W55" i="4"/>
  <c r="T7" i="4"/>
  <c r="T8" i="4"/>
  <c r="T6" i="4"/>
  <c r="U7" i="4"/>
  <c r="U6" i="4"/>
  <c r="U54" i="4"/>
  <c r="U55" i="4"/>
  <c r="U53" i="4"/>
  <c r="V54" i="4"/>
  <c r="V55" i="4"/>
  <c r="V53" i="4"/>
  <c r="U8" i="4"/>
  <c r="K13" i="4"/>
  <c r="T9" i="4"/>
  <c r="U56" i="4"/>
  <c r="C7" i="1"/>
  <c r="E7" i="1"/>
  <c r="S8" i="1"/>
  <c r="Q39" i="4"/>
  <c r="R39" i="4"/>
  <c r="O14" i="4"/>
  <c r="N46" i="4"/>
  <c r="N47" i="4"/>
  <c r="N43" i="4"/>
  <c r="N39" i="4"/>
  <c r="N40" i="4"/>
  <c r="N36" i="4"/>
  <c r="C5" i="2"/>
  <c r="G11" i="2"/>
  <c r="G19" i="2"/>
  <c r="F19" i="2"/>
  <c r="F11" i="2"/>
  <c r="E11" i="2"/>
  <c r="D11" i="2"/>
  <c r="C11" i="2"/>
  <c r="B11" i="2"/>
  <c r="B5" i="3"/>
  <c r="A5" i="3"/>
  <c r="B12" i="3"/>
  <c r="C5" i="3"/>
  <c r="C12" i="3"/>
  <c r="G12" i="3"/>
  <c r="F12" i="3"/>
  <c r="E12" i="3"/>
  <c r="D12" i="3"/>
  <c r="I25" i="4"/>
  <c r="I26" i="4"/>
  <c r="I27" i="4"/>
  <c r="H25" i="4"/>
  <c r="H26" i="4"/>
  <c r="H27" i="4"/>
  <c r="I24" i="4"/>
  <c r="H24" i="4"/>
  <c r="D7" i="1"/>
  <c r="M31" i="1"/>
  <c r="K8" i="1"/>
  <c r="J8" i="1"/>
  <c r="M32" i="1"/>
  <c r="F26" i="4"/>
  <c r="F27" i="4"/>
  <c r="E25" i="4"/>
  <c r="E26" i="4"/>
  <c r="E27" i="4"/>
  <c r="H13" i="4"/>
  <c r="H14" i="4"/>
  <c r="H17" i="4"/>
  <c r="F13" i="4"/>
  <c r="F14" i="4"/>
  <c r="H21" i="8"/>
  <c r="B34" i="8"/>
  <c r="L22" i="8"/>
  <c r="L21" i="8"/>
  <c r="J22" i="8"/>
  <c r="J21" i="8"/>
  <c r="H18" i="8"/>
  <c r="H19" i="8"/>
  <c r="G21" i="8"/>
  <c r="I22" i="8"/>
  <c r="I21" i="8"/>
  <c r="G18" i="8"/>
  <c r="G19" i="8"/>
  <c r="I8" i="1"/>
  <c r="I13" i="4"/>
  <c r="I14" i="4"/>
  <c r="I17" i="4"/>
  <c r="G13" i="4"/>
  <c r="G14" i="4"/>
  <c r="G17" i="4"/>
  <c r="L13" i="4"/>
  <c r="Q8" i="4"/>
  <c r="Q9" i="4"/>
  <c r="Q13" i="4"/>
  <c r="Q12" i="4"/>
  <c r="R8" i="4"/>
  <c r="R9" i="4"/>
  <c r="R13" i="4"/>
  <c r="R14" i="4"/>
  <c r="Q14" i="4"/>
  <c r="P8" i="4"/>
  <c r="P9" i="4"/>
  <c r="P13" i="4"/>
  <c r="P12" i="4"/>
  <c r="P14" i="4"/>
  <c r="C7" i="8"/>
  <c r="F8" i="8"/>
  <c r="D8" i="8"/>
  <c r="R12" i="4"/>
  <c r="R7" i="4"/>
  <c r="Q7" i="4"/>
  <c r="P7" i="4"/>
  <c r="O7" i="4"/>
  <c r="N4" i="4"/>
  <c r="N5" i="4"/>
  <c r="N11" i="4"/>
  <c r="N7" i="4"/>
  <c r="M30" i="1"/>
  <c r="G8" i="8"/>
  <c r="D7" i="8"/>
  <c r="E7" i="8"/>
  <c r="C4" i="8"/>
  <c r="E8" i="8"/>
  <c r="G9" i="8"/>
  <c r="G7" i="8"/>
  <c r="C18" i="8"/>
  <c r="C19" i="8"/>
  <c r="C21" i="8"/>
  <c r="F7" i="8"/>
  <c r="B38" i="8"/>
  <c r="B32" i="8"/>
  <c r="F17" i="2"/>
  <c r="C5" i="8"/>
  <c r="E22" i="8"/>
  <c r="G17" i="2"/>
  <c r="E17" i="2"/>
  <c r="C17" i="2"/>
  <c r="B17" i="2"/>
  <c r="E3" i="7"/>
  <c r="E4" i="7"/>
  <c r="E7" i="7"/>
  <c r="E10" i="7"/>
  <c r="E6" i="7"/>
  <c r="C10" i="7"/>
  <c r="C3" i="7"/>
  <c r="C4" i="7"/>
  <c r="C6" i="7"/>
  <c r="A6" i="6"/>
  <c r="F22" i="6"/>
  <c r="F18" i="6"/>
  <c r="F19" i="6"/>
  <c r="F26" i="6"/>
  <c r="F29" i="6"/>
  <c r="H22" i="6"/>
  <c r="H18" i="6"/>
  <c r="H19" i="6"/>
  <c r="H26" i="6"/>
  <c r="H29" i="6"/>
  <c r="I22" i="6"/>
  <c r="I18" i="6"/>
  <c r="I19" i="6"/>
  <c r="I26" i="6"/>
  <c r="I29" i="6"/>
  <c r="J22" i="6"/>
  <c r="J18" i="6"/>
  <c r="J19" i="6"/>
  <c r="J26" i="6"/>
  <c r="J29" i="6"/>
  <c r="E22" i="6"/>
  <c r="E18" i="6"/>
  <c r="E19" i="6"/>
  <c r="E26" i="6"/>
  <c r="C22" i="6"/>
  <c r="C18" i="6"/>
  <c r="C19" i="6"/>
  <c r="C26" i="6"/>
  <c r="C29" i="6"/>
  <c r="E29" i="6"/>
  <c r="B22" i="6"/>
  <c r="B18" i="6"/>
  <c r="B19" i="6"/>
  <c r="B26" i="6"/>
  <c r="B29" i="6"/>
  <c r="B6" i="6"/>
  <c r="C6" i="6"/>
  <c r="B24" i="6"/>
  <c r="I20" i="6"/>
  <c r="J20" i="6"/>
  <c r="H20" i="6"/>
  <c r="F20" i="6"/>
  <c r="E20" i="6"/>
  <c r="G40" i="4"/>
  <c r="G34" i="4"/>
  <c r="G31" i="4"/>
  <c r="B7" i="1"/>
  <c r="Q20" i="1"/>
  <c r="E19" i="2"/>
  <c r="D19" i="2"/>
  <c r="C19" i="2"/>
  <c r="B19" i="2"/>
  <c r="G20" i="2"/>
  <c r="F20" i="2"/>
  <c r="E20" i="2"/>
  <c r="D20" i="2"/>
  <c r="C20" i="2"/>
  <c r="B20" i="2"/>
  <c r="C40" i="4"/>
  <c r="D40" i="4"/>
  <c r="C34" i="4"/>
  <c r="D34" i="4"/>
  <c r="C31" i="4"/>
  <c r="D31" i="4"/>
  <c r="G36" i="1"/>
  <c r="H36" i="1"/>
  <c r="G30" i="1"/>
  <c r="H30" i="1"/>
  <c r="G27" i="1"/>
  <c r="H27" i="1"/>
  <c r="I19" i="1"/>
  <c r="J20" i="1"/>
  <c r="J23" i="1"/>
  <c r="J22" i="1"/>
  <c r="I23" i="1"/>
  <c r="I22" i="1"/>
  <c r="R5" i="1"/>
  <c r="M4" i="1"/>
  <c r="N4" i="1"/>
  <c r="E24" i="4"/>
  <c r="F24" i="4"/>
  <c r="B25" i="4"/>
  <c r="C25" i="4"/>
  <c r="A25" i="4"/>
  <c r="B24" i="4"/>
  <c r="B21" i="4"/>
  <c r="N20" i="1"/>
  <c r="O20" i="1"/>
  <c r="M20" i="1"/>
  <c r="L20" i="1"/>
  <c r="Q5" i="1"/>
  <c r="R8" i="1"/>
  <c r="R7" i="1"/>
  <c r="P5" i="1"/>
  <c r="C20" i="6"/>
  <c r="I10" i="4"/>
  <c r="I12" i="4"/>
  <c r="H12" i="4"/>
  <c r="H10" i="4"/>
  <c r="C24" i="4"/>
  <c r="A24" i="4"/>
  <c r="C22" i="4"/>
  <c r="A22" i="4"/>
  <c r="C4" i="6"/>
  <c r="B4" i="6"/>
  <c r="A4" i="6"/>
  <c r="B20" i="6"/>
  <c r="P8" i="1"/>
  <c r="P7" i="1"/>
  <c r="M8" i="1"/>
  <c r="M7" i="1"/>
  <c r="Q7" i="1"/>
  <c r="Q8" i="1"/>
  <c r="N7" i="1"/>
  <c r="N8" i="1"/>
  <c r="L8" i="1"/>
  <c r="B13" i="3"/>
  <c r="L14" i="4"/>
  <c r="L12" i="4"/>
  <c r="K14" i="4"/>
  <c r="K12" i="4"/>
  <c r="O8" i="1"/>
  <c r="L7" i="1"/>
  <c r="O7" i="1"/>
  <c r="G13" i="3"/>
  <c r="F13" i="3"/>
  <c r="E13" i="3"/>
  <c r="D13" i="3"/>
  <c r="C13" i="3"/>
  <c r="C3" i="3"/>
  <c r="B3" i="3"/>
  <c r="A3" i="3"/>
  <c r="G10" i="4"/>
  <c r="D4" i="4"/>
  <c r="C4" i="4"/>
  <c r="B4" i="4"/>
  <c r="G12" i="4"/>
  <c r="F12" i="4"/>
  <c r="E12" i="4"/>
  <c r="F10" i="4"/>
  <c r="E10" i="4"/>
  <c r="C16" i="4"/>
  <c r="B16" i="4"/>
  <c r="C13" i="4"/>
  <c r="C14" i="4"/>
  <c r="B13" i="4"/>
  <c r="B14" i="4"/>
  <c r="C12" i="4"/>
  <c r="B12" i="4"/>
  <c r="B10" i="4"/>
  <c r="C12" i="2"/>
  <c r="D12" i="2"/>
  <c r="E12" i="2"/>
  <c r="F12" i="2"/>
  <c r="G12" i="2"/>
  <c r="B12" i="2"/>
  <c r="C3" i="2"/>
  <c r="B3" i="2"/>
  <c r="A3" i="2"/>
  <c r="K15" i="1"/>
  <c r="J15" i="1"/>
  <c r="I15" i="1"/>
  <c r="K14" i="1"/>
  <c r="K13" i="1"/>
  <c r="J14" i="1"/>
  <c r="K7" i="1"/>
  <c r="K5" i="1"/>
  <c r="I14" i="1"/>
  <c r="I13" i="1"/>
  <c r="I7" i="1"/>
  <c r="I5" i="1"/>
  <c r="J13" i="1"/>
  <c r="J7" i="1"/>
  <c r="J5" i="1"/>
  <c r="E13" i="1"/>
  <c r="D13" i="1"/>
  <c r="C13" i="1"/>
  <c r="B13" i="1"/>
  <c r="E5" i="1"/>
  <c r="D5" i="1"/>
  <c r="C5" i="1"/>
  <c r="B5" i="1"/>
</calcChain>
</file>

<file path=xl/sharedStrings.xml><?xml version="1.0" encoding="utf-8"?>
<sst xmlns="http://schemas.openxmlformats.org/spreadsheetml/2006/main" count="496" uniqueCount="181">
  <si>
    <t>VASP WORK</t>
  </si>
  <si>
    <t>fe bcc</t>
  </si>
  <si>
    <t>a0</t>
  </si>
  <si>
    <t>E</t>
  </si>
  <si>
    <t>L</t>
  </si>
  <si>
    <t>ao</t>
  </si>
  <si>
    <t>al fcc</t>
  </si>
  <si>
    <t>fe 54 bcc</t>
  </si>
  <si>
    <t>ni fcc</t>
  </si>
  <si>
    <t>al ni b2 54</t>
  </si>
  <si>
    <t>E/atom</t>
  </si>
  <si>
    <t>E form</t>
  </si>
  <si>
    <t>work from mishin 2005 fe-ni</t>
  </si>
  <si>
    <t>Fe bcc</t>
  </si>
  <si>
    <t>al ni b2</t>
  </si>
  <si>
    <t>E form/atom</t>
  </si>
  <si>
    <t>FeAl B2</t>
  </si>
  <si>
    <t>Ni3Al L12</t>
  </si>
  <si>
    <t>Fe3Al D03</t>
  </si>
  <si>
    <t>mag</t>
  </si>
  <si>
    <t>mag/atom</t>
  </si>
  <si>
    <t>54 fe nisub</t>
  </si>
  <si>
    <t>54 fe alsub</t>
  </si>
  <si>
    <t>iron defects</t>
  </si>
  <si>
    <t>&lt;110&gt;</t>
  </si>
  <si>
    <t>&lt;111&gt;</t>
  </si>
  <si>
    <t>vacancy</t>
  </si>
  <si>
    <t>Fu et.al, PRL 92 (2004) 175503</t>
  </si>
  <si>
    <t>fe sub al site</t>
  </si>
  <si>
    <t>fe sub ni site</t>
  </si>
  <si>
    <t>54 fe vac</t>
  </si>
  <si>
    <t>% a0 change</t>
  </si>
  <si>
    <t>%vol change</t>
  </si>
  <si>
    <t>energy</t>
  </si>
  <si>
    <t>magmom</t>
  </si>
  <si>
    <t>eform</t>
  </si>
  <si>
    <t>composition</t>
  </si>
  <si>
    <t>al3fe</t>
  </si>
  <si>
    <t>al3ni</t>
  </si>
  <si>
    <t>fe3al</t>
  </si>
  <si>
    <t>fe3ni</t>
  </si>
  <si>
    <t>ni3al</t>
  </si>
  <si>
    <t>ni3fe</t>
  </si>
  <si>
    <t>eform/atom</t>
  </si>
  <si>
    <t>FeNi B2</t>
  </si>
  <si>
    <t>54 fe 100</t>
  </si>
  <si>
    <t>54 fe 110</t>
  </si>
  <si>
    <t>E total</t>
  </si>
  <si>
    <t>Eform/at</t>
  </si>
  <si>
    <t>Magmom</t>
  </si>
  <si>
    <t>Mag/at</t>
  </si>
  <si>
    <t>isif3</t>
  </si>
  <si>
    <t>isif2</t>
  </si>
  <si>
    <t>54 fe 111</t>
  </si>
  <si>
    <t>Fe</t>
  </si>
  <si>
    <t>Al</t>
  </si>
  <si>
    <t>Ni</t>
  </si>
  <si>
    <t>d03</t>
  </si>
  <si>
    <t>l12</t>
  </si>
  <si>
    <t>b2</t>
  </si>
  <si>
    <t>L12</t>
  </si>
  <si>
    <t>D03</t>
  </si>
  <si>
    <t>feal</t>
  </si>
  <si>
    <t>alni</t>
  </si>
  <si>
    <t>feni</t>
  </si>
  <si>
    <t>nial</t>
  </si>
  <si>
    <t>Bonny</t>
  </si>
  <si>
    <t>DFT Table 1</t>
  </si>
  <si>
    <t>THIS WORK</t>
  </si>
  <si>
    <t>FeAl Mend</t>
  </si>
  <si>
    <t>Table 1</t>
  </si>
  <si>
    <t>FeNi Mish</t>
  </si>
  <si>
    <t>B2</t>
  </si>
  <si>
    <t>FeNi</t>
  </si>
  <si>
    <t>bccFe/b2NiAl surface</t>
  </si>
  <si>
    <t>2x2x6</t>
  </si>
  <si>
    <t>bcc</t>
  </si>
  <si>
    <t>alternate</t>
  </si>
  <si>
    <t>divacancy</t>
  </si>
  <si>
    <t>isif2a</t>
  </si>
  <si>
    <t>Ni vac</t>
  </si>
  <si>
    <t>Al vac</t>
  </si>
  <si>
    <t>1nn Ni-Al</t>
  </si>
  <si>
    <t>2nn Ni-Al</t>
  </si>
  <si>
    <t>antisite</t>
  </si>
  <si>
    <t>ni on al</t>
  </si>
  <si>
    <t>al on ni</t>
  </si>
  <si>
    <t>ibrion6</t>
  </si>
  <si>
    <t>c11</t>
  </si>
  <si>
    <t>c12</t>
  </si>
  <si>
    <t>c44</t>
  </si>
  <si>
    <t>ibrion6b</t>
  </si>
  <si>
    <t>ibrion6c</t>
  </si>
  <si>
    <t>POSCAR B</t>
  </si>
  <si>
    <t>3nn Ni-Al</t>
  </si>
  <si>
    <t>EXPT</t>
  </si>
  <si>
    <t>3x3x6</t>
  </si>
  <si>
    <t>isif2A</t>
  </si>
  <si>
    <t>isif2B</t>
  </si>
  <si>
    <t>3x3x8</t>
  </si>
  <si>
    <t>isif2C</t>
  </si>
  <si>
    <t>formation E</t>
  </si>
  <si>
    <t>N/F Energy</t>
  </si>
  <si>
    <t>eV/Ang^2</t>
  </si>
  <si>
    <t>J/m^2</t>
  </si>
  <si>
    <t>pure</t>
  </si>
  <si>
    <t>vac</t>
  </si>
  <si>
    <t>Al FCC</t>
  </si>
  <si>
    <t>Ni FCC</t>
  </si>
  <si>
    <t>fe sub</t>
  </si>
  <si>
    <t>fe sub-vac</t>
  </si>
  <si>
    <t>E bind</t>
  </si>
  <si>
    <t>54 fe al sub-vac</t>
  </si>
  <si>
    <t>Fe vac</t>
  </si>
  <si>
    <t>Fe antisite</t>
  </si>
  <si>
    <t>Al antisite</t>
  </si>
  <si>
    <t>w fresh poscar</t>
  </si>
  <si>
    <t>w/ contcar from G18</t>
  </si>
  <si>
    <t>pureB</t>
  </si>
  <si>
    <t>fe sub B</t>
  </si>
  <si>
    <t>fe oct</t>
  </si>
  <si>
    <t>fe oct B</t>
  </si>
  <si>
    <t>isym0</t>
  </si>
  <si>
    <t>isym1</t>
  </si>
  <si>
    <t>Fe vac isif3</t>
  </si>
  <si>
    <t>Ni vac isif3</t>
  </si>
  <si>
    <t>Ni antisite</t>
  </si>
  <si>
    <t>54 fe ni oct</t>
  </si>
  <si>
    <t>FeNi B2 pressure</t>
  </si>
  <si>
    <t>a</t>
  </si>
  <si>
    <t>E/at</t>
  </si>
  <si>
    <t>Ef</t>
  </si>
  <si>
    <t>Ef/at</t>
  </si>
  <si>
    <t>FeAlB2 pressure</t>
  </si>
  <si>
    <t>54 at</t>
  </si>
  <si>
    <t>2at</t>
  </si>
  <si>
    <t>54at</t>
  </si>
  <si>
    <t>2at1</t>
  </si>
  <si>
    <t>2at2</t>
  </si>
  <si>
    <t>2lat3</t>
  </si>
  <si>
    <t>Ef/atom</t>
  </si>
  <si>
    <t>FeNi B2 16</t>
  </si>
  <si>
    <t>Fe vac isif2</t>
  </si>
  <si>
    <t>Ni vac isif2</t>
  </si>
  <si>
    <t xml:space="preserve">FeNi B2 16 </t>
  </si>
  <si>
    <t>Ef/at defect</t>
  </si>
  <si>
    <t>16 at</t>
  </si>
  <si>
    <t>fe vac isif2</t>
  </si>
  <si>
    <t>fe vac isif3</t>
  </si>
  <si>
    <t>ni vac isif2</t>
  </si>
  <si>
    <t>ni vac isif3</t>
  </si>
  <si>
    <t>NiAl</t>
  </si>
  <si>
    <t>ibrion6 2at</t>
  </si>
  <si>
    <t>isym1 2.4Ang</t>
  </si>
  <si>
    <t>alfe3</t>
  </si>
  <si>
    <t>POSCAR C</t>
  </si>
  <si>
    <t>feal3</t>
  </si>
  <si>
    <t>mag/at</t>
  </si>
  <si>
    <t>2at press</t>
  </si>
  <si>
    <t>2 at press1</t>
  </si>
  <si>
    <t>2at press2</t>
  </si>
  <si>
    <t>ibrion6 mag</t>
  </si>
  <si>
    <t>c4</t>
  </si>
  <si>
    <t>L12 Fe3Ni</t>
  </si>
  <si>
    <t>nife3</t>
  </si>
  <si>
    <t>XC</t>
  </si>
  <si>
    <t>C11</t>
  </si>
  <si>
    <t>C12</t>
  </si>
  <si>
    <t>C44</t>
  </si>
  <si>
    <t>layering test</t>
  </si>
  <si>
    <t>fe_test</t>
  </si>
  <si>
    <t>pure iron reference</t>
  </si>
  <si>
    <t>lreal false</t>
  </si>
  <si>
    <t>layer 6 atoms</t>
  </si>
  <si>
    <t>Ef*</t>
  </si>
  <si>
    <t>falseA</t>
  </si>
  <si>
    <t>fe FALSE</t>
  </si>
  <si>
    <t>x</t>
  </si>
  <si>
    <t>yz</t>
  </si>
  <si>
    <t>fe TRUE</t>
  </si>
  <si>
    <t>layer 24at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</si>
</sst>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0"/>
    <numFmt numFmtId="166" formatCode="0.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11" fontId="0" fillId="0" borderId="0" xfId="0" applyNumberFormat="1"/>
    <xf numFmtId="164" fontId="4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0" fillId="0" borderId="0" xfId="0" applyFont="1"/>
    <xf numFmtId="166" fontId="0" fillId="0" borderId="0" xfId="0" applyNumberFormat="1"/>
    <xf numFmtId="166" fontId="1" fillId="0" borderId="0" xfId="0" applyNumberFormat="1" applyFont="1"/>
    <xf numFmtId="166" fontId="5" fillId="0" borderId="0" xfId="0" applyNumberFormat="1" applyFont="1"/>
    <xf numFmtId="164" fontId="6" fillId="0" borderId="0" xfId="0" applyNumberFormat="1" applyFont="1"/>
    <xf numFmtId="164" fontId="1" fillId="0" borderId="0" xfId="0" applyNumberFormat="1" applyFont="1"/>
    <xf numFmtId="0" fontId="1" fillId="0" borderId="0" xfId="0" applyFont="1"/>
    <xf numFmtId="165" fontId="1" fillId="0" borderId="0" xfId="0" applyNumberFormat="1" applyFont="1"/>
    <xf numFmtId="165" fontId="0" fillId="0" borderId="0" xfId="0" applyNumberFormat="1" applyFont="1"/>
    <xf numFmtId="11" fontId="7" fillId="0" borderId="0" xfId="0" applyNumberFormat="1" applyFont="1"/>
    <xf numFmtId="11" fontId="0" fillId="0" borderId="0" xfId="0" applyNumberFormat="1" applyFont="1"/>
    <xf numFmtId="0" fontId="0" fillId="0" borderId="1" xfId="0" applyBorder="1"/>
    <xf numFmtId="11" fontId="1" fillId="0" borderId="0" xfId="0" applyNumberFormat="1" applyFont="1"/>
  </cellXfs>
  <cellStyles count="4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zoomScale="80" zoomScaleNormal="80" zoomScalePageLayoutView="80" workbookViewId="0">
      <selection activeCell="C3" sqref="C3:C7"/>
    </sheetView>
  </sheetViews>
  <sheetFormatPr baseColWidth="10" defaultColWidth="10.83203125" defaultRowHeight="15" x14ac:dyDescent="0"/>
  <cols>
    <col min="1" max="16384" width="10.83203125" style="3"/>
  </cols>
  <sheetData>
    <row r="1" spans="1:19">
      <c r="A1" s="3" t="s">
        <v>0</v>
      </c>
    </row>
    <row r="2" spans="1:19">
      <c r="L2" s="3" t="s">
        <v>51</v>
      </c>
      <c r="M2" s="3" t="s">
        <v>79</v>
      </c>
      <c r="N2" s="3" t="s">
        <v>52</v>
      </c>
      <c r="O2" s="3" t="s">
        <v>51</v>
      </c>
      <c r="P2" s="3" t="s">
        <v>52</v>
      </c>
      <c r="Q2" s="3" t="s">
        <v>51</v>
      </c>
      <c r="R2" s="3" t="s">
        <v>52</v>
      </c>
    </row>
    <row r="3" spans="1:19">
      <c r="B3" s="3" t="s">
        <v>1</v>
      </c>
      <c r="C3" s="3" t="s">
        <v>7</v>
      </c>
      <c r="D3" s="3" t="s">
        <v>6</v>
      </c>
      <c r="E3" s="3" t="s">
        <v>8</v>
      </c>
      <c r="I3" s="3" t="s">
        <v>21</v>
      </c>
      <c r="J3" s="3" t="s">
        <v>22</v>
      </c>
      <c r="K3" s="3" t="s">
        <v>30</v>
      </c>
      <c r="L3" s="3" t="s">
        <v>45</v>
      </c>
      <c r="M3" s="3" t="s">
        <v>45</v>
      </c>
      <c r="N3" s="3" t="s">
        <v>45</v>
      </c>
      <c r="O3" s="3" t="s">
        <v>46</v>
      </c>
      <c r="P3" s="3" t="s">
        <v>46</v>
      </c>
      <c r="Q3" s="3" t="s">
        <v>53</v>
      </c>
      <c r="R3" s="3" t="s">
        <v>53</v>
      </c>
      <c r="S3" s="3" t="s">
        <v>127</v>
      </c>
    </row>
    <row r="4" spans="1:19">
      <c r="A4" s="3" t="s">
        <v>4</v>
      </c>
      <c r="B4" s="3">
        <v>2.83412</v>
      </c>
      <c r="C4" s="3">
        <v>8.5022300000000008</v>
      </c>
      <c r="D4" s="3">
        <v>4.0419200000000002</v>
      </c>
      <c r="E4" s="3">
        <v>3.5223200000000001</v>
      </c>
      <c r="I4" s="3">
        <v>8.51708</v>
      </c>
      <c r="J4" s="3">
        <v>8.5097500000000004</v>
      </c>
      <c r="K4" s="3">
        <v>8.4892400000000006</v>
      </c>
      <c r="M4" s="3">
        <f>M5*3</f>
        <v>8.5500000000000007</v>
      </c>
      <c r="N4" s="3">
        <f>N5*3</f>
        <v>8.5022400000000005</v>
      </c>
      <c r="P4" s="3">
        <v>8.5022300000000008</v>
      </c>
      <c r="Q4" s="3">
        <v>8.5867900000000006</v>
      </c>
      <c r="R4" s="3">
        <v>8.5022300000000008</v>
      </c>
    </row>
    <row r="5" spans="1:19">
      <c r="A5" s="3" t="s">
        <v>5</v>
      </c>
      <c r="B5" s="3">
        <f>B4/1</f>
        <v>2.83412</v>
      </c>
      <c r="C5" s="3">
        <f>C4/3</f>
        <v>2.8340766666666668</v>
      </c>
      <c r="D5" s="3">
        <f>D4/1</f>
        <v>4.0419200000000002</v>
      </c>
      <c r="E5" s="3">
        <f>E4/1</f>
        <v>3.5223200000000001</v>
      </c>
      <c r="I5" s="3">
        <f>I4/3</f>
        <v>2.8390266666666668</v>
      </c>
      <c r="J5" s="3">
        <f>J4/3</f>
        <v>2.8365833333333335</v>
      </c>
      <c r="K5" s="3">
        <f>K4/3</f>
        <v>2.8297466666666669</v>
      </c>
      <c r="M5" s="3">
        <v>2.85</v>
      </c>
      <c r="N5" s="3">
        <v>2.8340800000000002</v>
      </c>
      <c r="P5" s="3">
        <f t="shared" ref="P5:R5" si="0">P4/3</f>
        <v>2.8340766666666668</v>
      </c>
      <c r="Q5" s="3">
        <f>Q4/3</f>
        <v>2.8622633333333334</v>
      </c>
      <c r="R5" s="3">
        <f t="shared" si="0"/>
        <v>2.8340766666666668</v>
      </c>
    </row>
    <row r="6" spans="1:19">
      <c r="A6" s="3" t="s">
        <v>3</v>
      </c>
      <c r="B6" s="2">
        <v>-16.616845000000001</v>
      </c>
      <c r="C6" s="3">
        <v>-448.79115000000002</v>
      </c>
      <c r="D6" s="3">
        <v>-14.971221</v>
      </c>
      <c r="E6" s="3">
        <v>-22.273644999999998</v>
      </c>
      <c r="I6" s="3">
        <v>-445.96480000000003</v>
      </c>
      <c r="J6" s="3">
        <v>-444.96310999999997</v>
      </c>
      <c r="K6" s="3">
        <v>-438.3279</v>
      </c>
      <c r="L6" s="3">
        <v>-452.22631000000001</v>
      </c>
      <c r="M6" s="3">
        <v>-452.03631000000001</v>
      </c>
      <c r="N6" s="3">
        <v>-451.72536000000002</v>
      </c>
      <c r="O6" s="3">
        <v>-453.27003000000002</v>
      </c>
      <c r="P6" s="3">
        <v>-452.90681999999998</v>
      </c>
      <c r="Q6" s="3">
        <v>-452.61246999999997</v>
      </c>
      <c r="R6" s="3">
        <v>-452.17113000000001</v>
      </c>
      <c r="S6" s="3">
        <v>-430.60516000000001</v>
      </c>
    </row>
    <row r="7" spans="1:19">
      <c r="A7" s="3" t="s">
        <v>10</v>
      </c>
      <c r="B7" s="3">
        <f>B6/2</f>
        <v>-8.3084225000000007</v>
      </c>
      <c r="C7" s="3">
        <f>C6/54</f>
        <v>-8.3109472222222234</v>
      </c>
      <c r="D7" s="3">
        <f>D6/4</f>
        <v>-3.74280525</v>
      </c>
      <c r="E7" s="3">
        <f>E6/4</f>
        <v>-5.5684112499999996</v>
      </c>
      <c r="I7" s="3">
        <f>I6/54</f>
        <v>-8.2586074074074087</v>
      </c>
      <c r="J7" s="3">
        <f>J6/54</f>
        <v>-8.2400575925925921</v>
      </c>
      <c r="K7" s="3">
        <f>K6/53</f>
        <v>-8.270337735849056</v>
      </c>
      <c r="L7" s="3">
        <f t="shared" ref="L7:Q7" si="1">L6/53</f>
        <v>-8.5325718867924536</v>
      </c>
      <c r="M7" s="3">
        <f t="shared" si="1"/>
        <v>-8.5289869811320749</v>
      </c>
      <c r="N7" s="3">
        <f t="shared" si="1"/>
        <v>-8.5231200000000005</v>
      </c>
      <c r="O7" s="3">
        <f t="shared" si="1"/>
        <v>-8.5522647169811332</v>
      </c>
      <c r="P7" s="3">
        <f t="shared" si="1"/>
        <v>-8.5454116981132078</v>
      </c>
      <c r="Q7" s="3">
        <f t="shared" si="1"/>
        <v>-8.5398579245283006</v>
      </c>
      <c r="R7" s="3">
        <f t="shared" ref="R7" si="2">R6/53</f>
        <v>-8.5315307547169805</v>
      </c>
    </row>
    <row r="8" spans="1:19">
      <c r="A8" s="3" t="s">
        <v>11</v>
      </c>
      <c r="I8" s="3">
        <f>I6-53*C7-E7</f>
        <v>8.3814027777807887E-2</v>
      </c>
      <c r="J8" s="3">
        <f>J6-53*C7-D7</f>
        <v>-0.74010197222213847</v>
      </c>
      <c r="K8" s="3">
        <f>K6-53*$C$7</f>
        <v>2.1523027777778339</v>
      </c>
      <c r="L8" s="3">
        <f t="shared" ref="L8:Q8" si="3">L6-55*$C$7</f>
        <v>4.8757872222223</v>
      </c>
      <c r="M8" s="3">
        <f t="shared" si="3"/>
        <v>5.0657872222222977</v>
      </c>
      <c r="N8" s="3">
        <f t="shared" si="3"/>
        <v>5.3767372222222889</v>
      </c>
      <c r="O8" s="3">
        <f t="shared" si="3"/>
        <v>3.8320672222222925</v>
      </c>
      <c r="P8" s="3">
        <f t="shared" si="3"/>
        <v>4.1952772222223302</v>
      </c>
      <c r="Q8" s="3">
        <f t="shared" si="3"/>
        <v>4.4896272222223388</v>
      </c>
      <c r="R8" s="3">
        <f t="shared" ref="R8" si="4">R6-55*$C$7</f>
        <v>4.9309672222223071</v>
      </c>
      <c r="S8" s="3">
        <f>S6-54*$C$7-$E$7</f>
        <v>23.754401250000061</v>
      </c>
    </row>
    <row r="9" spans="1:19">
      <c r="H9" s="3">
        <v>119.35899999999999</v>
      </c>
      <c r="I9" s="3">
        <v>121.08540000000001</v>
      </c>
      <c r="J9" s="3">
        <v>116.2229</v>
      </c>
    </row>
    <row r="10" spans="1:19">
      <c r="H10" s="3">
        <f>H9/54</f>
        <v>2.2103518518518519</v>
      </c>
      <c r="I10" s="3">
        <f>I9/54</f>
        <v>2.2423222222222225</v>
      </c>
      <c r="J10" s="3">
        <f>J9/54</f>
        <v>2.1522759259259256</v>
      </c>
    </row>
    <row r="11" spans="1:19">
      <c r="A11" s="3" t="s">
        <v>15</v>
      </c>
    </row>
    <row r="12" spans="1:19">
      <c r="A12" s="3" t="s">
        <v>19</v>
      </c>
      <c r="B12" s="3">
        <v>4.4130000000000003</v>
      </c>
      <c r="C12" s="3">
        <v>119.35899999999999</v>
      </c>
      <c r="D12" s="3">
        <v>0</v>
      </c>
      <c r="E12" s="3">
        <v>2.2513999999999998</v>
      </c>
      <c r="I12" s="3">
        <v>121.08540000000001</v>
      </c>
      <c r="J12" s="3">
        <v>116.2229</v>
      </c>
      <c r="K12" s="3">
        <v>118.6647</v>
      </c>
    </row>
    <row r="13" spans="1:19">
      <c r="A13" s="3" t="s">
        <v>20</v>
      </c>
      <c r="B13" s="3">
        <f>B12/2</f>
        <v>2.2065000000000001</v>
      </c>
      <c r="C13" s="3">
        <f>C12/54</f>
        <v>2.2103518518518519</v>
      </c>
      <c r="D13" s="3">
        <f>D12/4</f>
        <v>0</v>
      </c>
      <c r="E13" s="3">
        <f>E12/4</f>
        <v>0.56284999999999996</v>
      </c>
      <c r="I13" s="3">
        <f>I12/54</f>
        <v>2.2423222222222225</v>
      </c>
      <c r="J13" s="3">
        <f>J12/54</f>
        <v>2.1522759259259256</v>
      </c>
      <c r="K13" s="3">
        <f>K12/53</f>
        <v>2.2389566037735849</v>
      </c>
    </row>
    <row r="14" spans="1:19">
      <c r="A14" s="3" t="s">
        <v>31</v>
      </c>
      <c r="I14" s="3">
        <f>100*(I4-C4)/C4</f>
        <v>0.17466005977254367</v>
      </c>
      <c r="J14" s="3">
        <f>100*(J4-C4)/C4</f>
        <v>8.8447383804008198E-2</v>
      </c>
      <c r="K14" s="3">
        <f>100*(K4-C4)/C4</f>
        <v>-0.15278344622528769</v>
      </c>
    </row>
    <row r="15" spans="1:19">
      <c r="A15" s="3" t="s">
        <v>32</v>
      </c>
      <c r="I15" s="3">
        <f>(I4^3-$C$4^3)/($C$4^3)</f>
        <v>5.2489589623239278E-3</v>
      </c>
      <c r="J15" s="3">
        <f>(J4^3-$C$4^3)/($C$4^3)</f>
        <v>2.6557690879495184E-3</v>
      </c>
      <c r="K15" s="3">
        <f>(K4^3-$C$4^3)/($C$4^3)</f>
        <v>-4.5765041187171068E-3</v>
      </c>
    </row>
    <row r="17" spans="1:17">
      <c r="A17" s="3" t="s">
        <v>12</v>
      </c>
      <c r="I17" s="3" t="s">
        <v>78</v>
      </c>
      <c r="L17" s="3" t="s">
        <v>82</v>
      </c>
      <c r="N17" s="3" t="s">
        <v>83</v>
      </c>
      <c r="P17" s="3" t="s">
        <v>94</v>
      </c>
    </row>
    <row r="18" spans="1:17">
      <c r="B18" s="3" t="s">
        <v>13</v>
      </c>
      <c r="I18" s="3" t="s">
        <v>52</v>
      </c>
      <c r="J18" s="3" t="s">
        <v>51</v>
      </c>
      <c r="L18" s="3" t="s">
        <v>52</v>
      </c>
      <c r="M18" s="3" t="s">
        <v>51</v>
      </c>
      <c r="N18" s="3" t="s">
        <v>52</v>
      </c>
      <c r="O18" s="3" t="s">
        <v>51</v>
      </c>
      <c r="P18" s="3" t="s">
        <v>52</v>
      </c>
      <c r="Q18" s="3" t="s">
        <v>51</v>
      </c>
    </row>
    <row r="19" spans="1:17">
      <c r="A19" s="3" t="s">
        <v>2</v>
      </c>
      <c r="B19" s="3">
        <v>2.831</v>
      </c>
      <c r="I19" s="3">
        <f>I20*3</f>
        <v>8.5022400000000005</v>
      </c>
      <c r="J19" s="3">
        <v>8.4659700000000004</v>
      </c>
      <c r="L19" s="3">
        <v>-442.30243999999999</v>
      </c>
      <c r="M19" s="3">
        <v>-442.31412999999998</v>
      </c>
      <c r="N19" s="3">
        <v>-442.04692</v>
      </c>
      <c r="O19" s="3">
        <v>-442.06905999999998</v>
      </c>
      <c r="Q19" s="3">
        <v>-442.14744999999999</v>
      </c>
    </row>
    <row r="20" spans="1:17">
      <c r="I20" s="3">
        <v>2.8340800000000002</v>
      </c>
      <c r="J20" s="3">
        <f>J19/3</f>
        <v>2.82199</v>
      </c>
      <c r="L20" s="3">
        <f>L19-52*$B7-$D7-$E7</f>
        <v>-0.95325349999996067</v>
      </c>
      <c r="M20" s="3">
        <f>M19-52*$B7-$D7-$E7</f>
        <v>-0.964943499999948</v>
      </c>
      <c r="N20" s="3">
        <f t="shared" ref="N20:O20" si="5">N19-52*$B7-$D7-$E7</f>
        <v>-0.6977334999999707</v>
      </c>
      <c r="O20" s="3">
        <f t="shared" si="5"/>
        <v>-0.71987349999994965</v>
      </c>
      <c r="Q20" s="3">
        <f>Q19-52*$B7-$D7-$E7</f>
        <v>-0.79826349999996271</v>
      </c>
    </row>
    <row r="21" spans="1:17">
      <c r="I21" s="3">
        <v>-428.00391999999999</v>
      </c>
      <c r="J21" s="3">
        <v>-428.02922000000001</v>
      </c>
    </row>
    <row r="22" spans="1:17">
      <c r="A22" s="3" t="s">
        <v>16</v>
      </c>
      <c r="I22" s="3">
        <f>I21/52</f>
        <v>-8.2308446153846155</v>
      </c>
      <c r="J22" s="3">
        <f>J21/52</f>
        <v>-8.2313311538461544</v>
      </c>
    </row>
    <row r="23" spans="1:17">
      <c r="A23" s="3" t="s">
        <v>18</v>
      </c>
      <c r="I23" s="3">
        <f>I21-(52/54)*C6</f>
        <v>4.1653355555555436</v>
      </c>
      <c r="J23" s="3">
        <f>J21-(52/54)*C6</f>
        <v>4.1400355555555279</v>
      </c>
    </row>
    <row r="24" spans="1:17">
      <c r="A24" s="3" t="s">
        <v>17</v>
      </c>
    </row>
    <row r="25" spans="1:17">
      <c r="F25" s="3" t="s">
        <v>1</v>
      </c>
    </row>
    <row r="26" spans="1:17">
      <c r="E26" s="3" t="s">
        <v>95</v>
      </c>
      <c r="F26" s="3" t="s">
        <v>87</v>
      </c>
      <c r="J26" s="3" t="s">
        <v>91</v>
      </c>
      <c r="K26" s="3" t="s">
        <v>92</v>
      </c>
      <c r="M26" s="3" t="s">
        <v>112</v>
      </c>
    </row>
    <row r="27" spans="1:17">
      <c r="A27" s="3" t="s">
        <v>23</v>
      </c>
      <c r="B27" s="3" t="s">
        <v>27</v>
      </c>
      <c r="E27" s="3">
        <v>243.1</v>
      </c>
      <c r="F27" s="4">
        <v>2460.1369</v>
      </c>
      <c r="G27" s="4">
        <f>AVERAGE(F27:F29)</f>
        <v>2453.6791666666668</v>
      </c>
      <c r="H27" s="3">
        <f>G27/10</f>
        <v>245.36791666666667</v>
      </c>
      <c r="I27" s="3" t="s">
        <v>88</v>
      </c>
      <c r="J27" s="3">
        <v>275.76508999999999</v>
      </c>
      <c r="K27" s="3">
        <v>277.64236</v>
      </c>
    </row>
    <row r="28" spans="1:17">
      <c r="A28" s="3" t="s">
        <v>24</v>
      </c>
      <c r="B28" s="3">
        <v>3.64</v>
      </c>
      <c r="F28" s="4">
        <v>2450.453</v>
      </c>
      <c r="G28" s="4"/>
    </row>
    <row r="29" spans="1:17">
      <c r="A29" s="3" t="s">
        <v>25</v>
      </c>
      <c r="B29" s="3">
        <v>4.34</v>
      </c>
      <c r="F29" s="4">
        <v>2450.4476</v>
      </c>
      <c r="G29" s="4"/>
      <c r="M29" s="3">
        <v>-434.81428</v>
      </c>
    </row>
    <row r="30" spans="1:17">
      <c r="A30" s="3" t="s">
        <v>26</v>
      </c>
      <c r="B30" s="3">
        <v>2.0699999999999998</v>
      </c>
      <c r="E30" s="3">
        <v>138.1</v>
      </c>
      <c r="F30" s="4">
        <v>1217.1577</v>
      </c>
      <c r="G30" s="4">
        <f>AVERAGE(F30:F35)</f>
        <v>1213.9890333333333</v>
      </c>
      <c r="H30" s="3">
        <f>G30/10</f>
        <v>121.39890333333332</v>
      </c>
      <c r="I30" s="3" t="s">
        <v>89</v>
      </c>
      <c r="J30" s="3">
        <v>134.41146000000001</v>
      </c>
      <c r="K30" s="3">
        <v>143.51007000000001</v>
      </c>
      <c r="M30" s="3">
        <f>M29/53</f>
        <v>-8.2040430188679245</v>
      </c>
    </row>
    <row r="31" spans="1:17">
      <c r="F31" s="4">
        <v>1212.915</v>
      </c>
      <c r="G31" s="4"/>
      <c r="M31" s="3">
        <f>M29-52*C7-D7</f>
        <v>1.0977808055555975</v>
      </c>
    </row>
    <row r="32" spans="1:17">
      <c r="F32" s="4">
        <v>1217.1577</v>
      </c>
      <c r="G32" s="4"/>
      <c r="M32" s="3">
        <f>M31-K8-J8</f>
        <v>-0.31442000000009784</v>
      </c>
    </row>
    <row r="33" spans="5:11">
      <c r="F33" s="4">
        <v>1212.915</v>
      </c>
      <c r="G33" s="4"/>
    </row>
    <row r="34" spans="5:11">
      <c r="F34" s="4">
        <v>1211.8943999999999</v>
      </c>
      <c r="G34" s="4"/>
    </row>
    <row r="35" spans="5:11">
      <c r="F35" s="4">
        <v>1211.8943999999999</v>
      </c>
      <c r="G35" s="4"/>
    </row>
    <row r="36" spans="5:11">
      <c r="E36" s="3">
        <v>121.9</v>
      </c>
      <c r="F36" s="4">
        <v>920.61890000000005</v>
      </c>
      <c r="G36" s="4">
        <f>AVERAGE(F36:F38)</f>
        <v>913.73880000000008</v>
      </c>
      <c r="H36" s="3">
        <f>G36/10</f>
        <v>91.373880000000014</v>
      </c>
      <c r="I36" s="3" t="s">
        <v>90</v>
      </c>
      <c r="J36" s="3">
        <v>99.281580000000005</v>
      </c>
      <c r="K36" s="3">
        <v>96.424930000000003</v>
      </c>
    </row>
    <row r="37" spans="5:11">
      <c r="F37" s="4">
        <v>910.58230000000003</v>
      </c>
      <c r="G37" s="4"/>
    </row>
    <row r="38" spans="5:11">
      <c r="F38" s="4">
        <v>910.01520000000005</v>
      </c>
      <c r="G38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tabSelected="1" workbookViewId="0">
      <selection activeCell="I11" sqref="I11"/>
    </sheetView>
  </sheetViews>
  <sheetFormatPr baseColWidth="10" defaultRowHeight="15" x14ac:dyDescent="0"/>
  <sheetData>
    <row r="2" spans="1:9">
      <c r="A2" t="s">
        <v>169</v>
      </c>
    </row>
    <row r="3" spans="1:9">
      <c r="F3" t="s">
        <v>173</v>
      </c>
      <c r="I3" t="s">
        <v>180</v>
      </c>
    </row>
    <row r="4" spans="1:9">
      <c r="A4" t="s">
        <v>170</v>
      </c>
      <c r="B4" t="b">
        <v>1</v>
      </c>
      <c r="C4" t="b">
        <v>0</v>
      </c>
      <c r="F4" t="s">
        <v>172</v>
      </c>
      <c r="G4" t="b">
        <v>1</v>
      </c>
      <c r="H4" t="s">
        <v>175</v>
      </c>
    </row>
    <row r="5" spans="1:9">
      <c r="A5" t="s">
        <v>3</v>
      </c>
      <c r="B5" s="1">
        <v>-49.845444999999998</v>
      </c>
      <c r="C5" s="1">
        <v>-49.889375999999999</v>
      </c>
      <c r="E5" t="s">
        <v>3</v>
      </c>
      <c r="F5" s="1">
        <v>-37.053941999999999</v>
      </c>
      <c r="G5" s="1">
        <v>-37.033287000000001</v>
      </c>
      <c r="H5" s="1">
        <v>-37.053955999999999</v>
      </c>
      <c r="I5" s="1">
        <v>-148.09603000000001</v>
      </c>
    </row>
    <row r="6" spans="1:9">
      <c r="A6" t="s">
        <v>130</v>
      </c>
      <c r="B6" s="3">
        <f>B5/6</f>
        <v>-8.3075741666666669</v>
      </c>
      <c r="C6" s="3">
        <f>C5/6</f>
        <v>-8.3148959999999992</v>
      </c>
      <c r="E6" t="s">
        <v>130</v>
      </c>
      <c r="F6" s="1">
        <f>F5/6</f>
        <v>-6.1756570000000002</v>
      </c>
      <c r="G6" s="1">
        <f>G5/6</f>
        <v>-6.1722144999999999</v>
      </c>
      <c r="H6" s="1">
        <f>H5/6</f>
        <v>-6.1756593333333329</v>
      </c>
      <c r="I6" s="1">
        <f>I5/24</f>
        <v>-6.1706679166666669</v>
      </c>
    </row>
    <row r="7" spans="1:9">
      <c r="A7" t="s">
        <v>2</v>
      </c>
      <c r="E7" t="s">
        <v>131</v>
      </c>
      <c r="F7">
        <f>(F5-2*$B$16-2*$C$16-2*$D$16)/6</f>
        <v>-0.30244399999999977</v>
      </c>
      <c r="G7">
        <f>(G5-2*$B$16-2*$C$16-2*$D$16)/6</f>
        <v>-0.29900150000000014</v>
      </c>
      <c r="H7">
        <f>(H5-2*$B$16-2*$C$16-2*$D$16)/6</f>
        <v>-0.30244633333333315</v>
      </c>
      <c r="I7">
        <f>(I5-8*$B$16-8*$C$16-8*$D$16)/24</f>
        <v>-0.29745491666666712</v>
      </c>
    </row>
    <row r="8" spans="1:9">
      <c r="A8" t="s">
        <v>34</v>
      </c>
      <c r="B8">
        <v>13.245200000000001</v>
      </c>
      <c r="C8">
        <v>13.0328</v>
      </c>
      <c r="E8" t="s">
        <v>174</v>
      </c>
      <c r="F8" s="4">
        <f>(F5-2*$B$16-4*$F$16)/6</f>
        <v>0.14366543827160547</v>
      </c>
      <c r="G8" s="4">
        <f>(G5-2*$B$16-4*$F$16)/6</f>
        <v>0.14710793827160509</v>
      </c>
      <c r="H8" s="4">
        <f>(H5-2*$B$16-4*$F$16)/6</f>
        <v>0.14366310493827208</v>
      </c>
      <c r="I8" s="4">
        <f>(I5-8*$B$16-16*$F$16)/24</f>
        <v>0.14865452160493811</v>
      </c>
    </row>
    <row r="9" spans="1:9">
      <c r="A9" t="s">
        <v>157</v>
      </c>
      <c r="B9">
        <f>B8/6</f>
        <v>2.2075333333333336</v>
      </c>
      <c r="C9">
        <f>C8/6</f>
        <v>2.1721333333333335</v>
      </c>
      <c r="E9" t="s">
        <v>34</v>
      </c>
      <c r="F9">
        <v>5.2257999999999996</v>
      </c>
      <c r="G9">
        <v>5.2298</v>
      </c>
      <c r="H9">
        <v>5.2244999999999999</v>
      </c>
      <c r="I9">
        <v>21.141300000000001</v>
      </c>
    </row>
    <row r="10" spans="1:9">
      <c r="E10" t="s">
        <v>157</v>
      </c>
      <c r="F10">
        <f>F9/6</f>
        <v>0.87096666666666656</v>
      </c>
      <c r="G10">
        <f t="shared" ref="G10:H10" si="0">G9/6</f>
        <v>0.87163333333333337</v>
      </c>
      <c r="H10">
        <f t="shared" si="0"/>
        <v>0.87075000000000002</v>
      </c>
      <c r="I10">
        <f>I9/24</f>
        <v>0.88088750000000005</v>
      </c>
    </row>
    <row r="11" spans="1:9">
      <c r="A11" t="s">
        <v>171</v>
      </c>
    </row>
    <row r="12" spans="1:9">
      <c r="B12" t="s">
        <v>1</v>
      </c>
      <c r="C12" s="3" t="s">
        <v>6</v>
      </c>
      <c r="D12" s="3" t="s">
        <v>8</v>
      </c>
      <c r="F12" s="3" t="s">
        <v>9</v>
      </c>
    </row>
    <row r="13" spans="1:9">
      <c r="A13" t="s">
        <v>4</v>
      </c>
      <c r="B13">
        <v>2.83412</v>
      </c>
      <c r="C13" s="3">
        <v>4.0419200000000002</v>
      </c>
      <c r="D13" s="3">
        <v>3.5223200000000001</v>
      </c>
      <c r="E13" s="3" t="s">
        <v>4</v>
      </c>
      <c r="F13" s="3">
        <v>8.6851199999999995</v>
      </c>
    </row>
    <row r="14" spans="1:9">
      <c r="A14" t="s">
        <v>5</v>
      </c>
      <c r="B14">
        <v>2.83412</v>
      </c>
      <c r="C14" s="3">
        <f>C13/1</f>
        <v>4.0419200000000002</v>
      </c>
      <c r="D14" s="3">
        <f>D13/1</f>
        <v>3.5223200000000001</v>
      </c>
      <c r="E14" s="3" t="s">
        <v>2</v>
      </c>
      <c r="F14" s="3">
        <f>F13/3</f>
        <v>2.8950399999999998</v>
      </c>
    </row>
    <row r="15" spans="1:9">
      <c r="A15" t="s">
        <v>3</v>
      </c>
      <c r="B15">
        <v>-16.616845000000001</v>
      </c>
      <c r="C15" s="3">
        <v>-14.971221</v>
      </c>
      <c r="D15" s="3">
        <v>-22.273644999999998</v>
      </c>
      <c r="E15" s="3" t="s">
        <v>47</v>
      </c>
      <c r="F15" s="3">
        <v>-287.53771</v>
      </c>
    </row>
    <row r="16" spans="1:9">
      <c r="A16" t="s">
        <v>10</v>
      </c>
      <c r="B16">
        <v>-8.3084225000000007</v>
      </c>
      <c r="C16" s="3">
        <f>C15/4</f>
        <v>-3.74280525</v>
      </c>
      <c r="D16" s="3">
        <f>D15/4</f>
        <v>-5.5684112499999996</v>
      </c>
      <c r="E16" s="3" t="s">
        <v>10</v>
      </c>
      <c r="F16" s="3">
        <f>F15/54</f>
        <v>-5.3247724074074076</v>
      </c>
    </row>
    <row r="17" spans="1:6">
      <c r="E17" s="3" t="s">
        <v>11</v>
      </c>
      <c r="F17" s="3">
        <f>F15-27*C16-27*D16</f>
        <v>-36.13486450000002</v>
      </c>
    </row>
    <row r="18" spans="1:6">
      <c r="B18" s="3" t="s">
        <v>7</v>
      </c>
      <c r="E18" s="3" t="s">
        <v>48</v>
      </c>
      <c r="F18" s="3">
        <f>F17/54</f>
        <v>-0.66916415740740776</v>
      </c>
    </row>
    <row r="19" spans="1:6">
      <c r="B19" s="3">
        <v>8.5022300000000008</v>
      </c>
    </row>
    <row r="20" spans="1:6">
      <c r="B20" s="3">
        <f>B19/3</f>
        <v>2.8340766666666668</v>
      </c>
    </row>
    <row r="21" spans="1:6">
      <c r="B21" s="3">
        <v>-448.79115000000002</v>
      </c>
    </row>
    <row r="22" spans="1:6">
      <c r="B22" s="3">
        <f>B21/54</f>
        <v>-8.3109472222222234</v>
      </c>
    </row>
    <row r="24" spans="1:6">
      <c r="B24" t="s">
        <v>179</v>
      </c>
      <c r="C24" t="s">
        <v>176</v>
      </c>
    </row>
    <row r="25" spans="1:6">
      <c r="A25" t="s">
        <v>177</v>
      </c>
      <c r="B25">
        <f>2.85*2.98515296707924</f>
        <v>8.507685956175834</v>
      </c>
      <c r="C25">
        <f>2.85*2.99666053429035</f>
        <v>8.5404825227274976</v>
      </c>
    </row>
    <row r="26" spans="1:6">
      <c r="A26" t="s">
        <v>177</v>
      </c>
      <c r="B26">
        <f>B25/3</f>
        <v>2.835895318725278</v>
      </c>
      <c r="C26">
        <f>C25/3</f>
        <v>2.8468275075758327</v>
      </c>
    </row>
    <row r="27" spans="1:6">
      <c r="A27" t="s">
        <v>178</v>
      </c>
      <c r="B27">
        <f>2.85*0.993027160880778</f>
        <v>2.8301274085102173</v>
      </c>
      <c r="C27">
        <f>2.85*0.990333150572146</f>
        <v>2.8224494791306163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68"/>
  <sheetViews>
    <sheetView workbookViewId="0">
      <selection activeCell="A8" sqref="A8:B14"/>
    </sheetView>
  </sheetViews>
  <sheetFormatPr baseColWidth="10" defaultColWidth="11" defaultRowHeight="15" x14ac:dyDescent="0"/>
  <sheetData>
    <row r="2" spans="1:29">
      <c r="A2" s="3"/>
      <c r="B2" s="3" t="s">
        <v>1</v>
      </c>
      <c r="C2" s="3" t="s">
        <v>6</v>
      </c>
      <c r="D2" s="3" t="s">
        <v>8</v>
      </c>
    </row>
    <row r="3" spans="1:29">
      <c r="A3" s="3" t="s">
        <v>4</v>
      </c>
      <c r="B3" s="3">
        <v>2.83412</v>
      </c>
      <c r="C3" s="3">
        <v>4.0419200000000002</v>
      </c>
      <c r="D3" s="3">
        <v>3.5223200000000001</v>
      </c>
      <c r="M3" t="s">
        <v>136</v>
      </c>
      <c r="N3" s="3" t="s">
        <v>16</v>
      </c>
      <c r="O3" t="s">
        <v>142</v>
      </c>
      <c r="P3" t="s">
        <v>81</v>
      </c>
      <c r="Q3" t="s">
        <v>114</v>
      </c>
      <c r="R3" t="s">
        <v>115</v>
      </c>
      <c r="T3" t="s">
        <v>133</v>
      </c>
    </row>
    <row r="4" spans="1:29">
      <c r="A4" s="3" t="s">
        <v>5</v>
      </c>
      <c r="B4" s="3">
        <f>B3/1</f>
        <v>2.83412</v>
      </c>
      <c r="C4" s="3">
        <f>C3/1</f>
        <v>4.0419200000000002</v>
      </c>
      <c r="D4" s="3">
        <f>D3/1</f>
        <v>3.5223200000000001</v>
      </c>
      <c r="M4" t="s">
        <v>122</v>
      </c>
      <c r="N4" s="3">
        <f>2.85*3.02651</f>
        <v>8.6255535000000005</v>
      </c>
      <c r="O4" s="3"/>
      <c r="T4" t="s">
        <v>134</v>
      </c>
      <c r="U4" t="s">
        <v>135</v>
      </c>
      <c r="V4" t="s">
        <v>137</v>
      </c>
      <c r="W4" t="s">
        <v>138</v>
      </c>
    </row>
    <row r="5" spans="1:29">
      <c r="A5" s="3" t="s">
        <v>3</v>
      </c>
      <c r="B5" s="2">
        <v>-16.616845000000001</v>
      </c>
      <c r="C5" s="3">
        <v>-14.971221</v>
      </c>
      <c r="D5" s="3">
        <v>-22.273644999999998</v>
      </c>
      <c r="N5" s="3">
        <f>N4/3</f>
        <v>2.8751845</v>
      </c>
      <c r="T5" s="1">
        <v>-341.07542000000001</v>
      </c>
      <c r="U5" s="1">
        <v>-12.622578000000001</v>
      </c>
      <c r="V5" s="1">
        <v>-6.9359944999999996</v>
      </c>
      <c r="W5" s="1">
        <v>21.825892</v>
      </c>
      <c r="X5" t="s">
        <v>3</v>
      </c>
    </row>
    <row r="6" spans="1:29">
      <c r="A6" s="3" t="s">
        <v>10</v>
      </c>
      <c r="B6" s="3">
        <f>B5/2</f>
        <v>-8.3084225000000007</v>
      </c>
      <c r="C6" s="3">
        <f>C5/4</f>
        <v>-3.74280525</v>
      </c>
      <c r="D6" s="3">
        <f>D5/4</f>
        <v>-5.5684112499999996</v>
      </c>
      <c r="N6" s="3">
        <v>-343.40501</v>
      </c>
      <c r="O6" s="1">
        <v>-334.34195</v>
      </c>
      <c r="P6" s="1">
        <v>-337.30043999999998</v>
      </c>
      <c r="Q6" s="1">
        <v>-347.27895000000001</v>
      </c>
      <c r="R6" s="1">
        <v>-338.32251000000002</v>
      </c>
      <c r="T6" s="1">
        <f>T5/54</f>
        <v>-6.3162114814814814</v>
      </c>
      <c r="U6" s="1">
        <f>U5/2</f>
        <v>-6.3112890000000004</v>
      </c>
      <c r="V6" s="1">
        <f>V5/2</f>
        <v>-3.4679972499999998</v>
      </c>
      <c r="W6" s="1">
        <f>W5/2</f>
        <v>10.912946</v>
      </c>
      <c r="X6" t="s">
        <v>130</v>
      </c>
    </row>
    <row r="7" spans="1:29">
      <c r="N7" s="3">
        <f>N6/54</f>
        <v>-6.3593520370370369</v>
      </c>
      <c r="O7" s="1">
        <f>O6/53</f>
        <v>-6.3083386792452831</v>
      </c>
      <c r="P7" s="1">
        <f>P6/53</f>
        <v>-6.3641592452830187</v>
      </c>
      <c r="Q7" s="1">
        <f>Q6/54</f>
        <v>-6.4310916666666671</v>
      </c>
      <c r="R7" s="1">
        <f>R6/54</f>
        <v>-6.2652316666666668</v>
      </c>
      <c r="T7" s="3">
        <f>T5-27*$B$6-27*$C$6</f>
        <v>-15.692270749999992</v>
      </c>
      <c r="U7" s="3">
        <f>U5-$B$6-$C$6</f>
        <v>-0.57135025000000006</v>
      </c>
      <c r="V7" s="3">
        <f>V5-$B$6-$C$6</f>
        <v>5.1152332500000011</v>
      </c>
      <c r="W7" s="3">
        <f>W5-$B$6-$C$6</f>
        <v>33.877119750000006</v>
      </c>
      <c r="X7" t="s">
        <v>131</v>
      </c>
    </row>
    <row r="8" spans="1:29">
      <c r="B8" s="3" t="s">
        <v>9</v>
      </c>
      <c r="C8" s="3" t="s">
        <v>14</v>
      </c>
      <c r="E8" s="3" t="s">
        <v>9</v>
      </c>
      <c r="F8" s="3" t="s">
        <v>28</v>
      </c>
      <c r="G8" s="3" t="s">
        <v>29</v>
      </c>
      <c r="H8" s="3" t="s">
        <v>80</v>
      </c>
      <c r="I8" s="3" t="s">
        <v>81</v>
      </c>
      <c r="K8" s="3" t="s">
        <v>16</v>
      </c>
      <c r="L8" s="3" t="s">
        <v>44</v>
      </c>
      <c r="N8" s="3">
        <f>N6-27*$B$6-27*$C$6</f>
        <v>-18.021860749999988</v>
      </c>
      <c r="O8" s="3">
        <f>O6-26*$B$6-27*$C$6</f>
        <v>-17.267223249999986</v>
      </c>
      <c r="P8" s="3">
        <f>P6-27*$B$6-26*$C$6</f>
        <v>-15.660095999999953</v>
      </c>
      <c r="Q8" s="3">
        <f>Q6-28*$B$6-26*$C$6</f>
        <v>-17.330183499999976</v>
      </c>
      <c r="R8" s="3">
        <f>R6-26*$B$6-28*$C$6</f>
        <v>-17.504978000000008</v>
      </c>
      <c r="T8">
        <f>T7/54</f>
        <v>-0.29059760648148131</v>
      </c>
      <c r="U8">
        <f>U7/2</f>
        <v>-0.28567512500000003</v>
      </c>
      <c r="V8">
        <f>V7/2</f>
        <v>2.5576166250000005</v>
      </c>
      <c r="W8">
        <f>W7/2</f>
        <v>16.938559875000003</v>
      </c>
      <c r="X8" t="s">
        <v>132</v>
      </c>
    </row>
    <row r="9" spans="1:29">
      <c r="A9" s="3" t="s">
        <v>4</v>
      </c>
      <c r="B9" s="3">
        <v>8.6851199999999995</v>
      </c>
      <c r="C9" s="3"/>
      <c r="E9" s="3">
        <v>8.6851199999999995</v>
      </c>
      <c r="F9" s="3">
        <v>8.6704600000000003</v>
      </c>
      <c r="G9" s="3">
        <v>8.6827000000000005</v>
      </c>
      <c r="H9" s="3">
        <v>8.6679600000000008</v>
      </c>
      <c r="I9" s="3">
        <v>8.6585686500000012</v>
      </c>
      <c r="K9" s="3">
        <v>2.8769999999999998</v>
      </c>
      <c r="L9" s="3">
        <v>2.77799</v>
      </c>
      <c r="N9" s="10">
        <f>N8/54</f>
        <v>-0.33373816203703682</v>
      </c>
      <c r="O9" s="3">
        <f>O8/53</f>
        <v>-0.32579666509433935</v>
      </c>
      <c r="P9" s="3">
        <f>P8/53</f>
        <v>-0.29547350943396139</v>
      </c>
      <c r="Q9" s="3">
        <f>Q8/54</f>
        <v>-0.3209293240740736</v>
      </c>
      <c r="R9" s="3">
        <f>R8/54</f>
        <v>-0.3241662592592594</v>
      </c>
      <c r="T9">
        <f>T10*3</f>
        <v>8.3999999999999986</v>
      </c>
      <c r="U9">
        <v>2.8</v>
      </c>
      <c r="V9">
        <v>2.4</v>
      </c>
      <c r="W9">
        <v>2</v>
      </c>
      <c r="X9" t="s">
        <v>129</v>
      </c>
    </row>
    <row r="10" spans="1:29">
      <c r="A10" s="3" t="s">
        <v>2</v>
      </c>
      <c r="B10" s="3">
        <f>B9/3</f>
        <v>2.8950399999999998</v>
      </c>
      <c r="C10" s="3"/>
      <c r="E10" s="3">
        <f>E9/3</f>
        <v>2.8950399999999998</v>
      </c>
      <c r="F10" s="3">
        <f>F9/3</f>
        <v>2.8901533333333336</v>
      </c>
      <c r="G10" s="3">
        <f>G9/3</f>
        <v>2.8942333333333337</v>
      </c>
      <c r="H10" s="3">
        <f>H9/3</f>
        <v>2.8893200000000001</v>
      </c>
      <c r="I10" s="3">
        <f>I9/3</f>
        <v>2.8861895500000005</v>
      </c>
      <c r="K10" s="3">
        <v>2.8769999999999998</v>
      </c>
      <c r="L10" s="3">
        <v>2.77799</v>
      </c>
      <c r="N10" s="3">
        <v>19.229900000000001</v>
      </c>
      <c r="T10">
        <v>2.8</v>
      </c>
      <c r="U10">
        <v>2.8</v>
      </c>
      <c r="V10">
        <v>2.4</v>
      </c>
      <c r="W10">
        <v>2</v>
      </c>
      <c r="X10" t="s">
        <v>2</v>
      </c>
    </row>
    <row r="11" spans="1:29">
      <c r="A11" s="3" t="s">
        <v>47</v>
      </c>
      <c r="B11" s="3">
        <v>-287.53771</v>
      </c>
      <c r="C11" s="3">
        <v>-10.645497000000001</v>
      </c>
      <c r="E11" s="3">
        <v>-287.53771</v>
      </c>
      <c r="F11" s="3">
        <v>-289.96978999999999</v>
      </c>
      <c r="G11" s="3">
        <v>-289.56830000000002</v>
      </c>
      <c r="H11" s="3">
        <v>-280.94105000000002</v>
      </c>
      <c r="I11" s="3">
        <v>-281.35682000000003</v>
      </c>
      <c r="K11" s="3">
        <v>-12.712991000000001</v>
      </c>
      <c r="L11" s="1">
        <v>-13.125344999999999</v>
      </c>
      <c r="N11">
        <f>N10/54</f>
        <v>0.35610925925925929</v>
      </c>
    </row>
    <row r="12" spans="1:29">
      <c r="A12" s="3" t="s">
        <v>10</v>
      </c>
      <c r="B12" s="3">
        <f>B11/54</f>
        <v>-5.3247724074074076</v>
      </c>
      <c r="C12" s="3">
        <f>C11/2</f>
        <v>-5.3227485000000003</v>
      </c>
      <c r="E12" s="3">
        <f>E11/54</f>
        <v>-5.3247724074074076</v>
      </c>
      <c r="F12" s="3">
        <f>F11/54</f>
        <v>-5.3698109259259255</v>
      </c>
      <c r="G12" s="3">
        <f>G11/54</f>
        <v>-5.3623759259259263</v>
      </c>
      <c r="H12" s="3">
        <f>H11/53</f>
        <v>-5.3007745283018872</v>
      </c>
      <c r="I12" s="3">
        <f>I11/53</f>
        <v>-5.308619245283019</v>
      </c>
      <c r="K12" s="3">
        <f>K11/2</f>
        <v>-6.3564955000000003</v>
      </c>
      <c r="L12" s="3">
        <f>L11/2</f>
        <v>-6.5626724999999997</v>
      </c>
      <c r="O12" s="9">
        <f>O8-$N8</f>
        <v>0.75463750000000118</v>
      </c>
      <c r="P12" s="9">
        <f>P8-$N8</f>
        <v>2.3617647500000345</v>
      </c>
      <c r="Q12" s="9">
        <f>Q8-$N8</f>
        <v>0.69167725000001212</v>
      </c>
      <c r="R12" s="9">
        <f>R8-$N8</f>
        <v>0.5168827499999793</v>
      </c>
    </row>
    <row r="13" spans="1:29">
      <c r="A13" s="3" t="s">
        <v>11</v>
      </c>
      <c r="B13" s="3">
        <f>B11-27*'bcc Fe'!D7-27*'bcc Fe'!E7</f>
        <v>-36.13486450000002</v>
      </c>
      <c r="C13" s="3">
        <f>C11-'bcc Fe'!D7-'bcc Fe'!E7</f>
        <v>-1.3342805000000011</v>
      </c>
      <c r="E13" s="3">
        <v>-36.13486450000002</v>
      </c>
      <c r="F13" s="3">
        <f>F11-26*'bcc Fe'!D7-27*'bcc Fe'!E7-'bcc Fe'!C7</f>
        <v>-33.998802527777755</v>
      </c>
      <c r="G13" s="3">
        <f>G11-26*D6-27*C6-B6</f>
        <v>-35.42544325000005</v>
      </c>
      <c r="H13" s="3">
        <f>H11-27*C6-26*D6</f>
        <v>-35.10661575000006</v>
      </c>
      <c r="I13" s="3">
        <f>I11-26*C6-27*D6</f>
        <v>-33.696779750000019</v>
      </c>
      <c r="K13" s="3">
        <f>K11-$B$6-$C$6</f>
        <v>-0.66176324999999991</v>
      </c>
      <c r="L13" s="3">
        <f>L11-B6-D6</f>
        <v>0.75148875000000093</v>
      </c>
      <c r="N13" t="s">
        <v>140</v>
      </c>
      <c r="O13" s="10">
        <f>O9-$N9</f>
        <v>7.941496942697468E-3</v>
      </c>
      <c r="P13" s="10">
        <f>P9-$N9</f>
        <v>3.8264652603075433E-2</v>
      </c>
      <c r="Q13" s="10">
        <f>Q9-$N9</f>
        <v>1.2808837962963227E-2</v>
      </c>
      <c r="R13" s="10">
        <f t="shared" ref="R13" si="0">R9-$N9</f>
        <v>9.571902777777419E-3</v>
      </c>
      <c r="V13" t="s">
        <v>152</v>
      </c>
      <c r="W13" t="s">
        <v>122</v>
      </c>
    </row>
    <row r="14" spans="1:29">
      <c r="A14" s="3" t="s">
        <v>48</v>
      </c>
      <c r="B14" s="3">
        <f>B13/54</f>
        <v>-0.66916415740740776</v>
      </c>
      <c r="C14" s="3">
        <f>C13/2</f>
        <v>-0.66714025000000055</v>
      </c>
      <c r="E14" s="3">
        <v>-0.66916415740740776</v>
      </c>
      <c r="F14" s="3">
        <f>F13/54</f>
        <v>-0.6296074542181066</v>
      </c>
      <c r="G14" s="3">
        <f>G13/54</f>
        <v>-0.65602672685185281</v>
      </c>
      <c r="H14" s="3">
        <f>H13/53</f>
        <v>-0.66238897641509542</v>
      </c>
      <c r="I14" s="3">
        <f>I13/53</f>
        <v>-0.63578829716981167</v>
      </c>
      <c r="K14" s="10">
        <f>K13/2</f>
        <v>-0.33088162499999996</v>
      </c>
      <c r="L14" s="10">
        <f>L13/2</f>
        <v>0.37574437500000046</v>
      </c>
      <c r="O14" s="11">
        <f>O13*53</f>
        <v>0.4208993379629658</v>
      </c>
      <c r="P14" s="11">
        <f>P13*53</f>
        <v>2.028026587962998</v>
      </c>
      <c r="Q14" s="11">
        <f>Q13*54</f>
        <v>0.69167725000001423</v>
      </c>
      <c r="R14" s="11">
        <f>R13*54</f>
        <v>0.51688274999998063</v>
      </c>
      <c r="V14">
        <v>2514.5120999999999</v>
      </c>
      <c r="W14">
        <v>1403.66</v>
      </c>
      <c r="X14">
        <v>1402.0826</v>
      </c>
      <c r="Y14">
        <v>0.746</v>
      </c>
      <c r="Z14">
        <v>-0.1636</v>
      </c>
      <c r="AA14">
        <v>-1.2200000000000001E-2</v>
      </c>
      <c r="AC14">
        <f>AVERAGE(V14,W15,X16)/10</f>
        <v>251.99253666666669</v>
      </c>
    </row>
    <row r="15" spans="1:29">
      <c r="A15" s="3" t="s">
        <v>49</v>
      </c>
      <c r="B15" s="3">
        <v>0</v>
      </c>
      <c r="C15" s="3">
        <v>0</v>
      </c>
      <c r="E15" s="3"/>
      <c r="H15" s="3"/>
      <c r="I15" s="3"/>
      <c r="K15" s="3"/>
      <c r="O15" s="17"/>
      <c r="P15" s="11"/>
      <c r="Q15" s="11"/>
      <c r="R15" s="11"/>
      <c r="V15">
        <v>1403.66</v>
      </c>
      <c r="W15">
        <v>2522.6361999999999</v>
      </c>
      <c r="X15">
        <v>1409.9655</v>
      </c>
      <c r="Y15">
        <v>0.78900000000000003</v>
      </c>
      <c r="Z15">
        <v>-5.3900000000000003E-2</v>
      </c>
      <c r="AA15">
        <v>-0.185</v>
      </c>
      <c r="AC15">
        <f>AVERAGE(W14,X14,X15,V15,V16,W16)/10</f>
        <v>140.52360333333334</v>
      </c>
    </row>
    <row r="16" spans="1:29">
      <c r="A16" s="3" t="s">
        <v>50</v>
      </c>
      <c r="B16" s="3">
        <f>B15/54</f>
        <v>0</v>
      </c>
      <c r="C16" s="3">
        <f>C15/2</f>
        <v>0</v>
      </c>
      <c r="H16" s="3"/>
      <c r="I16" s="3"/>
      <c r="M16" t="s">
        <v>146</v>
      </c>
      <c r="N16" t="s">
        <v>16</v>
      </c>
      <c r="O16" s="5" t="s">
        <v>147</v>
      </c>
      <c r="P16" s="5" t="s">
        <v>148</v>
      </c>
      <c r="Q16" s="5" t="s">
        <v>149</v>
      </c>
      <c r="R16" s="5" t="s">
        <v>150</v>
      </c>
      <c r="V16">
        <v>1402.0826</v>
      </c>
      <c r="W16">
        <v>1409.9655</v>
      </c>
      <c r="X16">
        <v>2522.6278000000002</v>
      </c>
      <c r="Y16">
        <v>3.9740000000000002</v>
      </c>
      <c r="Z16">
        <v>9.1000000000000004E-3</v>
      </c>
      <c r="AA16">
        <v>-7.3700000000000002E-2</v>
      </c>
      <c r="AC16">
        <f>AVERAGE(Y17,Z18,AA19)/10</f>
        <v>140.73312333333334</v>
      </c>
    </row>
    <row r="17" spans="1:27">
      <c r="E17" t="s">
        <v>11</v>
      </c>
      <c r="F17" s="3">
        <f>F13-E14*54</f>
        <v>2.1360619722222651</v>
      </c>
      <c r="G17" s="3">
        <f>54*(G14-$E14)</f>
        <v>0.70942124999996681</v>
      </c>
      <c r="H17" s="3">
        <f>53*(H14-$E14)</f>
        <v>0.35908459259255376</v>
      </c>
      <c r="I17" s="3">
        <f>53*(I14-$E14)</f>
        <v>1.7689205925925928</v>
      </c>
      <c r="M17" t="s">
        <v>123</v>
      </c>
      <c r="N17" s="1">
        <v>-101.70932000000001</v>
      </c>
      <c r="O17" s="15">
        <v>-92.560025999999993</v>
      </c>
      <c r="P17" s="15">
        <v>-92.573057000000006</v>
      </c>
      <c r="Q17" s="15">
        <v>-94.756966000000006</v>
      </c>
      <c r="R17" s="15">
        <v>-94.790262999999996</v>
      </c>
      <c r="V17">
        <v>0.746</v>
      </c>
      <c r="W17">
        <v>0.78900000000000003</v>
      </c>
      <c r="X17">
        <v>3.9740000000000002</v>
      </c>
      <c r="Y17">
        <v>1409.5001</v>
      </c>
      <c r="Z17">
        <v>-0.17119999999999999</v>
      </c>
      <c r="AA17">
        <v>3.8800000000000001E-2</v>
      </c>
    </row>
    <row r="18" spans="1:27">
      <c r="N18" s="1">
        <f>N17/16</f>
        <v>-6.3568325000000003</v>
      </c>
      <c r="O18" s="15">
        <f>O17/15</f>
        <v>-6.1706683999999994</v>
      </c>
      <c r="P18" s="15">
        <f t="shared" ref="P18:R18" si="1">P17/15</f>
        <v>-6.1715371333333335</v>
      </c>
      <c r="Q18" s="15">
        <f t="shared" si="1"/>
        <v>-6.3171310666666667</v>
      </c>
      <c r="R18" s="15">
        <f t="shared" si="1"/>
        <v>-6.3193508666666665</v>
      </c>
      <c r="V18">
        <v>-0.1636</v>
      </c>
      <c r="W18">
        <v>-5.3900000000000003E-2</v>
      </c>
      <c r="X18">
        <v>9.1000000000000004E-3</v>
      </c>
      <c r="Y18">
        <v>-0.17119999999999999</v>
      </c>
      <c r="Z18">
        <v>1406.2447999999999</v>
      </c>
      <c r="AA18">
        <v>-0.12740000000000001</v>
      </c>
    </row>
    <row r="19" spans="1:27">
      <c r="A19" s="3" t="s">
        <v>78</v>
      </c>
      <c r="B19" s="3"/>
      <c r="E19" t="s">
        <v>84</v>
      </c>
      <c r="N19" s="4">
        <f>N17-8*$B$6-8*$C$6</f>
        <v>-5.2994979999999998</v>
      </c>
      <c r="O19" s="4">
        <f>O17-7*$B$6-8*$C$6</f>
        <v>-4.4586264999999869</v>
      </c>
      <c r="P19" s="4">
        <f t="shared" ref="P19" si="2">P17-7*$B$6-8*$C$6</f>
        <v>-4.4716574999999992</v>
      </c>
      <c r="Q19" s="4">
        <f>Q17-8*$B$6-7*$C$6</f>
        <v>-2.0899492500000001</v>
      </c>
      <c r="R19" s="4">
        <f>R17-8*$B$6-7*$C$6</f>
        <v>-2.1232462499999905</v>
      </c>
      <c r="V19">
        <v>-1.2200000000000001E-2</v>
      </c>
      <c r="W19">
        <v>-0.185</v>
      </c>
      <c r="X19">
        <v>-7.3700000000000002E-2</v>
      </c>
      <c r="Y19">
        <v>3.8800000000000001E-2</v>
      </c>
      <c r="Z19">
        <v>-0.12740000000000001</v>
      </c>
      <c r="AA19">
        <v>1406.2488000000001</v>
      </c>
    </row>
    <row r="20" spans="1:27">
      <c r="A20" s="3" t="s">
        <v>79</v>
      </c>
      <c r="B20" s="3" t="s">
        <v>52</v>
      </c>
      <c r="C20" t="s">
        <v>51</v>
      </c>
      <c r="E20" t="s">
        <v>85</v>
      </c>
      <c r="F20" t="s">
        <v>86</v>
      </c>
      <c r="G20" t="s">
        <v>165</v>
      </c>
      <c r="H20" t="s">
        <v>120</v>
      </c>
      <c r="I20" t="s">
        <v>121</v>
      </c>
      <c r="N20">
        <f>N19/16</f>
        <v>-0.33121862499999999</v>
      </c>
      <c r="O20">
        <f>O19/15</f>
        <v>-0.2972417666666658</v>
      </c>
      <c r="P20">
        <f t="shared" ref="P20:R20" si="3">P19/15</f>
        <v>-0.29811049999999994</v>
      </c>
      <c r="Q20">
        <f t="shared" si="3"/>
        <v>-0.13932995000000001</v>
      </c>
      <c r="R20">
        <f t="shared" si="3"/>
        <v>-0.14154974999999936</v>
      </c>
    </row>
    <row r="21" spans="1:27">
      <c r="A21" s="3">
        <v>8.5500000000000007</v>
      </c>
      <c r="B21" s="3">
        <f>B22*3</f>
        <v>8.6851199999999995</v>
      </c>
      <c r="C21">
        <v>8.6462199999999996</v>
      </c>
      <c r="E21" s="3"/>
      <c r="F21" s="3"/>
      <c r="N21">
        <f>2.85*2.01858655170697</f>
        <v>5.7529716723648647</v>
      </c>
      <c r="P21">
        <f>2.85*2.01063777914203</f>
        <v>5.7303176705547854</v>
      </c>
      <c r="R21">
        <f>2.85*2.0049905496873</f>
        <v>5.7142230666088052</v>
      </c>
      <c r="V21" t="s">
        <v>152</v>
      </c>
      <c r="W21" t="s">
        <v>123</v>
      </c>
    </row>
    <row r="22" spans="1:27">
      <c r="A22" s="3">
        <f>A21/3</f>
        <v>2.85</v>
      </c>
      <c r="B22" s="3">
        <v>2.8950399999999998</v>
      </c>
      <c r="C22">
        <f>C21/3</f>
        <v>2.882073333333333</v>
      </c>
      <c r="E22" s="3"/>
      <c r="F22" s="3"/>
      <c r="N22">
        <f>N21/2</f>
        <v>2.8764858361824324</v>
      </c>
      <c r="P22">
        <f>P21/2</f>
        <v>2.8651588352773927</v>
      </c>
      <c r="R22">
        <f>R21/2</f>
        <v>2.8571115333044026</v>
      </c>
      <c r="V22">
        <v>2508.114</v>
      </c>
      <c r="W22">
        <f>V22/10</f>
        <v>250.81139999999999</v>
      </c>
    </row>
    <row r="23" spans="1:27">
      <c r="A23" s="3">
        <v>-274.36176</v>
      </c>
      <c r="B23" s="3">
        <v>-274.66716000000002</v>
      </c>
      <c r="C23" s="1">
        <v>-274.71535</v>
      </c>
      <c r="E23" s="3">
        <v>-288.38718</v>
      </c>
      <c r="F23" s="3">
        <v>-284.09316999999999</v>
      </c>
      <c r="G23" s="1">
        <v>-285.42160000000001</v>
      </c>
      <c r="H23" s="4">
        <v>-290.16194999999999</v>
      </c>
      <c r="I23" s="4">
        <v>-290.68876</v>
      </c>
      <c r="O23">
        <f>O20-$N$20</f>
        <v>3.3976858333334192E-2</v>
      </c>
      <c r="P23">
        <f t="shared" ref="P23:R23" si="4">P20-$N$20</f>
        <v>3.3108125000000044E-2</v>
      </c>
      <c r="Q23">
        <f t="shared" si="4"/>
        <v>0.19188867499999998</v>
      </c>
      <c r="R23">
        <f t="shared" si="4"/>
        <v>0.18966887500000063</v>
      </c>
      <c r="V23">
        <v>1395.0503000000001</v>
      </c>
      <c r="W23">
        <f t="shared" ref="W23:W24" si="5">V23/10</f>
        <v>139.50503</v>
      </c>
    </row>
    <row r="24" spans="1:27">
      <c r="A24">
        <f>A23/52</f>
        <v>-5.2761876923076922</v>
      </c>
      <c r="B24">
        <f>B23/52</f>
        <v>-5.2820607692307693</v>
      </c>
      <c r="C24" s="1">
        <f>C23/52</f>
        <v>-5.2829874999999999</v>
      </c>
      <c r="E24" s="3">
        <f>E23/54</f>
        <v>-5.3405033333333334</v>
      </c>
      <c r="F24" s="3">
        <f>F23/54</f>
        <v>-5.260984629629629</v>
      </c>
      <c r="G24" s="3">
        <f>G23/54</f>
        <v>-5.2855851851851856</v>
      </c>
      <c r="H24" s="4">
        <f>H23/55</f>
        <v>-5.2756718181818183</v>
      </c>
      <c r="I24" s="4">
        <f>I23/55</f>
        <v>-5.2852501818181823</v>
      </c>
      <c r="O24">
        <f>O23*15</f>
        <v>0.50965287500001288</v>
      </c>
      <c r="P24">
        <f t="shared" ref="P24:R24" si="6">P23*15</f>
        <v>0.49662187500000066</v>
      </c>
      <c r="Q24">
        <f t="shared" si="6"/>
        <v>2.8783301249999997</v>
      </c>
      <c r="R24">
        <f t="shared" si="6"/>
        <v>2.8450331250000094</v>
      </c>
      <c r="V24">
        <v>1407.6911</v>
      </c>
      <c r="W24">
        <f t="shared" si="5"/>
        <v>140.76911000000001</v>
      </c>
    </row>
    <row r="25" spans="1:27">
      <c r="A25">
        <f>A23-(52/54)*$E11</f>
        <v>2.5264051851851832</v>
      </c>
      <c r="B25">
        <f t="shared" ref="B25:C25" si="7">B23-(52/54)*$E11</f>
        <v>2.2210051851851631</v>
      </c>
      <c r="C25">
        <f t="shared" si="7"/>
        <v>2.1728151851851862</v>
      </c>
      <c r="E25" s="3">
        <f>E23-26*$C6-28*$D6</f>
        <v>-35.158728499999995</v>
      </c>
      <c r="F25" s="3">
        <f>F23-28*$C6-26*$D6</f>
        <v>-34.515930500000024</v>
      </c>
      <c r="G25" s="3">
        <f>G23-27*$C6-27*$D6</f>
        <v>-34.018754500000028</v>
      </c>
      <c r="H25" s="4">
        <f>H23-B6-27*C6-27*D6</f>
        <v>-30.450682</v>
      </c>
      <c r="I25" s="4">
        <f>I23-B6-27*C6-27*D6</f>
        <v>-30.977492000000012</v>
      </c>
      <c r="M25" t="s">
        <v>122</v>
      </c>
      <c r="N25" t="s">
        <v>16</v>
      </c>
      <c r="O25" s="5" t="s">
        <v>147</v>
      </c>
      <c r="P25" s="5" t="s">
        <v>148</v>
      </c>
      <c r="Q25" s="5" t="s">
        <v>149</v>
      </c>
      <c r="R25" s="5" t="s">
        <v>150</v>
      </c>
    </row>
    <row r="26" spans="1:27">
      <c r="E26" s="3">
        <f>E25/54</f>
        <v>-0.65108756481481478</v>
      </c>
      <c r="F26" s="3">
        <f>F25/54</f>
        <v>-0.63918389814814858</v>
      </c>
      <c r="G26" s="3">
        <f>G25/54</f>
        <v>-0.62997693518518572</v>
      </c>
      <c r="H26" s="4">
        <f>H25/55</f>
        <v>-0.55364876363636362</v>
      </c>
      <c r="I26" s="4">
        <f>I25/55</f>
        <v>-0.5632271272727275</v>
      </c>
      <c r="N26" s="1">
        <v>-101.70932000000001</v>
      </c>
      <c r="O26" s="15">
        <v>-94.756888000000004</v>
      </c>
      <c r="P26" s="15">
        <v>-94.790099999999995</v>
      </c>
      <c r="Q26" s="15">
        <v>-94.756888000000004</v>
      </c>
      <c r="R26" s="15">
        <v>-94.790099999999995</v>
      </c>
    </row>
    <row r="27" spans="1:27">
      <c r="C27" s="3">
        <f>H17+I17</f>
        <v>2.1280051851851467</v>
      </c>
      <c r="E27" s="3">
        <f>54*(E26-E14)</f>
        <v>0.97613600000002076</v>
      </c>
      <c r="F27" s="3">
        <f>54*(F26-E14)</f>
        <v>1.6189339999999957</v>
      </c>
      <c r="G27" s="3">
        <f>54*(G26-F14)</f>
        <v>-1.9951972222272296E-2</v>
      </c>
      <c r="H27" s="4">
        <f>55*(H26-E14)</f>
        <v>6.3533466574074273</v>
      </c>
      <c r="I27" s="4">
        <f>55*(I26-E14)</f>
        <v>5.8265366574074138</v>
      </c>
      <c r="N27" s="1">
        <f>N26/16</f>
        <v>-6.3568325000000003</v>
      </c>
      <c r="O27" s="15">
        <f>O26/15</f>
        <v>-6.3171258666666672</v>
      </c>
      <c r="P27" s="15">
        <f t="shared" ref="P27" si="8">P26/15</f>
        <v>-6.3193399999999995</v>
      </c>
      <c r="Q27" s="15">
        <f t="shared" ref="Q27" si="9">Q26/15</f>
        <v>-6.3171258666666672</v>
      </c>
      <c r="R27" s="15">
        <f t="shared" ref="R27" si="10">R26/15</f>
        <v>-6.3193399999999995</v>
      </c>
    </row>
    <row r="28" spans="1:27">
      <c r="N28" s="4">
        <f>N26-8*$B$6-8*$C$6</f>
        <v>-5.2994979999999998</v>
      </c>
      <c r="O28" s="4">
        <f>O26-7*$B$6-8*$C$6</f>
        <v>-6.655488499999997</v>
      </c>
      <c r="P28" s="4">
        <f t="shared" ref="P28" si="11">P26-7*$B$6-8*$C$6</f>
        <v>-6.6887004999999888</v>
      </c>
      <c r="Q28" s="4">
        <f>Q26-8*$B$6-7*$C$6</f>
        <v>-2.0898712499999981</v>
      </c>
      <c r="R28" s="4">
        <f>R26-8*$B$6-7*$C$6</f>
        <v>-2.1230832499999899</v>
      </c>
    </row>
    <row r="29" spans="1:27">
      <c r="B29" t="s">
        <v>151</v>
      </c>
      <c r="N29">
        <f>N28/16</f>
        <v>-0.33121862499999999</v>
      </c>
      <c r="O29">
        <f>O28/15</f>
        <v>-0.44369923333333311</v>
      </c>
      <c r="P29">
        <f t="shared" ref="P29" si="12">P28/15</f>
        <v>-0.44591336666666592</v>
      </c>
      <c r="Q29">
        <f t="shared" ref="Q29" si="13">Q28/15</f>
        <v>-0.13932474999999986</v>
      </c>
      <c r="R29">
        <f t="shared" ref="R29" si="14">R28/15</f>
        <v>-0.14153888333333267</v>
      </c>
    </row>
    <row r="30" spans="1:27">
      <c r="B30" s="3" t="s">
        <v>87</v>
      </c>
      <c r="C30" s="3"/>
      <c r="D30" s="3"/>
      <c r="E30" s="3"/>
      <c r="F30" t="s">
        <v>91</v>
      </c>
      <c r="H30" t="s">
        <v>92</v>
      </c>
      <c r="N30">
        <f>2.85*2.01860180344502</f>
        <v>5.7530151398183076</v>
      </c>
      <c r="P30">
        <f>2.85*2.00435986009582</f>
        <v>5.712425601273087</v>
      </c>
      <c r="R30">
        <f>2.85*2.00435986009582</f>
        <v>5.712425601273087</v>
      </c>
    </row>
    <row r="31" spans="1:27">
      <c r="B31" s="5">
        <v>1855.6229000000001</v>
      </c>
      <c r="C31" s="4">
        <f>AVERAGE(B31:B33)</f>
        <v>1859.1217666666664</v>
      </c>
      <c r="D31" s="3">
        <f>C31/10</f>
        <v>185.91217666666665</v>
      </c>
      <c r="E31" s="3" t="s">
        <v>88</v>
      </c>
      <c r="F31" s="5">
        <v>1855.5984000000001</v>
      </c>
      <c r="G31" s="3">
        <f>F31/10</f>
        <v>185.55984000000001</v>
      </c>
      <c r="H31" s="5">
        <v>206.50367</v>
      </c>
      <c r="I31" s="5"/>
      <c r="J31" s="5"/>
      <c r="N31">
        <f>N30/2</f>
        <v>2.8765075699091538</v>
      </c>
      <c r="P31">
        <f>P30/2</f>
        <v>2.8562128006365435</v>
      </c>
      <c r="R31">
        <f>R30/2</f>
        <v>2.8562128006365435</v>
      </c>
    </row>
    <row r="32" spans="1:27">
      <c r="B32" s="5">
        <v>1860.8492000000001</v>
      </c>
      <c r="C32" s="4"/>
      <c r="D32" s="3"/>
      <c r="E32" s="3"/>
      <c r="F32">
        <v>1860.8141000000001</v>
      </c>
      <c r="G32" s="3"/>
      <c r="H32" s="5"/>
      <c r="I32" s="5"/>
      <c r="J32" s="5"/>
      <c r="O32">
        <f>O29-$N$29</f>
        <v>-0.11248060833333312</v>
      </c>
      <c r="P32">
        <f t="shared" ref="P32:R32" si="15">P29-$N$29</f>
        <v>-0.11469474166666593</v>
      </c>
      <c r="Q32">
        <f t="shared" si="15"/>
        <v>0.19189387500000013</v>
      </c>
      <c r="R32">
        <f t="shared" si="15"/>
        <v>0.18967974166666732</v>
      </c>
    </row>
    <row r="33" spans="2:29">
      <c r="B33" s="5">
        <v>1860.8932</v>
      </c>
      <c r="C33" s="4"/>
      <c r="D33" s="3"/>
      <c r="E33" s="3"/>
      <c r="F33">
        <v>1860.8778</v>
      </c>
      <c r="G33" s="3"/>
      <c r="H33" s="5"/>
      <c r="I33" s="5"/>
      <c r="J33" s="5"/>
      <c r="M33" s="16"/>
      <c r="N33" s="16"/>
      <c r="O33" s="16">
        <f>O32*15</f>
        <v>-1.6872091249999968</v>
      </c>
      <c r="P33" s="16">
        <f t="shared" ref="P33" si="16">P32*15</f>
        <v>-1.720421124999989</v>
      </c>
      <c r="Q33" s="16">
        <f t="shared" ref="Q33" si="17">Q32*15</f>
        <v>2.8784081250000018</v>
      </c>
      <c r="R33" s="16">
        <f t="shared" ref="R33" si="18">R32*15</f>
        <v>2.84519612500001</v>
      </c>
    </row>
    <row r="34" spans="2:29">
      <c r="B34" s="5">
        <v>1471.7235000000001</v>
      </c>
      <c r="C34" s="4">
        <f>AVERAGE(B34:B39)</f>
        <v>1473.3534666666667</v>
      </c>
      <c r="D34" s="3">
        <f>C34/10</f>
        <v>147.33534666666668</v>
      </c>
      <c r="E34" s="3" t="s">
        <v>89</v>
      </c>
      <c r="F34" s="5">
        <v>1471.7003999999999</v>
      </c>
      <c r="G34" s="3">
        <f>F34/10</f>
        <v>147.17004</v>
      </c>
      <c r="H34" s="5">
        <v>137.28400999999999</v>
      </c>
      <c r="I34" s="5"/>
      <c r="J34" s="5"/>
      <c r="M34" t="s">
        <v>122</v>
      </c>
      <c r="N34" t="s">
        <v>44</v>
      </c>
      <c r="O34" t="s">
        <v>113</v>
      </c>
      <c r="P34" t="s">
        <v>124</v>
      </c>
      <c r="Q34" t="s">
        <v>80</v>
      </c>
      <c r="R34" t="s">
        <v>125</v>
      </c>
      <c r="S34" t="s">
        <v>114</v>
      </c>
      <c r="T34" t="s">
        <v>126</v>
      </c>
      <c r="V34" t="s">
        <v>152</v>
      </c>
      <c r="W34" t="s">
        <v>122</v>
      </c>
    </row>
    <row r="35" spans="2:29">
      <c r="B35" s="5">
        <v>1472.029</v>
      </c>
      <c r="C35" s="4"/>
      <c r="D35" s="3"/>
      <c r="E35" s="3"/>
      <c r="F35" s="5">
        <v>1472.0056</v>
      </c>
      <c r="G35" s="3"/>
      <c r="H35" s="5"/>
      <c r="I35" s="5"/>
      <c r="J35" s="5"/>
      <c r="N35" s="4">
        <v>-354.18588</v>
      </c>
      <c r="O35" s="1">
        <v>-354.64859000000001</v>
      </c>
      <c r="P35" s="1">
        <v>-354.64859000000001</v>
      </c>
      <c r="Q35" s="1">
        <v>-360.16933</v>
      </c>
      <c r="R35" s="1">
        <v>-363.72017</v>
      </c>
      <c r="V35">
        <v>1853.9969000000001</v>
      </c>
      <c r="W35">
        <v>2505.0115999999998</v>
      </c>
      <c r="X35">
        <v>2511.1646000000001</v>
      </c>
      <c r="Y35">
        <v>6.4795999999999996</v>
      </c>
      <c r="Z35">
        <v>0.90380000000000005</v>
      </c>
      <c r="AA35">
        <v>7.7213000000000003</v>
      </c>
      <c r="AC35">
        <f>AVERAGE(V35,W36,X37)/10</f>
        <v>187.67214666666666</v>
      </c>
    </row>
    <row r="36" spans="2:29">
      <c r="B36" s="5">
        <v>1472.029</v>
      </c>
      <c r="C36" s="4"/>
      <c r="D36" s="3"/>
      <c r="E36" s="3"/>
      <c r="F36" s="5">
        <v>1472.0056</v>
      </c>
      <c r="G36" s="3"/>
      <c r="H36" s="5"/>
      <c r="I36" s="5"/>
      <c r="J36" s="5"/>
      <c r="N36" s="4">
        <f>N35/54</f>
        <v>-6.5589977777777779</v>
      </c>
      <c r="V36">
        <v>2505.0115999999998</v>
      </c>
      <c r="W36">
        <v>1877.0956000000001</v>
      </c>
      <c r="X36">
        <v>2533.9837000000002</v>
      </c>
      <c r="Y36">
        <v>6.3372000000000002</v>
      </c>
      <c r="Z36">
        <v>0.4592</v>
      </c>
      <c r="AA36">
        <v>8.0521999999999991</v>
      </c>
      <c r="AC36">
        <f>AVERAGE(V36,V37,W37,W35,X35,X36)/10</f>
        <v>251.6719966666667</v>
      </c>
    </row>
    <row r="37" spans="2:29">
      <c r="B37" s="5">
        <v>1476.3079</v>
      </c>
      <c r="C37" s="4"/>
      <c r="D37" s="3"/>
      <c r="E37" s="3"/>
      <c r="F37">
        <v>1476.2836</v>
      </c>
      <c r="G37" s="3"/>
      <c r="N37" s="4">
        <f>N35-27*$B$6-27*$D$6</f>
        <v>20.488631250000026</v>
      </c>
      <c r="O37" s="4">
        <f>O35-26*$B$6-27*$D$6</f>
        <v>11.717498750000004</v>
      </c>
      <c r="P37" s="4">
        <f>P35-26*$B$6-27*$D$6</f>
        <v>11.717498750000004</v>
      </c>
      <c r="Q37" s="4">
        <f>Q35-27*$B$6-26*$D$6</f>
        <v>8.9367699999999957</v>
      </c>
      <c r="R37" s="4">
        <f>R35-27*$B$6-26*$D$6</f>
        <v>5.3859300000000019</v>
      </c>
      <c r="V37">
        <v>2511.1646000000001</v>
      </c>
      <c r="W37">
        <v>2533.9837000000002</v>
      </c>
      <c r="X37">
        <v>1899.0718999999999</v>
      </c>
      <c r="Y37">
        <v>8.1216000000000008</v>
      </c>
      <c r="Z37">
        <v>0.70369999999999999</v>
      </c>
      <c r="AA37">
        <v>6.6302000000000003</v>
      </c>
      <c r="AC37">
        <f>AVERAGE(Y38,Z39,AA40)/10</f>
        <v>188.67464666666666</v>
      </c>
    </row>
    <row r="38" spans="2:29">
      <c r="B38" s="5">
        <v>1471.7235000000001</v>
      </c>
      <c r="C38" s="4"/>
      <c r="D38" s="3"/>
      <c r="E38" s="3"/>
      <c r="F38" s="5">
        <v>1471.7003999999999</v>
      </c>
      <c r="G38" s="3"/>
      <c r="N38" s="12">
        <f>N37/54</f>
        <v>0.37941909722222272</v>
      </c>
      <c r="O38" s="13">
        <f t="shared" ref="O38:P38" si="19">O37/53</f>
        <v>0.22108488207547178</v>
      </c>
      <c r="P38" s="13">
        <f t="shared" si="19"/>
        <v>0.22108488207547178</v>
      </c>
      <c r="Q38" s="13">
        <f>Q37/54</f>
        <v>0.16549574074074067</v>
      </c>
      <c r="R38" s="13">
        <f>R37/54</f>
        <v>9.9739444444444478E-2</v>
      </c>
      <c r="V38">
        <v>6.4795999999999996</v>
      </c>
      <c r="W38">
        <v>6.3372000000000002</v>
      </c>
      <c r="X38">
        <v>8.1216000000000008</v>
      </c>
      <c r="Y38">
        <v>1934.0072</v>
      </c>
      <c r="Z38">
        <v>1.9135</v>
      </c>
      <c r="AA38">
        <v>-0.15110000000000001</v>
      </c>
    </row>
    <row r="39" spans="2:29">
      <c r="B39" s="5">
        <v>1476.3079</v>
      </c>
      <c r="C39" s="4"/>
      <c r="D39" s="3"/>
      <c r="E39" s="3"/>
      <c r="F39">
        <v>1476.2836</v>
      </c>
      <c r="G39" s="3"/>
      <c r="N39">
        <f>2.85*2.924958</f>
        <v>8.3361303000000007</v>
      </c>
      <c r="O39" s="12">
        <f>(O38-$N$38)*53</f>
        <v>-8.3917134027777998</v>
      </c>
      <c r="P39" s="12">
        <f>(P38-$N$38)*53</f>
        <v>-8.3917134027777998</v>
      </c>
      <c r="Q39" s="12">
        <f>(Q38-$N$38)*53</f>
        <v>-11.337937893518548</v>
      </c>
      <c r="R39" s="12">
        <f>(R38-$N$38)*53</f>
        <v>-14.823021597222246</v>
      </c>
      <c r="V39">
        <v>0.90380000000000005</v>
      </c>
      <c r="W39">
        <v>0.4592</v>
      </c>
      <c r="X39">
        <v>0.70369999999999999</v>
      </c>
      <c r="Y39">
        <v>1.9135</v>
      </c>
      <c r="Z39">
        <v>1910.3525</v>
      </c>
      <c r="AA39">
        <v>-9.1123999999999992</v>
      </c>
    </row>
    <row r="40" spans="2:29">
      <c r="B40" s="5">
        <v>1213.2261000000001</v>
      </c>
      <c r="C40" s="4">
        <f>AVERAGE(B40:B42)</f>
        <v>1212.1861333333334</v>
      </c>
      <c r="D40" s="3">
        <f>C40/10</f>
        <v>121.21861333333334</v>
      </c>
      <c r="E40" s="3" t="s">
        <v>90</v>
      </c>
      <c r="F40">
        <v>1213.2171000000001</v>
      </c>
      <c r="G40" s="3">
        <f>F40/10</f>
        <v>121.32171000000001</v>
      </c>
      <c r="H40">
        <v>120.08608</v>
      </c>
      <c r="N40">
        <f>N39/3</f>
        <v>2.7787101000000001</v>
      </c>
      <c r="V40">
        <v>7.7213000000000003</v>
      </c>
      <c r="W40">
        <v>8.0521999999999991</v>
      </c>
      <c r="X40">
        <v>6.6302000000000003</v>
      </c>
      <c r="Y40">
        <v>-0.15110000000000001</v>
      </c>
      <c r="Z40">
        <v>-9.1123999999999992</v>
      </c>
      <c r="AA40">
        <v>1815.8797</v>
      </c>
    </row>
    <row r="41" spans="2:29">
      <c r="B41" s="5">
        <v>1212.4385</v>
      </c>
      <c r="C41" s="4"/>
      <c r="D41" s="3"/>
      <c r="E41" s="3"/>
      <c r="F41">
        <v>1212.4296999999999</v>
      </c>
      <c r="G41" s="3"/>
      <c r="M41" t="s">
        <v>123</v>
      </c>
      <c r="N41" t="s">
        <v>44</v>
      </c>
      <c r="O41" t="s">
        <v>113</v>
      </c>
      <c r="P41" t="s">
        <v>124</v>
      </c>
      <c r="Q41" t="s">
        <v>80</v>
      </c>
      <c r="R41" t="s">
        <v>125</v>
      </c>
      <c r="S41" t="s">
        <v>114</v>
      </c>
      <c r="T41" t="s">
        <v>126</v>
      </c>
    </row>
    <row r="42" spans="2:29">
      <c r="B42" s="5">
        <v>1210.8938000000001</v>
      </c>
      <c r="C42" s="4"/>
      <c r="D42" s="3"/>
      <c r="E42" s="3"/>
      <c r="F42">
        <v>1210.8774000000001</v>
      </c>
      <c r="G42" s="3"/>
      <c r="N42" s="4">
        <v>-354.18590999999998</v>
      </c>
      <c r="O42" s="1">
        <v>-354.64747999999997</v>
      </c>
      <c r="P42" s="1">
        <v>-354.64747999999997</v>
      </c>
      <c r="Q42" s="1">
        <v>-360.16840000000002</v>
      </c>
      <c r="R42" s="1">
        <v>-363.72019999999998</v>
      </c>
      <c r="V42" t="s">
        <v>152</v>
      </c>
      <c r="W42" t="s">
        <v>123</v>
      </c>
      <c r="Y42" t="s">
        <v>152</v>
      </c>
      <c r="Z42" t="s">
        <v>153</v>
      </c>
    </row>
    <row r="43" spans="2:29">
      <c r="N43" s="4">
        <f>N42/54</f>
        <v>-6.5589983333333333</v>
      </c>
      <c r="V43">
        <v>1835.4195999999999</v>
      </c>
      <c r="W43">
        <f>V43/10</f>
        <v>183.54195999999999</v>
      </c>
      <c r="Y43">
        <v>9544.1363000000001</v>
      </c>
      <c r="Z43">
        <f>Y43/10</f>
        <v>954.41363000000001</v>
      </c>
    </row>
    <row r="44" spans="2:29">
      <c r="B44" s="5">
        <v>1855.5984000000001</v>
      </c>
      <c r="C44" s="5">
        <v>1471.7003999999999</v>
      </c>
      <c r="D44" s="5">
        <v>1472.0056</v>
      </c>
      <c r="E44" s="5">
        <v>10.9193</v>
      </c>
      <c r="F44" s="5">
        <v>0.57940000000000003</v>
      </c>
      <c r="G44">
        <v>-0.52059999999999995</v>
      </c>
      <c r="N44" s="4">
        <f>N42-27*$B$6-27*$D$6</f>
        <v>20.488601250000045</v>
      </c>
      <c r="O44" s="4">
        <f>O42-26*$B$6-27*$D$6</f>
        <v>11.718608750000044</v>
      </c>
      <c r="P44" s="4">
        <f t="shared" ref="P44" si="20">P42-26*$B$6-27*$D$6</f>
        <v>11.718608750000044</v>
      </c>
      <c r="Q44" s="4">
        <f>Q42-27*$B$6-26*$D$6</f>
        <v>8.9376999999999782</v>
      </c>
      <c r="R44" s="4">
        <f>R42-27*$B$6-26*$D$6</f>
        <v>5.3859000000000208</v>
      </c>
      <c r="V44">
        <v>2479.1118999999999</v>
      </c>
      <c r="W44">
        <f t="shared" ref="W44:W45" si="21">V44/10</f>
        <v>247.91118999999998</v>
      </c>
      <c r="Y44">
        <v>10456.4768</v>
      </c>
      <c r="Z44">
        <f t="shared" ref="Z44:Z45" si="22">Y44/10</f>
        <v>1045.64768</v>
      </c>
    </row>
    <row r="45" spans="2:29">
      <c r="B45" s="5">
        <v>1471.7003999999999</v>
      </c>
      <c r="C45">
        <v>1860.8141000000001</v>
      </c>
      <c r="D45">
        <v>1476.2836</v>
      </c>
      <c r="E45">
        <v>10.841200000000001</v>
      </c>
      <c r="F45">
        <v>0.60470000000000002</v>
      </c>
      <c r="G45">
        <v>-0.57050000000000001</v>
      </c>
      <c r="N45" s="12">
        <f>N44/54</f>
        <v>0.3794185416666675</v>
      </c>
      <c r="O45" s="13">
        <f>O44/53</f>
        <v>0.22110582547169894</v>
      </c>
      <c r="P45" s="13">
        <f t="shared" ref="P45" si="23">P44/53</f>
        <v>0.22110582547169894</v>
      </c>
      <c r="Q45" s="13">
        <f>Q44/53</f>
        <v>0.16863584905660337</v>
      </c>
      <c r="R45" s="13">
        <f>R44/53</f>
        <v>0.10162075471698152</v>
      </c>
      <c r="V45">
        <v>1897.5119999999999</v>
      </c>
      <c r="W45">
        <f t="shared" si="21"/>
        <v>189.75119999999998</v>
      </c>
      <c r="Y45">
        <v>6911.5371999999998</v>
      </c>
      <c r="Z45">
        <f t="shared" si="22"/>
        <v>691.15372000000002</v>
      </c>
    </row>
    <row r="46" spans="2:29">
      <c r="B46" s="5">
        <v>1472.0056</v>
      </c>
      <c r="C46">
        <v>1476.2836</v>
      </c>
      <c r="D46">
        <v>1860.8778</v>
      </c>
      <c r="E46">
        <v>11.947699999999999</v>
      </c>
      <c r="F46">
        <v>0.60960000000000003</v>
      </c>
      <c r="G46">
        <v>-0.46589999999999998</v>
      </c>
      <c r="M46" t="s">
        <v>132</v>
      </c>
      <c r="N46">
        <f>2.85*2.924935</f>
        <v>8.3360647500000002</v>
      </c>
      <c r="O46" s="12">
        <f>(O45-$N$45)</f>
        <v>-0.15831271619496856</v>
      </c>
      <c r="P46" s="12">
        <f t="shared" ref="P46:R46" si="24">(P45-$N$45)</f>
        <v>-0.15831271619496856</v>
      </c>
      <c r="Q46" s="12">
        <f t="shared" si="24"/>
        <v>-0.21078269261006413</v>
      </c>
      <c r="R46" s="12">
        <f t="shared" si="24"/>
        <v>-0.27779778694968599</v>
      </c>
    </row>
    <row r="47" spans="2:29">
      <c r="B47" s="5">
        <v>10.9193</v>
      </c>
      <c r="C47">
        <v>10.841200000000001</v>
      </c>
      <c r="D47">
        <v>11.947699999999999</v>
      </c>
      <c r="E47">
        <v>1213.2171000000001</v>
      </c>
      <c r="F47">
        <v>2.1797</v>
      </c>
      <c r="G47">
        <v>8.9300000000000004E-2</v>
      </c>
      <c r="N47">
        <f>N46/3</f>
        <v>2.7786882500000001</v>
      </c>
      <c r="O47">
        <f>O46*53</f>
        <v>-8.3905739583333343</v>
      </c>
      <c r="P47">
        <f t="shared" ref="P47:R47" si="25">P46*53</f>
        <v>-8.3905739583333343</v>
      </c>
      <c r="Q47">
        <f t="shared" si="25"/>
        <v>-11.171482708333398</v>
      </c>
      <c r="R47">
        <f t="shared" si="25"/>
        <v>-14.723282708333358</v>
      </c>
    </row>
    <row r="48" spans="2:29">
      <c r="B48" s="5">
        <v>0.57940000000000003</v>
      </c>
      <c r="C48">
        <v>0.60470000000000002</v>
      </c>
      <c r="D48">
        <v>0.60960000000000003</v>
      </c>
      <c r="E48">
        <v>2.1797</v>
      </c>
      <c r="F48">
        <v>1212.4296999999999</v>
      </c>
      <c r="G48">
        <v>1.1774</v>
      </c>
      <c r="O48" s="14">
        <f>O42-$N$42</f>
        <v>-0.46156999999999471</v>
      </c>
      <c r="P48" s="14">
        <f>P42-$N$42</f>
        <v>-0.46156999999999471</v>
      </c>
      <c r="Q48" s="14">
        <f t="shared" ref="Q48:R48" si="26">Q42-$N$42</f>
        <v>-5.9824900000000412</v>
      </c>
      <c r="R48" s="14">
        <f t="shared" si="26"/>
        <v>-9.5342899999999986</v>
      </c>
    </row>
    <row r="49" spans="2:26">
      <c r="B49" s="5">
        <v>-0.52059999999999995</v>
      </c>
      <c r="C49">
        <v>-0.57050000000000001</v>
      </c>
      <c r="D49">
        <v>-0.46589999999999998</v>
      </c>
      <c r="E49">
        <v>8.9300000000000004E-2</v>
      </c>
      <c r="F49">
        <v>1.1774</v>
      </c>
      <c r="G49">
        <v>1210.8774000000001</v>
      </c>
    </row>
    <row r="50" spans="2:26">
      <c r="M50" t="s">
        <v>122</v>
      </c>
      <c r="N50" t="s">
        <v>141</v>
      </c>
      <c r="O50" t="s">
        <v>142</v>
      </c>
      <c r="P50" t="s">
        <v>124</v>
      </c>
      <c r="Q50" t="s">
        <v>143</v>
      </c>
      <c r="R50" t="s">
        <v>125</v>
      </c>
      <c r="U50" t="s">
        <v>128</v>
      </c>
    </row>
    <row r="51" spans="2:26">
      <c r="N51" s="1">
        <v>-105.00703</v>
      </c>
      <c r="O51" s="1">
        <v>-100.7392</v>
      </c>
      <c r="P51" s="1">
        <v>-100.89884000000001</v>
      </c>
      <c r="Q51" s="1"/>
      <c r="U51" t="s">
        <v>136</v>
      </c>
      <c r="V51" t="s">
        <v>135</v>
      </c>
      <c r="W51" t="s">
        <v>137</v>
      </c>
      <c r="X51" t="s">
        <v>138</v>
      </c>
      <c r="Y51" t="s">
        <v>139</v>
      </c>
    </row>
    <row r="52" spans="2:26">
      <c r="N52" s="1">
        <f>N51/16</f>
        <v>-6.562939375</v>
      </c>
      <c r="O52" s="1">
        <f>O51/15</f>
        <v>-6.7159466666666665</v>
      </c>
      <c r="P52" s="1">
        <f t="shared" ref="P52" si="27">P51/15</f>
        <v>-6.726589333333334</v>
      </c>
      <c r="Q52" s="1">
        <f t="shared" ref="Q52" si="28">Q51/15</f>
        <v>0</v>
      </c>
      <c r="R52" s="1">
        <f t="shared" ref="R52" si="29">R51/15</f>
        <v>0</v>
      </c>
      <c r="U52" s="1">
        <v>-350.84445764100002</v>
      </c>
      <c r="V52" s="1">
        <v>-13.003767</v>
      </c>
      <c r="W52" s="1">
        <v>-12.395123999999999</v>
      </c>
      <c r="X52" s="1">
        <v>-8.6670175175399997</v>
      </c>
      <c r="Y52" s="1">
        <v>23.283861999999999</v>
      </c>
      <c r="Z52" t="s">
        <v>3</v>
      </c>
    </row>
    <row r="53" spans="2:26">
      <c r="N53" s="4">
        <f>N51-8*$B$6-8*$D$6</f>
        <v>6.0076400000000021</v>
      </c>
      <c r="O53" s="4">
        <f>O51-7*$B$6-8*$D$6</f>
        <v>1.9670475000000067</v>
      </c>
      <c r="P53" s="4">
        <f t="shared" ref="P53" si="30">P51-7*$B$6-8*$D$6</f>
        <v>1.8074074999999965</v>
      </c>
      <c r="Q53" s="4">
        <f>Q51-8*$B$6-7*$D$6</f>
        <v>105.44625875</v>
      </c>
      <c r="R53" s="4">
        <f>R51-8*$B$6-7*$D$6</f>
        <v>105.44625875</v>
      </c>
      <c r="U53" s="1">
        <f>U52/54</f>
        <v>-6.4971195859444446</v>
      </c>
      <c r="V53" s="1">
        <f>V52/2</f>
        <v>-6.5018834999999999</v>
      </c>
      <c r="W53" s="1">
        <f>W52/2</f>
        <v>-6.1975619999999996</v>
      </c>
      <c r="X53" s="1">
        <f>X52/2</f>
        <v>-4.3335087587699999</v>
      </c>
      <c r="Y53" s="1">
        <f>Y52/2</f>
        <v>11.641931</v>
      </c>
      <c r="Z53" t="s">
        <v>130</v>
      </c>
    </row>
    <row r="54" spans="2:26">
      <c r="N54">
        <f>N53/16</f>
        <v>0.37547750000000013</v>
      </c>
      <c r="O54">
        <f>O53/15</f>
        <v>0.13113650000000046</v>
      </c>
      <c r="P54">
        <f t="shared" ref="P54:R54" si="31">P53/15</f>
        <v>0.12049383333333311</v>
      </c>
      <c r="Q54">
        <f t="shared" si="31"/>
        <v>7.0297505833333336</v>
      </c>
      <c r="R54">
        <f t="shared" si="31"/>
        <v>7.0297505833333336</v>
      </c>
      <c r="U54" s="3">
        <f>U52-27*$B$6-27*$D$6</f>
        <v>23.830053609000004</v>
      </c>
      <c r="V54" s="3">
        <f>V52-$B$6-$D$6</f>
        <v>0.87306675000000045</v>
      </c>
      <c r="W54" s="3">
        <f>W52-$B$6-$D$6</f>
        <v>1.4817097500000012</v>
      </c>
      <c r="X54" s="3">
        <f>X52-$B$6-$D$6</f>
        <v>5.2098162324600006</v>
      </c>
      <c r="Y54" s="3">
        <f>Y52-$B$6-$D$6</f>
        <v>37.160695749999995</v>
      </c>
      <c r="Z54" t="s">
        <v>131</v>
      </c>
    </row>
    <row r="55" spans="2:26">
      <c r="N55">
        <f>2.85*1.949166</f>
        <v>5.5551231000000003</v>
      </c>
      <c r="U55">
        <f>U54/54</f>
        <v>0.4412972890555556</v>
      </c>
      <c r="V55">
        <f>V54/2</f>
        <v>0.43653337500000022</v>
      </c>
      <c r="W55">
        <f>W54/2</f>
        <v>0.74085487500000058</v>
      </c>
      <c r="X55">
        <f>X54/2</f>
        <v>2.6049081162300003</v>
      </c>
      <c r="Y55">
        <f>Y54/2</f>
        <v>18.580347874999998</v>
      </c>
      <c r="Z55" t="s">
        <v>132</v>
      </c>
    </row>
    <row r="56" spans="2:26">
      <c r="N56">
        <f>N55/2</f>
        <v>2.7775615500000002</v>
      </c>
      <c r="P56">
        <f>P55/2</f>
        <v>0</v>
      </c>
      <c r="R56">
        <f>R55/2</f>
        <v>0</v>
      </c>
      <c r="U56">
        <f>U57*3</f>
        <v>8.1000000000000014</v>
      </c>
      <c r="V56">
        <v>2.7</v>
      </c>
      <c r="W56">
        <v>2.6</v>
      </c>
      <c r="X56">
        <v>2.4</v>
      </c>
      <c r="Y56">
        <v>2</v>
      </c>
      <c r="Z56" t="s">
        <v>129</v>
      </c>
    </row>
    <row r="57" spans="2:26">
      <c r="O57">
        <f>O54-$N$54</f>
        <v>-0.24434099999999967</v>
      </c>
      <c r="P57">
        <f t="shared" ref="P57:R57" si="32">P54-$N$54</f>
        <v>-0.25498366666666705</v>
      </c>
      <c r="Q57">
        <f t="shared" si="32"/>
        <v>6.654273083333333</v>
      </c>
      <c r="R57">
        <f t="shared" si="32"/>
        <v>6.654273083333333</v>
      </c>
      <c r="U57">
        <v>2.7</v>
      </c>
      <c r="V57">
        <v>2.7</v>
      </c>
      <c r="W57">
        <v>2.6</v>
      </c>
      <c r="X57">
        <v>2.4</v>
      </c>
      <c r="Y57">
        <v>2</v>
      </c>
      <c r="Z57" t="s">
        <v>2</v>
      </c>
    </row>
    <row r="58" spans="2:26">
      <c r="O58">
        <f>O57*15</f>
        <v>-3.6651149999999952</v>
      </c>
      <c r="P58">
        <f t="shared" ref="P58" si="33">P57*15</f>
        <v>-3.8247550000000059</v>
      </c>
      <c r="Q58">
        <f t="shared" ref="Q58" si="34">Q57*15</f>
        <v>99.814096249999992</v>
      </c>
      <c r="R58">
        <f t="shared" ref="R58" si="35">R57*15</f>
        <v>99.814096249999992</v>
      </c>
    </row>
    <row r="59" spans="2:26">
      <c r="M59" t="s">
        <v>123</v>
      </c>
      <c r="N59" t="s">
        <v>144</v>
      </c>
      <c r="O59" t="s">
        <v>142</v>
      </c>
      <c r="P59" t="s">
        <v>124</v>
      </c>
      <c r="Q59" t="s">
        <v>143</v>
      </c>
      <c r="R59" t="s">
        <v>125</v>
      </c>
    </row>
    <row r="60" spans="2:26">
      <c r="N60" s="1">
        <v>-105.00672</v>
      </c>
      <c r="O60" s="1">
        <v>-100.06349</v>
      </c>
      <c r="P60" s="1">
        <v>-100.06349</v>
      </c>
      <c r="Q60" s="1">
        <v>-98.992932999999994</v>
      </c>
      <c r="R60" s="1">
        <v>-99.097542000000004</v>
      </c>
    </row>
    <row r="61" spans="2:26">
      <c r="N61" s="1">
        <f>N60/15</f>
        <v>-7.0004480000000004</v>
      </c>
      <c r="O61" s="1">
        <f>O60/15</f>
        <v>-6.6708993333333337</v>
      </c>
      <c r="P61" s="1">
        <f t="shared" ref="P61:R61" si="36">P60/15</f>
        <v>-6.6708993333333337</v>
      </c>
      <c r="Q61" s="1">
        <f t="shared" si="36"/>
        <v>-6.5995288666666658</v>
      </c>
      <c r="R61" s="1">
        <f t="shared" si="36"/>
        <v>-6.6065028000000003</v>
      </c>
    </row>
    <row r="62" spans="2:26">
      <c r="N62" s="4">
        <f>N60-8*$B$6-8*$D$6</f>
        <v>6.007950000000001</v>
      </c>
      <c r="O62" s="4">
        <f>O60-7*$B$6-8*$D$6</f>
        <v>2.6427575000000019</v>
      </c>
      <c r="P62" s="4">
        <f t="shared" ref="P62" si="37">P60-7*$B$6-8*$D$6</f>
        <v>2.6427575000000019</v>
      </c>
      <c r="Q62" s="4">
        <f>Q60-8*$B$6-7*$D$6</f>
        <v>6.4533257500000119</v>
      </c>
      <c r="R62" s="4">
        <f>R60-8*$B$6-7*$D$6</f>
        <v>6.3487167500000012</v>
      </c>
    </row>
    <row r="63" spans="2:26">
      <c r="M63" t="s">
        <v>140</v>
      </c>
      <c r="N63">
        <f>N62/16</f>
        <v>0.37549687500000006</v>
      </c>
      <c r="O63">
        <f>O62/15</f>
        <v>0.17618383333333346</v>
      </c>
      <c r="P63">
        <f t="shared" ref="P63:R63" si="38">P62/15</f>
        <v>0.17618383333333346</v>
      </c>
      <c r="Q63">
        <f t="shared" si="38"/>
        <v>0.43022171666666748</v>
      </c>
      <c r="R63">
        <f t="shared" si="38"/>
        <v>0.4232477833333334</v>
      </c>
    </row>
    <row r="64" spans="2:26">
      <c r="N64">
        <f>2.85*1.948401</f>
        <v>5.55294285</v>
      </c>
      <c r="P64">
        <f>2.85*1.97653785792397</f>
        <v>5.6331328950833148</v>
      </c>
      <c r="R64">
        <f>2.85*1.92762434163863</f>
        <v>5.4937293736700958</v>
      </c>
    </row>
    <row r="65" spans="13:18">
      <c r="N65">
        <f>N64/2</f>
        <v>2.776471425</v>
      </c>
      <c r="P65">
        <f>P64/2</f>
        <v>2.8165664475416574</v>
      </c>
      <c r="R65">
        <f>R64/2</f>
        <v>2.7468646868350479</v>
      </c>
    </row>
    <row r="66" spans="13:18">
      <c r="M66" t="s">
        <v>145</v>
      </c>
      <c r="O66">
        <f>O63-$N$63</f>
        <v>-0.19931304166666661</v>
      </c>
      <c r="P66">
        <f>P63-$N$63</f>
        <v>-0.19931304166666661</v>
      </c>
      <c r="Q66">
        <f>Q63-$N$63</f>
        <v>5.4724841666667412E-2</v>
      </c>
      <c r="R66">
        <f>R63-$N$63</f>
        <v>4.7750908333333342E-2</v>
      </c>
    </row>
    <row r="67" spans="13:18">
      <c r="O67">
        <f>O66*15</f>
        <v>-2.9896956249999991</v>
      </c>
      <c r="P67">
        <f t="shared" ref="P67:R67" si="39">P66*15</f>
        <v>-2.9896956249999991</v>
      </c>
      <c r="Q67">
        <f t="shared" si="39"/>
        <v>0.82087262500001112</v>
      </c>
      <c r="R67">
        <f t="shared" si="39"/>
        <v>0.71626362500000007</v>
      </c>
    </row>
    <row r="68" spans="13:18">
      <c r="O68" s="1"/>
      <c r="P68" s="1"/>
      <c r="Q68" s="1"/>
      <c r="R68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="70" zoomScaleNormal="70" zoomScalePageLayoutView="70" workbookViewId="0">
      <selection activeCell="L19" sqref="L19"/>
    </sheetView>
  </sheetViews>
  <sheetFormatPr baseColWidth="10" defaultColWidth="10.6640625" defaultRowHeight="15" x14ac:dyDescent="0"/>
  <sheetData>
    <row r="1" spans="1:5">
      <c r="A1" s="3"/>
      <c r="B1" s="3" t="s">
        <v>1</v>
      </c>
      <c r="C1" s="3" t="s">
        <v>6</v>
      </c>
      <c r="D1" s="3" t="s">
        <v>8</v>
      </c>
    </row>
    <row r="2" spans="1:5">
      <c r="A2" s="3" t="s">
        <v>4</v>
      </c>
      <c r="B2" s="3">
        <v>2.83412</v>
      </c>
      <c r="C2" s="3">
        <v>4.0419200000000002</v>
      </c>
      <c r="D2" s="3">
        <v>3.5223200000000001</v>
      </c>
    </row>
    <row r="3" spans="1:5">
      <c r="A3" s="3" t="s">
        <v>5</v>
      </c>
      <c r="B3" s="3">
        <f>B2/1</f>
        <v>2.83412</v>
      </c>
      <c r="C3" s="3">
        <f>C2/1</f>
        <v>4.0419200000000002</v>
      </c>
      <c r="D3" s="3">
        <f>D2/1</f>
        <v>3.5223200000000001</v>
      </c>
    </row>
    <row r="4" spans="1:5">
      <c r="A4" s="3" t="s">
        <v>3</v>
      </c>
      <c r="B4" s="2">
        <v>-16.616845000000001</v>
      </c>
      <c r="C4" s="3">
        <v>-14.971221</v>
      </c>
      <c r="D4" s="3">
        <v>-22.273644999999998</v>
      </c>
    </row>
    <row r="5" spans="1:5">
      <c r="A5" s="3" t="s">
        <v>10</v>
      </c>
      <c r="B5" s="3">
        <f>B4/2</f>
        <v>-8.3084225000000007</v>
      </c>
      <c r="C5" s="3">
        <f>C4/4</f>
        <v>-3.74280525</v>
      </c>
      <c r="D5" s="3">
        <f>D4/4</f>
        <v>-5.5684112499999996</v>
      </c>
    </row>
    <row r="6" spans="1:5">
      <c r="A6" s="3"/>
      <c r="B6" s="3"/>
      <c r="C6" s="3"/>
      <c r="D6" s="3"/>
    </row>
    <row r="7" spans="1:5">
      <c r="B7" t="s">
        <v>135</v>
      </c>
      <c r="C7" t="s">
        <v>158</v>
      </c>
      <c r="D7" t="s">
        <v>159</v>
      </c>
      <c r="E7" t="s">
        <v>160</v>
      </c>
    </row>
    <row r="8" spans="1:5">
      <c r="A8" t="s">
        <v>3</v>
      </c>
      <c r="B8" s="1">
        <v>-13.724772</v>
      </c>
      <c r="C8" s="1">
        <v>-13.303825</v>
      </c>
      <c r="D8" s="1">
        <v>-8.6679498000000006</v>
      </c>
      <c r="E8" s="1">
        <v>23.283861999999999</v>
      </c>
    </row>
    <row r="9" spans="1:5">
      <c r="A9" t="s">
        <v>130</v>
      </c>
      <c r="B9" s="1">
        <f>B8/2</f>
        <v>-6.8623859999999999</v>
      </c>
      <c r="C9" s="1">
        <f t="shared" ref="C9:E9" si="0">C8/2</f>
        <v>-6.6519124999999999</v>
      </c>
      <c r="D9" s="1">
        <f t="shared" si="0"/>
        <v>-4.3339749000000003</v>
      </c>
      <c r="E9" s="1">
        <f t="shared" si="0"/>
        <v>11.641931</v>
      </c>
    </row>
    <row r="10" spans="1:5">
      <c r="A10" t="s">
        <v>131</v>
      </c>
      <c r="B10" s="1">
        <f>B8-$B$5-$D$5</f>
        <v>0.15206175000000055</v>
      </c>
      <c r="C10" s="1">
        <f t="shared" ref="C10:E10" si="1">C8-$B$5-$D$5</f>
        <v>0.57300875000000051</v>
      </c>
      <c r="D10" s="1">
        <f t="shared" si="1"/>
        <v>5.2088839499999997</v>
      </c>
      <c r="E10" s="1">
        <f t="shared" si="1"/>
        <v>37.160695749999995</v>
      </c>
    </row>
    <row r="11" spans="1:5">
      <c r="A11" t="s">
        <v>132</v>
      </c>
      <c r="B11" s="4">
        <f>B10/2</f>
        <v>7.6030875000000275E-2</v>
      </c>
      <c r="C11" s="4">
        <f t="shared" ref="C11:E11" si="2">C10/2</f>
        <v>0.28650437500000026</v>
      </c>
      <c r="D11" s="4">
        <f t="shared" si="2"/>
        <v>2.6044419749999999</v>
      </c>
      <c r="E11" s="4">
        <f t="shared" si="2"/>
        <v>18.580347874999998</v>
      </c>
    </row>
    <row r="12" spans="1:5">
      <c r="A12" t="s">
        <v>2</v>
      </c>
      <c r="B12">
        <f>2.8*1.02141768585894</f>
        <v>2.8599695204050319</v>
      </c>
      <c r="C12">
        <v>2.7</v>
      </c>
      <c r="D12">
        <v>2.4</v>
      </c>
      <c r="E12">
        <v>2</v>
      </c>
    </row>
    <row r="13" spans="1:5">
      <c r="A13" t="s">
        <v>34</v>
      </c>
      <c r="B13">
        <v>3.6248</v>
      </c>
      <c r="C13">
        <v>3.1999</v>
      </c>
      <c r="D13">
        <v>4.0000000000000002E-4</v>
      </c>
      <c r="E13">
        <v>0</v>
      </c>
    </row>
    <row r="14" spans="1:5">
      <c r="A14" t="s">
        <v>157</v>
      </c>
      <c r="B14">
        <f>B13/2</f>
        <v>1.8124</v>
      </c>
      <c r="C14">
        <f t="shared" ref="C14:E14" si="3">C13/2</f>
        <v>1.59995</v>
      </c>
      <c r="D14">
        <f t="shared" si="3"/>
        <v>2.0000000000000001E-4</v>
      </c>
      <c r="E14">
        <f t="shared" si="3"/>
        <v>0</v>
      </c>
    </row>
    <row r="17" spans="3:12">
      <c r="C17" t="s">
        <v>161</v>
      </c>
    </row>
    <row r="18" spans="3:12">
      <c r="D18">
        <v>1306.8289</v>
      </c>
      <c r="E18">
        <v>2026.7498000000001</v>
      </c>
      <c r="F18">
        <v>2026.7497000000001</v>
      </c>
      <c r="G18">
        <v>-2.0000000000000001E-4</v>
      </c>
      <c r="H18">
        <v>-1E-4</v>
      </c>
      <c r="I18">
        <v>-2.9999999999999997E-4</v>
      </c>
      <c r="K18" t="s">
        <v>88</v>
      </c>
      <c r="L18">
        <v>130.68</v>
      </c>
    </row>
    <row r="19" spans="3:12">
      <c r="D19">
        <v>2026.7498000000001</v>
      </c>
      <c r="E19">
        <v>1306.829</v>
      </c>
      <c r="F19">
        <v>2026.7498000000001</v>
      </c>
      <c r="G19">
        <v>-2.0000000000000001E-4</v>
      </c>
      <c r="H19">
        <v>-2.0000000000000001E-4</v>
      </c>
      <c r="I19">
        <v>-2.0000000000000001E-4</v>
      </c>
      <c r="K19" t="s">
        <v>89</v>
      </c>
      <c r="L19">
        <v>202.67</v>
      </c>
    </row>
    <row r="20" spans="3:12">
      <c r="D20">
        <v>2026.7497000000001</v>
      </c>
      <c r="E20">
        <v>2026.7498000000001</v>
      </c>
      <c r="F20">
        <v>1306.8289</v>
      </c>
      <c r="G20">
        <v>-2.0000000000000001E-4</v>
      </c>
      <c r="H20">
        <v>-2.0000000000000001E-4</v>
      </c>
      <c r="I20">
        <v>-2.9999999999999997E-4</v>
      </c>
      <c r="K20" t="s">
        <v>162</v>
      </c>
      <c r="L20">
        <v>78.08</v>
      </c>
    </row>
    <row r="21" spans="3:12">
      <c r="D21">
        <v>-2.0000000000000001E-4</v>
      </c>
      <c r="E21">
        <v>-2.0000000000000001E-4</v>
      </c>
      <c r="F21">
        <v>-2.0000000000000001E-4</v>
      </c>
      <c r="G21">
        <v>780.81719999999996</v>
      </c>
      <c r="H21">
        <v>-1E-4</v>
      </c>
      <c r="I21">
        <v>-1E-4</v>
      </c>
    </row>
    <row r="22" spans="3:12">
      <c r="D22">
        <v>-1E-4</v>
      </c>
      <c r="E22">
        <v>-2.0000000000000001E-4</v>
      </c>
      <c r="F22">
        <v>-2.0000000000000001E-4</v>
      </c>
      <c r="G22">
        <v>-1E-4</v>
      </c>
      <c r="H22">
        <v>780.81719999999996</v>
      </c>
      <c r="I22">
        <v>-1E-4</v>
      </c>
    </row>
    <row r="23" spans="3:12">
      <c r="D23">
        <v>-2.9999999999999997E-4</v>
      </c>
      <c r="E23">
        <v>-2.0000000000000001E-4</v>
      </c>
      <c r="F23">
        <v>-2.9999999999999997E-4</v>
      </c>
      <c r="G23">
        <v>-1E-4</v>
      </c>
      <c r="H23">
        <v>-1E-4</v>
      </c>
      <c r="I23">
        <v>780.81709999999998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="90" zoomScaleNormal="90" zoomScalePageLayoutView="90" workbookViewId="0">
      <selection activeCell="D33" sqref="D33"/>
    </sheetView>
  </sheetViews>
  <sheetFormatPr baseColWidth="10" defaultColWidth="11" defaultRowHeight="15" x14ac:dyDescent="0"/>
  <sheetData>
    <row r="1" spans="1:7">
      <c r="A1" s="3" t="s">
        <v>1</v>
      </c>
      <c r="B1" s="3" t="s">
        <v>6</v>
      </c>
      <c r="C1" s="3" t="s">
        <v>8</v>
      </c>
    </row>
    <row r="2" spans="1:7">
      <c r="A2" s="3">
        <v>2.83412</v>
      </c>
      <c r="B2" s="3">
        <v>4.0419200000000002</v>
      </c>
      <c r="C2" s="3">
        <v>3.5223200000000001</v>
      </c>
    </row>
    <row r="3" spans="1:7">
      <c r="A3" s="3">
        <f>A2/1</f>
        <v>2.83412</v>
      </c>
      <c r="B3" s="3">
        <f>B2/1</f>
        <v>4.0419200000000002</v>
      </c>
      <c r="C3" s="3">
        <f>C2/1</f>
        <v>3.5223200000000001</v>
      </c>
    </row>
    <row r="4" spans="1:7">
      <c r="A4" s="2">
        <v>-16.616845000000001</v>
      </c>
      <c r="B4" s="3">
        <v>-14.971221</v>
      </c>
      <c r="C4" s="3">
        <v>-22.273644999999998</v>
      </c>
    </row>
    <row r="5" spans="1:7">
      <c r="A5" s="3">
        <f>A4/2</f>
        <v>-8.3084225000000007</v>
      </c>
      <c r="B5" s="3">
        <f>B4/4</f>
        <v>-3.74280525</v>
      </c>
      <c r="C5" s="3">
        <f>C4/4</f>
        <v>-5.5684112499999996</v>
      </c>
    </row>
    <row r="6" spans="1:7">
      <c r="A6" s="3"/>
      <c r="B6" s="3"/>
      <c r="C6" s="3"/>
    </row>
    <row r="7" spans="1:7">
      <c r="A7" t="s">
        <v>36</v>
      </c>
      <c r="B7" t="s">
        <v>37</v>
      </c>
      <c r="C7" t="s">
        <v>38</v>
      </c>
      <c r="D7" t="s">
        <v>39</v>
      </c>
      <c r="E7" t="s">
        <v>40</v>
      </c>
      <c r="F7" t="s">
        <v>41</v>
      </c>
      <c r="G7" t="s">
        <v>42</v>
      </c>
    </row>
    <row r="8" spans="1:7">
      <c r="A8" t="s">
        <v>33</v>
      </c>
      <c r="B8" s="3">
        <v>-19.640201000000001</v>
      </c>
      <c r="C8" s="3">
        <v>-17.166605000000001</v>
      </c>
      <c r="D8" s="3">
        <v>-28.553260000000002</v>
      </c>
      <c r="E8" s="3">
        <v>-30.387443000000001</v>
      </c>
      <c r="F8" s="3">
        <v>-22.028731000000001</v>
      </c>
      <c r="G8" s="3">
        <v>-24.021934000000002</v>
      </c>
    </row>
    <row r="9" spans="1:7">
      <c r="A9" t="s">
        <v>2</v>
      </c>
      <c r="B9" s="3">
        <v>5.9855700000000001</v>
      </c>
      <c r="C9" s="3">
        <v>6.1214899999999997</v>
      </c>
      <c r="D9" s="3">
        <v>5.6278199999999998</v>
      </c>
      <c r="E9" s="3">
        <v>5.7209500000000002</v>
      </c>
      <c r="F9" s="3">
        <v>5.6774399999999998</v>
      </c>
      <c r="G9" s="3">
        <v>5.5859100000000002</v>
      </c>
    </row>
    <row r="10" spans="1:7">
      <c r="A10" t="s">
        <v>34</v>
      </c>
      <c r="B10" s="3">
        <v>0</v>
      </c>
      <c r="C10" s="3">
        <v>0</v>
      </c>
      <c r="D10" s="3">
        <v>-7.0000000000000001E-3</v>
      </c>
      <c r="E10" s="3">
        <v>8.6880000000000006</v>
      </c>
      <c r="F10" s="3">
        <v>0</v>
      </c>
      <c r="G10" s="3">
        <v>3.5000000000000003E-2</v>
      </c>
    </row>
    <row r="11" spans="1:7">
      <c r="A11" t="s">
        <v>35</v>
      </c>
      <c r="B11" s="3">
        <f>B8-3*B5-A5</f>
        <v>-0.1033627500000005</v>
      </c>
      <c r="C11" s="3">
        <f>C8-3*B5-C5</f>
        <v>-0.36977800000000105</v>
      </c>
      <c r="D11" s="3">
        <f>D8-3*A5-B5</f>
        <v>0.11481275000000224</v>
      </c>
      <c r="E11" s="3">
        <f>E8-3*A5-C5</f>
        <v>0.1062357500000024</v>
      </c>
      <c r="F11" s="3">
        <f>F8-3*C5-B5</f>
        <v>-1.5806920000000027</v>
      </c>
      <c r="G11" s="3">
        <f>G8-3*C5-A5</f>
        <v>0.99172224999999692</v>
      </c>
    </row>
    <row r="12" spans="1:7">
      <c r="A12" t="s">
        <v>43</v>
      </c>
      <c r="B12" s="3">
        <f>B11/4</f>
        <v>-2.5840687500000126E-2</v>
      </c>
      <c r="C12" s="3">
        <f t="shared" ref="C12:G12" si="0">C11/4</f>
        <v>-9.2444500000000263E-2</v>
      </c>
      <c r="D12" s="3">
        <f t="shared" si="0"/>
        <v>2.870318750000056E-2</v>
      </c>
      <c r="E12" s="3">
        <f t="shared" si="0"/>
        <v>2.6558937500000601E-2</v>
      </c>
      <c r="F12" s="3">
        <f t="shared" si="0"/>
        <v>-0.39517300000000066</v>
      </c>
      <c r="G12" s="3">
        <f t="shared" si="0"/>
        <v>0.24793056249999923</v>
      </c>
    </row>
    <row r="14" spans="1:7">
      <c r="A14" t="s">
        <v>93</v>
      </c>
    </row>
    <row r="15" spans="1:7">
      <c r="A15" t="s">
        <v>36</v>
      </c>
      <c r="B15" t="s">
        <v>37</v>
      </c>
      <c r="C15" t="s">
        <v>38</v>
      </c>
      <c r="D15" t="s">
        <v>39</v>
      </c>
      <c r="E15" t="s">
        <v>40</v>
      </c>
      <c r="F15" t="s">
        <v>41</v>
      </c>
      <c r="G15" t="s">
        <v>42</v>
      </c>
    </row>
    <row r="16" spans="1:7">
      <c r="A16" t="s">
        <v>33</v>
      </c>
      <c r="B16" s="3">
        <v>-78.525475</v>
      </c>
      <c r="C16" s="3">
        <v>-68.673263000000006</v>
      </c>
      <c r="D16" s="3">
        <v>-117.89194000000001</v>
      </c>
      <c r="E16" s="3">
        <v>-121.5171</v>
      </c>
      <c r="F16" s="3">
        <v>-88.066940000000002</v>
      </c>
      <c r="G16" s="3">
        <v>-95.782954000000004</v>
      </c>
    </row>
    <row r="17" spans="1:7">
      <c r="A17" t="s">
        <v>2</v>
      </c>
      <c r="B17" s="3">
        <f>6*0.9976482</f>
        <v>5.9858891999999999</v>
      </c>
      <c r="C17" s="3">
        <f>6*1.020447</f>
        <v>6.1226820000000011</v>
      </c>
      <c r="D17" s="3">
        <v>5.7420900000000001</v>
      </c>
      <c r="E17" s="3">
        <f>6*0.9537523</f>
        <v>5.7225137999999998</v>
      </c>
      <c r="F17" s="3">
        <f>6*0.9466665</f>
        <v>5.6799989999999996</v>
      </c>
      <c r="G17" s="3">
        <f>6*0.929672</f>
        <v>5.5780320000000003</v>
      </c>
    </row>
    <row r="18" spans="1:7">
      <c r="A18" t="s">
        <v>34</v>
      </c>
      <c r="B18" s="3">
        <v>0</v>
      </c>
      <c r="C18" s="3">
        <v>0</v>
      </c>
      <c r="D18" s="3">
        <v>23.905899999999999</v>
      </c>
      <c r="E18" s="3">
        <v>34.811700000000002</v>
      </c>
      <c r="F18" s="3">
        <v>0</v>
      </c>
      <c r="G18" s="3">
        <v>5.0000000000000001E-4</v>
      </c>
    </row>
    <row r="19" spans="1:7">
      <c r="A19" t="s">
        <v>35</v>
      </c>
      <c r="B19" s="3">
        <f>B16-12*$B$5-4*$A$5</f>
        <v>-0.37812199999999763</v>
      </c>
      <c r="C19" s="3">
        <f>C16-12*$B$5-4*$C$5</f>
        <v>-1.4859550000000077</v>
      </c>
      <c r="D19" s="3">
        <f>D16-12*$A$5-4*$B$5</f>
        <v>-3.2196489999999898</v>
      </c>
      <c r="E19" s="3">
        <f>E16-12*$A$5-4*$C$5</f>
        <v>0.45761500000001476</v>
      </c>
      <c r="F19" s="3">
        <f>F16-12*$C$5-4*$B$5</f>
        <v>-6.274784000000011</v>
      </c>
      <c r="G19" s="3">
        <f>G16-12*$C$5-4*$A$5</f>
        <v>4.2716709999999907</v>
      </c>
    </row>
    <row r="20" spans="1:7">
      <c r="A20" t="s">
        <v>43</v>
      </c>
      <c r="B20" s="3">
        <f>B19/4</f>
        <v>-9.4530499999999407E-2</v>
      </c>
      <c r="C20" s="3">
        <f t="shared" ref="C20:G20" si="1">C19/4</f>
        <v>-0.37148875000000192</v>
      </c>
      <c r="D20" s="3">
        <f t="shared" si="1"/>
        <v>-0.80491224999999744</v>
      </c>
      <c r="E20" s="3">
        <f t="shared" si="1"/>
        <v>0.11440375000000369</v>
      </c>
      <c r="F20" s="3">
        <f t="shared" si="1"/>
        <v>-1.5686960000000028</v>
      </c>
      <c r="G20" s="3">
        <f t="shared" si="1"/>
        <v>1.0679177499999977</v>
      </c>
    </row>
    <row r="21" spans="1:7">
      <c r="A21" t="s">
        <v>155</v>
      </c>
      <c r="D21" s="3"/>
    </row>
    <row r="22" spans="1:7">
      <c r="A22" t="s">
        <v>36</v>
      </c>
      <c r="B22" t="s">
        <v>156</v>
      </c>
      <c r="D22" t="s">
        <v>154</v>
      </c>
      <c r="E22" t="s">
        <v>164</v>
      </c>
    </row>
    <row r="23" spans="1:7">
      <c r="A23" t="s">
        <v>33</v>
      </c>
      <c r="B23" s="1">
        <v>-78.525479000000004</v>
      </c>
      <c r="D23" s="1">
        <v>-117.89214</v>
      </c>
      <c r="E23" s="1">
        <v>-121.5171</v>
      </c>
    </row>
    <row r="24" spans="1:7">
      <c r="A24" t="s">
        <v>2</v>
      </c>
      <c r="B24">
        <f>6*0.997680534355872</f>
        <v>5.9860832061352323</v>
      </c>
      <c r="D24" s="3">
        <f>6*0.956856395449533</f>
        <v>5.7411383726971987</v>
      </c>
      <c r="E24">
        <f>6*0.953707360094897</f>
        <v>5.7222441605693817</v>
      </c>
    </row>
    <row r="25" spans="1:7">
      <c r="A25" t="s">
        <v>34</v>
      </c>
      <c r="B25">
        <v>0</v>
      </c>
      <c r="D25" s="3">
        <v>23.8979</v>
      </c>
      <c r="E25" s="1">
        <v>-121.5171</v>
      </c>
    </row>
    <row r="26" spans="1:7">
      <c r="A26" t="s">
        <v>35</v>
      </c>
      <c r="B26" s="3">
        <f>B23-4*$A$5-12*$B$5</f>
        <v>-0.37812600000000174</v>
      </c>
      <c r="D26" s="3">
        <f>D23-12*$A$5-4*$B$5</f>
        <v>-3.2198489999999822</v>
      </c>
      <c r="E26" s="3">
        <f>E23-12*$A$5-4*$C$5</f>
        <v>0.45761500000001476</v>
      </c>
    </row>
    <row r="27" spans="1:7">
      <c r="A27" t="s">
        <v>43</v>
      </c>
      <c r="B27" s="3">
        <f>B26/16</f>
        <v>-2.3632875000000109E-2</v>
      </c>
      <c r="D27" s="3">
        <f>D26/16</f>
        <v>-0.20124056249999889</v>
      </c>
      <c r="E27" s="3">
        <f>E26/16</f>
        <v>2.8600937500000922E-2</v>
      </c>
    </row>
    <row r="29" spans="1:7">
      <c r="D29" s="1">
        <v>-117.89188</v>
      </c>
    </row>
    <row r="30" spans="1:7">
      <c r="D30" s="3">
        <f>6*0.956856395449533</f>
        <v>5.7411383726971987</v>
      </c>
    </row>
    <row r="31" spans="1:7">
      <c r="D31" s="3">
        <v>23.8979</v>
      </c>
    </row>
    <row r="32" spans="1:7">
      <c r="D32" s="3">
        <f>D31/16</f>
        <v>1.49361875</v>
      </c>
    </row>
    <row r="33" spans="4:4">
      <c r="D33" s="3">
        <f>D29-12*$A$5-4*$B$5</f>
        <v>-3.2195889999999849</v>
      </c>
    </row>
    <row r="34" spans="4:4">
      <c r="D34" s="3">
        <f>D33/16</f>
        <v>-0.20122431249999906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="90" zoomScaleNormal="90" zoomScalePageLayoutView="90" workbookViewId="0">
      <selection activeCell="D13" sqref="D13"/>
    </sheetView>
  </sheetViews>
  <sheetFormatPr baseColWidth="10" defaultColWidth="11" defaultRowHeight="15" x14ac:dyDescent="0"/>
  <sheetData>
    <row r="1" spans="1:7">
      <c r="A1" s="3" t="s">
        <v>1</v>
      </c>
      <c r="B1" s="3" t="s">
        <v>6</v>
      </c>
      <c r="C1" s="3" t="s">
        <v>8</v>
      </c>
    </row>
    <row r="2" spans="1:7">
      <c r="A2" s="3">
        <v>2.83412</v>
      </c>
      <c r="B2" s="3">
        <v>4.0419200000000002</v>
      </c>
      <c r="C2" s="3">
        <v>3.5223200000000001</v>
      </c>
    </row>
    <row r="3" spans="1:7">
      <c r="A3" s="3">
        <f>A2/1</f>
        <v>2.83412</v>
      </c>
      <c r="B3" s="3">
        <f>B2/1</f>
        <v>4.0419200000000002</v>
      </c>
      <c r="C3" s="3">
        <f>C2/1</f>
        <v>3.5223200000000001</v>
      </c>
    </row>
    <row r="4" spans="1:7">
      <c r="A4" s="2">
        <v>-16.616845000000001</v>
      </c>
      <c r="B4" s="3">
        <v>-14.971221</v>
      </c>
      <c r="C4" s="3">
        <v>-22.273644999999998</v>
      </c>
    </row>
    <row r="5" spans="1:7">
      <c r="A5" s="3">
        <f>A4/2</f>
        <v>-8.3084225000000007</v>
      </c>
      <c r="B5" s="3">
        <f>B4/4</f>
        <v>-3.74280525</v>
      </c>
      <c r="C5" s="3">
        <f>C4/4</f>
        <v>-5.5684112499999996</v>
      </c>
    </row>
    <row r="7" spans="1:7">
      <c r="A7" t="s">
        <v>36</v>
      </c>
      <c r="B7" t="s">
        <v>37</v>
      </c>
      <c r="C7" t="s">
        <v>38</v>
      </c>
      <c r="D7" t="s">
        <v>39</v>
      </c>
      <c r="E7" t="s">
        <v>40</v>
      </c>
      <c r="F7" t="s">
        <v>41</v>
      </c>
      <c r="G7" t="s">
        <v>42</v>
      </c>
    </row>
    <row r="8" spans="1:7">
      <c r="A8" t="s">
        <v>33</v>
      </c>
      <c r="B8" s="3">
        <v>-20.005023999999999</v>
      </c>
      <c r="C8" s="3">
        <v>-17.70438</v>
      </c>
      <c r="D8" s="3">
        <v>-29.473248000000002</v>
      </c>
      <c r="E8" s="3">
        <v>-30.328661</v>
      </c>
      <c r="F8" s="3">
        <v>-22.192018000000001</v>
      </c>
      <c r="G8" s="3">
        <v>-24.329018000000001</v>
      </c>
    </row>
    <row r="9" spans="1:7">
      <c r="A9" t="s">
        <v>2</v>
      </c>
      <c r="B9" s="3">
        <v>3.7965200000000001</v>
      </c>
      <c r="C9" s="3">
        <v>3.8441100000000001</v>
      </c>
      <c r="D9" s="3">
        <v>3.6526999999999998</v>
      </c>
      <c r="E9" s="3">
        <v>3.5969500000000001</v>
      </c>
      <c r="F9" s="3">
        <v>3.5698599999999998</v>
      </c>
      <c r="G9" s="3">
        <v>3.5016799999999999</v>
      </c>
    </row>
    <row r="10" spans="1:7">
      <c r="A10" t="s">
        <v>34</v>
      </c>
      <c r="B10" s="3">
        <v>0</v>
      </c>
      <c r="C10" s="3">
        <v>0</v>
      </c>
      <c r="D10" s="3">
        <v>6.9092000000000002</v>
      </c>
      <c r="E10" s="3">
        <v>8.2936999999999994</v>
      </c>
      <c r="F10" s="3">
        <v>-9.1000000000000004E-3</v>
      </c>
      <c r="G10" s="3">
        <v>1E-3</v>
      </c>
    </row>
    <row r="11" spans="1:7">
      <c r="A11" t="s">
        <v>157</v>
      </c>
      <c r="B11" s="3">
        <f>B10/4</f>
        <v>0</v>
      </c>
      <c r="C11" s="3">
        <f t="shared" ref="C11:G11" si="0">C10/4</f>
        <v>0</v>
      </c>
      <c r="D11" s="3">
        <f t="shared" si="0"/>
        <v>1.7273000000000001</v>
      </c>
      <c r="E11" s="3">
        <f t="shared" si="0"/>
        <v>2.0734249999999999</v>
      </c>
      <c r="F11" s="3">
        <f t="shared" si="0"/>
        <v>-2.2750000000000001E-3</v>
      </c>
      <c r="G11" s="3">
        <f t="shared" si="0"/>
        <v>2.5000000000000001E-4</v>
      </c>
    </row>
    <row r="12" spans="1:7">
      <c r="A12" t="s">
        <v>35</v>
      </c>
      <c r="B12" s="3">
        <f>B8-3*B5-A5</f>
        <v>-0.46818574999999818</v>
      </c>
      <c r="C12" s="3">
        <f>C8-3*B5-C5</f>
        <v>-0.90755300000000094</v>
      </c>
      <c r="D12" s="3">
        <f>D8-3*A5-B5</f>
        <v>-0.80517524999999779</v>
      </c>
      <c r="E12" s="3">
        <f>E8-3*A5-C5</f>
        <v>0.16501775000000318</v>
      </c>
      <c r="F12" s="3">
        <f>F8-3*C5-B5</f>
        <v>-1.7439790000000031</v>
      </c>
      <c r="G12" s="3">
        <f>G8-3*C5-A5</f>
        <v>0.68463824999999723</v>
      </c>
    </row>
    <row r="13" spans="1:7">
      <c r="A13" t="s">
        <v>43</v>
      </c>
      <c r="B13" s="3">
        <f>B12/4</f>
        <v>-0.11704643749999954</v>
      </c>
      <c r="C13" s="3">
        <f t="shared" ref="C13" si="1">C12/4</f>
        <v>-0.22688825000000024</v>
      </c>
      <c r="D13" s="3">
        <f t="shared" ref="D13" si="2">D12/4</f>
        <v>-0.20129381249999945</v>
      </c>
      <c r="E13" s="3">
        <f t="shared" ref="E13" si="3">E12/4</f>
        <v>4.1254437500000796E-2</v>
      </c>
      <c r="F13" s="3">
        <f t="shared" ref="F13" si="4">F12/4</f>
        <v>-0.43599475000000076</v>
      </c>
      <c r="G13" s="3">
        <f t="shared" ref="G13" si="5">G12/4</f>
        <v>0.17115956249999931</v>
      </c>
    </row>
    <row r="14" spans="1:7">
      <c r="B14" s="3"/>
      <c r="C14" s="3"/>
      <c r="D14" s="3"/>
      <c r="E14" s="3"/>
      <c r="F14" s="3"/>
      <c r="G14" s="3"/>
    </row>
    <row r="16" spans="1:7">
      <c r="D16" t="s">
        <v>163</v>
      </c>
    </row>
    <row r="17" spans="3:12">
      <c r="C17">
        <v>1649.5762999999999</v>
      </c>
      <c r="D17">
        <v>1815.8280999999999</v>
      </c>
      <c r="E17">
        <v>1814.6578</v>
      </c>
      <c r="F17">
        <v>-5.8006000000000002</v>
      </c>
      <c r="G17">
        <v>0.68700000000000006</v>
      </c>
      <c r="H17">
        <v>0.37130000000000002</v>
      </c>
      <c r="J17">
        <f>AVERAGE(C17,D18,E19)</f>
        <v>1649.9700666666665</v>
      </c>
      <c r="K17">
        <f>J17/10</f>
        <v>164.99700666666666</v>
      </c>
      <c r="L17" t="s">
        <v>166</v>
      </c>
    </row>
    <row r="18" spans="3:12">
      <c r="C18">
        <v>1815.8280999999999</v>
      </c>
      <c r="D18">
        <v>1650.3074999999999</v>
      </c>
      <c r="E18">
        <v>1818.6479999999999</v>
      </c>
      <c r="F18">
        <v>-5.4493999999999998</v>
      </c>
      <c r="G18">
        <v>0.6643</v>
      </c>
      <c r="H18">
        <v>0.23130000000000001</v>
      </c>
      <c r="J18">
        <f>AVERAGE(D17,E17,E18,D19,C19,C18)</f>
        <v>1816.3779666666667</v>
      </c>
      <c r="K18">
        <f>J18/10</f>
        <v>181.63779666666667</v>
      </c>
      <c r="L18" t="s">
        <v>167</v>
      </c>
    </row>
    <row r="19" spans="3:12">
      <c r="C19">
        <v>1814.6578</v>
      </c>
      <c r="D19">
        <v>1818.6479999999999</v>
      </c>
      <c r="E19">
        <v>1650.0264</v>
      </c>
      <c r="F19">
        <v>-2.7130000000000001</v>
      </c>
      <c r="G19">
        <v>0.81499999999999995</v>
      </c>
      <c r="H19">
        <v>0.2</v>
      </c>
      <c r="J19">
        <f>AVERAGE(F20,G21,H22)</f>
        <v>588.75026666666668</v>
      </c>
      <c r="K19">
        <f>J19/10</f>
        <v>58.87502666666667</v>
      </c>
      <c r="L19" t="s">
        <v>168</v>
      </c>
    </row>
    <row r="20" spans="3:12">
      <c r="C20">
        <v>-5.8006000000000002</v>
      </c>
      <c r="D20">
        <v>-5.4493999999999998</v>
      </c>
      <c r="E20">
        <v>-2.7130000000000001</v>
      </c>
      <c r="F20">
        <v>590.51049999999998</v>
      </c>
      <c r="G20">
        <v>0.40050000000000002</v>
      </c>
      <c r="H20">
        <v>6.6E-3</v>
      </c>
    </row>
    <row r="21" spans="3:12">
      <c r="C21">
        <v>0.68700000000000006</v>
      </c>
      <c r="D21">
        <v>0.6643</v>
      </c>
      <c r="E21">
        <v>0.81499999999999995</v>
      </c>
      <c r="F21">
        <v>0.40050000000000002</v>
      </c>
      <c r="G21">
        <v>587.86350000000004</v>
      </c>
      <c r="H21">
        <v>0.40679999999999999</v>
      </c>
    </row>
    <row r="22" spans="3:12">
      <c r="C22">
        <v>0.37130000000000002</v>
      </c>
      <c r="D22">
        <v>0.23130000000000001</v>
      </c>
      <c r="E22">
        <v>0.2</v>
      </c>
      <c r="F22">
        <v>6.6E-3</v>
      </c>
      <c r="G22">
        <v>0.40679999999999999</v>
      </c>
      <c r="H22">
        <v>587.8768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5"/>
  <sheetViews>
    <sheetView topLeftCell="G1" zoomScale="85" zoomScaleNormal="85" zoomScalePageLayoutView="85" workbookViewId="0">
      <selection activeCell="H12" sqref="H12"/>
    </sheetView>
  </sheetViews>
  <sheetFormatPr baseColWidth="10" defaultColWidth="11" defaultRowHeight="15" x14ac:dyDescent="0"/>
  <sheetData>
    <row r="3" spans="1:18">
      <c r="B3" t="s">
        <v>54</v>
      </c>
      <c r="E3" t="s">
        <v>55</v>
      </c>
      <c r="H3" t="s">
        <v>56</v>
      </c>
      <c r="L3" t="s">
        <v>58</v>
      </c>
      <c r="M3" t="s">
        <v>37</v>
      </c>
      <c r="N3" t="s">
        <v>38</v>
      </c>
      <c r="O3" t="s">
        <v>39</v>
      </c>
      <c r="P3" t="s">
        <v>40</v>
      </c>
      <c r="Q3" t="s">
        <v>41</v>
      </c>
      <c r="R3" t="s">
        <v>42</v>
      </c>
    </row>
    <row r="4" spans="1:18">
      <c r="A4" s="6" t="s">
        <v>60</v>
      </c>
      <c r="B4" s="6" t="s">
        <v>37</v>
      </c>
      <c r="C4" s="6">
        <v>-0.11704643749999954</v>
      </c>
      <c r="D4" s="6" t="s">
        <v>60</v>
      </c>
      <c r="E4" s="6" t="s">
        <v>41</v>
      </c>
      <c r="F4" s="7">
        <v>-0.43599475000000076</v>
      </c>
      <c r="G4" s="6" t="s">
        <v>60</v>
      </c>
      <c r="H4" s="6" t="s">
        <v>38</v>
      </c>
      <c r="I4" s="6">
        <v>-0.22688825000000024</v>
      </c>
      <c r="M4">
        <v>-0.11704643749999954</v>
      </c>
      <c r="N4">
        <v>-0.22688825000000024</v>
      </c>
      <c r="O4">
        <v>-0.20129381249999945</v>
      </c>
      <c r="P4">
        <v>4.1254437500000796E-2</v>
      </c>
      <c r="Q4">
        <v>-0.43599475000000076</v>
      </c>
      <c r="R4">
        <v>-1.1980449375000002</v>
      </c>
    </row>
    <row r="5" spans="1:18">
      <c r="A5" s="6" t="s">
        <v>61</v>
      </c>
      <c r="B5" s="6" t="s">
        <v>37</v>
      </c>
      <c r="C5" s="6">
        <v>-2.5840687500000126E-2</v>
      </c>
      <c r="D5" s="6" t="s">
        <v>61</v>
      </c>
      <c r="E5" s="6" t="s">
        <v>41</v>
      </c>
      <c r="F5" s="6">
        <v>-0.39517300000000066</v>
      </c>
      <c r="G5" s="6" t="s">
        <v>61</v>
      </c>
      <c r="H5" s="6" t="s">
        <v>38</v>
      </c>
      <c r="I5" s="6">
        <v>-9.2444500000000263E-2</v>
      </c>
    </row>
    <row r="6" spans="1:18">
      <c r="A6" s="6" t="s">
        <v>60</v>
      </c>
      <c r="B6" s="6" t="s">
        <v>42</v>
      </c>
      <c r="C6" s="6">
        <v>-1.1980449375000002</v>
      </c>
      <c r="D6" s="6" t="s">
        <v>60</v>
      </c>
      <c r="E6" s="6" t="s">
        <v>39</v>
      </c>
      <c r="F6" s="6">
        <v>-0.20129381249999945</v>
      </c>
      <c r="G6" s="6" t="s">
        <v>60</v>
      </c>
      <c r="H6" s="6" t="s">
        <v>40</v>
      </c>
      <c r="I6" s="6">
        <v>4.1254437500000796E-2</v>
      </c>
      <c r="L6" t="s">
        <v>57</v>
      </c>
      <c r="M6" t="s">
        <v>37</v>
      </c>
      <c r="N6" t="s">
        <v>38</v>
      </c>
      <c r="O6" t="s">
        <v>39</v>
      </c>
      <c r="P6" t="s">
        <v>40</v>
      </c>
      <c r="Q6" t="s">
        <v>41</v>
      </c>
      <c r="R6" t="s">
        <v>42</v>
      </c>
    </row>
    <row r="7" spans="1:18">
      <c r="A7" s="6" t="s">
        <v>61</v>
      </c>
      <c r="B7" s="6" t="s">
        <v>42</v>
      </c>
      <c r="C7" s="6">
        <v>-1.1212739375000003</v>
      </c>
      <c r="D7" s="6" t="s">
        <v>61</v>
      </c>
      <c r="E7" s="6" t="s">
        <v>39</v>
      </c>
      <c r="F7" s="6">
        <v>2.870318750000056E-2</v>
      </c>
      <c r="G7" s="6" t="s">
        <v>61</v>
      </c>
      <c r="H7" s="6" t="s">
        <v>40</v>
      </c>
      <c r="I7" s="6">
        <v>2.6558937500000601E-2</v>
      </c>
      <c r="M7">
        <v>-2.5840687500000126E-2</v>
      </c>
      <c r="N7">
        <v>-9.2444500000000263E-2</v>
      </c>
      <c r="O7">
        <v>2.870318750000056E-2</v>
      </c>
      <c r="P7">
        <v>2.6558937500000601E-2</v>
      </c>
      <c r="Q7">
        <v>-0.39517300000000066</v>
      </c>
      <c r="R7">
        <v>-1.1212739375000003</v>
      </c>
    </row>
    <row r="8" spans="1:18">
      <c r="A8" s="6" t="s">
        <v>59</v>
      </c>
      <c r="B8" s="6" t="s">
        <v>62</v>
      </c>
      <c r="C8" s="6">
        <v>-0.33088162499999996</v>
      </c>
      <c r="D8" s="6" t="s">
        <v>59</v>
      </c>
      <c r="E8" s="6" t="s">
        <v>62</v>
      </c>
      <c r="F8" s="6">
        <v>-0.33088162499999996</v>
      </c>
      <c r="G8" s="6" t="s">
        <v>59</v>
      </c>
      <c r="H8" s="6" t="s">
        <v>65</v>
      </c>
      <c r="I8" s="8">
        <v>-0.66714024999999999</v>
      </c>
    </row>
    <row r="9" spans="1:18">
      <c r="A9" s="6" t="s">
        <v>59</v>
      </c>
      <c r="B9" s="6" t="s">
        <v>64</v>
      </c>
      <c r="C9" s="6">
        <v>0.37574437500000046</v>
      </c>
      <c r="D9" s="6" t="s">
        <v>59</v>
      </c>
      <c r="E9" s="6" t="s">
        <v>63</v>
      </c>
      <c r="F9" s="8">
        <v>-0.66714024999999999</v>
      </c>
      <c r="G9" s="6" t="s">
        <v>59</v>
      </c>
      <c r="H9" s="6" t="s">
        <v>64</v>
      </c>
      <c r="I9" s="6">
        <v>0.37574437500000046</v>
      </c>
      <c r="L9" t="s">
        <v>59</v>
      </c>
      <c r="M9" s="3" t="s">
        <v>16</v>
      </c>
      <c r="N9" s="3" t="s">
        <v>44</v>
      </c>
      <c r="O9" s="3" t="s">
        <v>14</v>
      </c>
    </row>
    <row r="10" spans="1:18">
      <c r="A10" s="6" t="s">
        <v>60</v>
      </c>
      <c r="B10" s="6" t="s">
        <v>39</v>
      </c>
      <c r="C10" s="6">
        <v>-0.20129381249999945</v>
      </c>
      <c r="D10" s="6" t="s">
        <v>60</v>
      </c>
      <c r="E10" s="6" t="s">
        <v>37</v>
      </c>
      <c r="F10" s="6">
        <v>-0.11704643749999954</v>
      </c>
      <c r="G10" s="6" t="s">
        <v>60</v>
      </c>
      <c r="H10" s="6" t="s">
        <v>41</v>
      </c>
      <c r="I10" s="7">
        <v>-0.43599475000000076</v>
      </c>
      <c r="M10">
        <v>-0.33088162499999996</v>
      </c>
      <c r="N10">
        <v>0.37574437500000046</v>
      </c>
      <c r="O10">
        <v>-0.66714025000000055</v>
      </c>
    </row>
    <row r="11" spans="1:18">
      <c r="A11" s="6" t="s">
        <v>61</v>
      </c>
      <c r="B11" s="6" t="s">
        <v>39</v>
      </c>
      <c r="C11" s="6">
        <v>2.870318750000056E-2</v>
      </c>
      <c r="D11" s="6" t="s">
        <v>61</v>
      </c>
      <c r="E11" s="6" t="s">
        <v>37</v>
      </c>
      <c r="F11" s="6">
        <v>-2.5840687500000126E-2</v>
      </c>
      <c r="G11" s="6" t="s">
        <v>61</v>
      </c>
      <c r="H11" s="6" t="s">
        <v>41</v>
      </c>
      <c r="I11" s="6">
        <v>-0.39517300000000066</v>
      </c>
    </row>
    <row r="12" spans="1:18">
      <c r="A12" s="6" t="s">
        <v>60</v>
      </c>
      <c r="B12" s="6" t="s">
        <v>40</v>
      </c>
      <c r="C12" s="6">
        <v>4.1254437500000796E-2</v>
      </c>
      <c r="D12" s="6" t="s">
        <v>60</v>
      </c>
      <c r="E12" s="6" t="s">
        <v>38</v>
      </c>
      <c r="F12" s="6">
        <v>-0.22688825000000024</v>
      </c>
      <c r="G12" s="6" t="s">
        <v>60</v>
      </c>
      <c r="H12" s="6" t="s">
        <v>42</v>
      </c>
      <c r="I12" s="6">
        <v>-1.1980449375000002</v>
      </c>
    </row>
    <row r="13" spans="1:18">
      <c r="A13" s="6" t="s">
        <v>61</v>
      </c>
      <c r="B13" s="6" t="s">
        <v>40</v>
      </c>
      <c r="C13" s="6">
        <v>2.6558937500000601E-2</v>
      </c>
      <c r="D13" s="6" t="s">
        <v>61</v>
      </c>
      <c r="E13" s="6" t="s">
        <v>38</v>
      </c>
      <c r="F13" s="6">
        <v>-9.2444500000000263E-2</v>
      </c>
      <c r="G13" s="6" t="s">
        <v>61</v>
      </c>
      <c r="H13" s="6" t="s">
        <v>42</v>
      </c>
      <c r="I13" s="6">
        <v>-1.1212739375000003</v>
      </c>
    </row>
    <row r="16" spans="1:18">
      <c r="D16" t="s">
        <v>66</v>
      </c>
      <c r="E16" t="s">
        <v>67</v>
      </c>
      <c r="H16" t="s">
        <v>71</v>
      </c>
      <c r="I16" t="s">
        <v>70</v>
      </c>
    </row>
    <row r="17" spans="4:10">
      <c r="D17" t="s">
        <v>60</v>
      </c>
      <c r="F17" t="s">
        <v>68</v>
      </c>
      <c r="H17" t="s">
        <v>60</v>
      </c>
      <c r="J17" t="s">
        <v>68</v>
      </c>
    </row>
    <row r="18" spans="4:10">
      <c r="D18" t="s">
        <v>40</v>
      </c>
      <c r="E18">
        <v>4.8000000000000001E-2</v>
      </c>
      <c r="F18">
        <v>4.1254437500000796E-2</v>
      </c>
      <c r="H18" t="s">
        <v>40</v>
      </c>
      <c r="I18">
        <v>4.8000000000000001E-2</v>
      </c>
      <c r="J18">
        <v>4.1254437500000796E-2</v>
      </c>
    </row>
    <row r="19" spans="4:10">
      <c r="D19" t="s">
        <v>42</v>
      </c>
      <c r="E19">
        <v>-8.8999999999999996E-2</v>
      </c>
      <c r="F19">
        <v>-1.1980449375000002</v>
      </c>
      <c r="H19" t="s">
        <v>42</v>
      </c>
      <c r="I19">
        <v>-8.8999999999999996E-2</v>
      </c>
      <c r="J19">
        <v>-1.1980449375000002</v>
      </c>
    </row>
    <row r="20" spans="4:10">
      <c r="H20" t="s">
        <v>61</v>
      </c>
    </row>
    <row r="21" spans="4:10">
      <c r="D21" t="s">
        <v>69</v>
      </c>
      <c r="E21" t="s">
        <v>70</v>
      </c>
      <c r="H21" t="s">
        <v>40</v>
      </c>
      <c r="I21">
        <v>3.4000000000000002E-2</v>
      </c>
      <c r="J21">
        <v>2.6558937500000601E-2</v>
      </c>
    </row>
    <row r="22" spans="4:10">
      <c r="D22" t="s">
        <v>60</v>
      </c>
      <c r="F22" t="s">
        <v>68</v>
      </c>
      <c r="H22" t="s">
        <v>42</v>
      </c>
      <c r="I22">
        <v>2.4E-2</v>
      </c>
      <c r="J22">
        <v>-1.1212739375000003</v>
      </c>
    </row>
    <row r="23" spans="4:10">
      <c r="D23" t="s">
        <v>37</v>
      </c>
      <c r="E23">
        <v>-0.111</v>
      </c>
      <c r="F23">
        <v>-0.11704643749999954</v>
      </c>
      <c r="H23" t="s">
        <v>72</v>
      </c>
    </row>
    <row r="24" spans="4:10">
      <c r="D24" t="s">
        <v>57</v>
      </c>
      <c r="H24" t="s">
        <v>73</v>
      </c>
      <c r="I24">
        <v>8.4000000000000005E-2</v>
      </c>
      <c r="J24">
        <v>0.37574437500000046</v>
      </c>
    </row>
    <row r="25" spans="4:10">
      <c r="D25" t="s">
        <v>37</v>
      </c>
      <c r="E25">
        <v>2E-3</v>
      </c>
      <c r="F25">
        <v>-2.5840687500000126E-2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9"/>
  <sheetViews>
    <sheetView workbookViewId="0">
      <selection activeCell="G26" sqref="G26:G29"/>
    </sheetView>
  </sheetViews>
  <sheetFormatPr baseColWidth="10" defaultColWidth="11" defaultRowHeight="15" x14ac:dyDescent="0"/>
  <sheetData>
    <row r="2" spans="1:17">
      <c r="A2" s="3" t="s">
        <v>1</v>
      </c>
      <c r="B2" s="3" t="s">
        <v>6</v>
      </c>
      <c r="C2" s="3" t="s">
        <v>8</v>
      </c>
      <c r="D2" t="s">
        <v>9</v>
      </c>
    </row>
    <row r="3" spans="1:17">
      <c r="A3" s="3">
        <v>2.83412</v>
      </c>
      <c r="B3" s="3">
        <v>4.0419200000000002</v>
      </c>
      <c r="C3" s="3">
        <v>3.5223200000000001</v>
      </c>
      <c r="D3">
        <v>8.6851199999999995</v>
      </c>
    </row>
    <row r="4" spans="1:17">
      <c r="A4" s="3">
        <f>A3/1</f>
        <v>2.83412</v>
      </c>
      <c r="B4" s="3">
        <f>B3/1</f>
        <v>4.0419200000000002</v>
      </c>
      <c r="C4" s="3">
        <f>C3/1</f>
        <v>3.5223200000000001</v>
      </c>
      <c r="D4">
        <v>2.8950399999999998</v>
      </c>
    </row>
    <row r="5" spans="1:17">
      <c r="A5" s="2">
        <v>-16.616845000000001</v>
      </c>
      <c r="B5" s="3">
        <v>-14.971221</v>
      </c>
      <c r="C5" s="3">
        <v>-22.273644999999998</v>
      </c>
      <c r="D5">
        <v>-287.53771</v>
      </c>
    </row>
    <row r="6" spans="1:17">
      <c r="A6" s="3">
        <f>A5/2</f>
        <v>-8.3084225000000007</v>
      </c>
      <c r="B6" s="3">
        <f>B5/4</f>
        <v>-3.74280525</v>
      </c>
      <c r="C6" s="3">
        <f>C5/4</f>
        <v>-5.5684112499999996</v>
      </c>
      <c r="D6">
        <v>-5.3247724074074076</v>
      </c>
    </row>
    <row r="7" spans="1:17">
      <c r="D7">
        <v>-36.13486450000002</v>
      </c>
    </row>
    <row r="8" spans="1:17">
      <c r="D8">
        <v>-0.66916415740740776</v>
      </c>
    </row>
    <row r="9" spans="1:17">
      <c r="A9" t="s">
        <v>74</v>
      </c>
    </row>
    <row r="11" spans="1:17">
      <c r="A11" t="s">
        <v>75</v>
      </c>
      <c r="E11" t="s">
        <v>96</v>
      </c>
      <c r="H11" t="s">
        <v>99</v>
      </c>
    </row>
    <row r="12" spans="1:17">
      <c r="A12" t="s">
        <v>76</v>
      </c>
      <c r="B12">
        <v>24</v>
      </c>
      <c r="E12">
        <v>54</v>
      </c>
      <c r="H12">
        <v>72</v>
      </c>
    </row>
    <row r="13" spans="1:17">
      <c r="A13" t="s">
        <v>59</v>
      </c>
      <c r="B13">
        <v>24</v>
      </c>
      <c r="E13">
        <v>54</v>
      </c>
      <c r="H13">
        <v>72</v>
      </c>
    </row>
    <row r="14" spans="1:17">
      <c r="B14" t="s">
        <v>51</v>
      </c>
      <c r="C14" t="s">
        <v>52</v>
      </c>
      <c r="E14" t="s">
        <v>97</v>
      </c>
      <c r="F14" t="s">
        <v>98</v>
      </c>
      <c r="H14" t="s">
        <v>97</v>
      </c>
      <c r="I14" t="s">
        <v>98</v>
      </c>
      <c r="J14" t="s">
        <v>100</v>
      </c>
    </row>
    <row r="15" spans="1:17">
      <c r="A15" t="s">
        <v>3</v>
      </c>
      <c r="B15" s="3">
        <v>-325.59305999999998</v>
      </c>
      <c r="C15" s="3">
        <v>-325.45066000000003</v>
      </c>
      <c r="D15" s="3"/>
      <c r="E15" s="3">
        <v>-732.49478999999997</v>
      </c>
      <c r="F15" s="3">
        <v>-732.49478999999997</v>
      </c>
      <c r="G15" s="3"/>
      <c r="H15" s="3"/>
      <c r="I15" s="3">
        <v>-977.79093</v>
      </c>
      <c r="J15" s="3">
        <v>-977.78907000000004</v>
      </c>
      <c r="K15" s="3"/>
      <c r="L15" s="3"/>
      <c r="M15" s="3"/>
      <c r="N15" s="3"/>
      <c r="O15" s="3"/>
      <c r="P15" s="3"/>
      <c r="Q15" s="3"/>
    </row>
    <row r="16" spans="1:17">
      <c r="A16" t="s">
        <v>34</v>
      </c>
      <c r="B16" s="3">
        <v>55.0608</v>
      </c>
      <c r="C16" s="3">
        <v>53.848399999999998</v>
      </c>
      <c r="D16" s="3"/>
      <c r="E16" s="3">
        <v>123.3841</v>
      </c>
      <c r="F16" s="3">
        <v>123.3843</v>
      </c>
      <c r="G16" s="3"/>
      <c r="H16" s="3"/>
      <c r="I16" s="3">
        <v>163.22389999999999</v>
      </c>
      <c r="J16" s="3">
        <v>163.2242</v>
      </c>
      <c r="K16" s="3"/>
      <c r="L16" s="3"/>
      <c r="M16" s="3"/>
      <c r="N16" s="3"/>
      <c r="O16" s="3"/>
      <c r="P16" s="3"/>
      <c r="Q16" s="3"/>
    </row>
    <row r="17" spans="1:17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>
      <c r="A18">
        <v>2.0128318671790701</v>
      </c>
      <c r="B18" s="3">
        <f>A18*2.85</f>
        <v>5.7365708214603499</v>
      </c>
      <c r="C18" s="3">
        <f>2.85*2</f>
        <v>5.7</v>
      </c>
      <c r="D18" s="3"/>
      <c r="E18" s="3">
        <f>2.85*3</f>
        <v>8.5500000000000007</v>
      </c>
      <c r="F18" s="3">
        <f>2.85*3</f>
        <v>8.5500000000000007</v>
      </c>
      <c r="G18" s="3"/>
      <c r="H18" s="3">
        <f>2.85*3</f>
        <v>8.5500000000000007</v>
      </c>
      <c r="I18" s="3">
        <f t="shared" ref="I18:J19" si="0">2.85*3</f>
        <v>8.5500000000000007</v>
      </c>
      <c r="J18" s="3">
        <f t="shared" si="0"/>
        <v>8.5500000000000007</v>
      </c>
      <c r="K18" s="3"/>
      <c r="L18" s="3"/>
      <c r="M18" s="3"/>
      <c r="N18" s="3"/>
      <c r="O18" s="3"/>
      <c r="P18" s="3"/>
      <c r="Q18" s="3"/>
    </row>
    <row r="19" spans="1:17">
      <c r="A19">
        <v>2.0128324100070398</v>
      </c>
      <c r="B19" s="3">
        <f t="shared" ref="B19:B20" si="1">A19*2.85</f>
        <v>5.736572368520064</v>
      </c>
      <c r="C19" s="3">
        <f>2.85*2</f>
        <v>5.7</v>
      </c>
      <c r="D19" s="3"/>
      <c r="E19" s="3">
        <f>2.85*3</f>
        <v>8.5500000000000007</v>
      </c>
      <c r="F19" s="3">
        <f>2.85*3</f>
        <v>8.5500000000000007</v>
      </c>
      <c r="G19" s="3"/>
      <c r="H19" s="3">
        <f>2.85*3</f>
        <v>8.5500000000000007</v>
      </c>
      <c r="I19" s="3">
        <f t="shared" si="0"/>
        <v>8.5500000000000007</v>
      </c>
      <c r="J19" s="3">
        <f t="shared" si="0"/>
        <v>8.5500000000000007</v>
      </c>
      <c r="K19" s="3"/>
      <c r="L19" s="3"/>
      <c r="M19" s="3"/>
      <c r="N19" s="3"/>
      <c r="O19" s="3"/>
      <c r="P19" s="3"/>
      <c r="Q19" s="3"/>
    </row>
    <row r="20" spans="1:17">
      <c r="A20">
        <v>6.0547336331372996</v>
      </c>
      <c r="B20" s="3">
        <f t="shared" si="1"/>
        <v>17.255990854441304</v>
      </c>
      <c r="C20" s="3">
        <f>2.85*6</f>
        <v>17.100000000000001</v>
      </c>
      <c r="D20" s="3"/>
      <c r="E20" s="3">
        <f>2.85*6</f>
        <v>17.100000000000001</v>
      </c>
      <c r="F20" s="3">
        <f>2.85*6</f>
        <v>17.100000000000001</v>
      </c>
      <c r="G20" s="3"/>
      <c r="H20" s="3">
        <f>2.85*8</f>
        <v>22.8</v>
      </c>
      <c r="I20" s="3">
        <f t="shared" ref="I20:J20" si="2">2.85*8</f>
        <v>22.8</v>
      </c>
      <c r="J20" s="3">
        <f t="shared" si="2"/>
        <v>22.8</v>
      </c>
      <c r="K20" s="3"/>
      <c r="L20" s="3"/>
      <c r="M20" s="3"/>
      <c r="N20" s="3"/>
      <c r="O20" s="3"/>
      <c r="P20" s="3"/>
      <c r="Q20" s="3"/>
    </row>
    <row r="21" spans="1:17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>
      <c r="A22" t="s">
        <v>101</v>
      </c>
      <c r="B22" s="3">
        <f>(B15-24*$A6-24*$D6)</f>
        <v>1.6036177777778278</v>
      </c>
      <c r="C22" s="3">
        <f>(C15-24*$A6-24*$D6)</f>
        <v>1.7460177777777801</v>
      </c>
      <c r="D22" s="3"/>
      <c r="E22" s="3">
        <f>(E15-54*$A6-54*$D6)</f>
        <v>3.6977350000000797</v>
      </c>
      <c r="F22" s="3">
        <f>(F15-54*$A6-54*$D6)</f>
        <v>3.6977350000000797</v>
      </c>
      <c r="G22" s="3"/>
      <c r="H22" s="3">
        <f>(H15-72*$A6-72*$D6)</f>
        <v>981.59003333333339</v>
      </c>
      <c r="I22" s="3">
        <f t="shared" ref="I22:J22" si="3">(I15-72*$A6-72*$D6)</f>
        <v>3.7991033333334485</v>
      </c>
      <c r="J22" s="3">
        <f t="shared" si="3"/>
        <v>3.8009633333334136</v>
      </c>
      <c r="K22" s="3"/>
      <c r="L22" s="3"/>
      <c r="M22" s="3"/>
      <c r="N22" s="3"/>
      <c r="O22" s="3"/>
      <c r="P22" s="3"/>
      <c r="Q22" s="3"/>
    </row>
    <row r="23" spans="1:17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>
      <c r="A24" t="s">
        <v>77</v>
      </c>
      <c r="B24" s="3">
        <f>(B15-24*A6-12*B6-12*C6-24*D8)</f>
        <v>1.6036177777778278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6" spans="1:17">
      <c r="A26" t="s">
        <v>102</v>
      </c>
      <c r="B26">
        <f>B22/(B18*B19*2)</f>
        <v>2.4364978374867102E-2</v>
      </c>
      <c r="C26">
        <f>C22/(C18*C19*2)</f>
        <v>2.6870079682637427E-2</v>
      </c>
      <c r="E26">
        <f>E22/(E18*E19*2)</f>
        <v>2.5291440101228271E-2</v>
      </c>
      <c r="F26">
        <f t="shared" ref="F26:J26" si="4">F22/(F18*F19*2)</f>
        <v>2.5291440101228271E-2</v>
      </c>
      <c r="H26">
        <f t="shared" si="4"/>
        <v>6.7137925059562482</v>
      </c>
      <c r="I26">
        <f t="shared" si="4"/>
        <v>2.5984770242696544E-2</v>
      </c>
      <c r="J26">
        <f t="shared" si="4"/>
        <v>2.5997492105833679E-2</v>
      </c>
    </row>
    <row r="27" spans="1:17">
      <c r="A27" t="s">
        <v>103</v>
      </c>
    </row>
    <row r="29" spans="1:17">
      <c r="A29" t="s">
        <v>104</v>
      </c>
      <c r="B29">
        <f>B26*(1.6*10^-19)/(10^-10)/(10^-10)</f>
        <v>0.38983965399787368</v>
      </c>
      <c r="C29">
        <f>C26*(1.6*10^-19)/(10^-10)/(10^-10)</f>
        <v>0.42992127492219884</v>
      </c>
      <c r="E29">
        <f>E26*(1.6*10^-19)/(10^-10)/(10^-10)</f>
        <v>0.40466304161965233</v>
      </c>
      <c r="F29">
        <f t="shared" ref="F29:J29" si="5">F26*(1.6*10^-19)/(10^-10)/(10^-10)</f>
        <v>0.40466304161965233</v>
      </c>
      <c r="H29">
        <f t="shared" si="5"/>
        <v>107.42068009529999</v>
      </c>
      <c r="I29">
        <f t="shared" si="5"/>
        <v>0.41575632388314471</v>
      </c>
      <c r="J29">
        <f t="shared" si="5"/>
        <v>0.41595987369333887</v>
      </c>
    </row>
  </sheetData>
  <pageMargins left="0.7" right="0.7" top="0.75" bottom="0.75" header="0.3" footer="0.3"/>
  <pageSetup orientation="portrait" horizontalDpi="4294967294" verticalDpi="4294967294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E12"/>
    </sheetView>
  </sheetViews>
  <sheetFormatPr baseColWidth="10" defaultColWidth="10.6640625" defaultRowHeight="15" x14ac:dyDescent="0"/>
  <sheetData>
    <row r="1" spans="1:5">
      <c r="D1" t="s">
        <v>52</v>
      </c>
      <c r="E1" t="s">
        <v>51</v>
      </c>
    </row>
    <row r="2" spans="1:5">
      <c r="C2" t="s">
        <v>105</v>
      </c>
      <c r="D2" t="s">
        <v>106</v>
      </c>
      <c r="E2" t="s">
        <v>106</v>
      </c>
    </row>
    <row r="3" spans="1:5">
      <c r="A3" s="3" t="s">
        <v>4</v>
      </c>
      <c r="C3">
        <f>2.85*3.97748165631002</f>
        <v>11.335822720483558</v>
      </c>
      <c r="E3">
        <f>2.85*3.97479840431184</f>
        <v>11.328175452288743</v>
      </c>
    </row>
    <row r="4" spans="1:5">
      <c r="A4" s="3" t="s">
        <v>5</v>
      </c>
      <c r="C4">
        <f>C3/4</f>
        <v>2.8339556801208894</v>
      </c>
      <c r="E4">
        <f>E3/4</f>
        <v>2.8320438630721858</v>
      </c>
    </row>
    <row r="5" spans="1:5">
      <c r="A5" s="3" t="s">
        <v>3</v>
      </c>
      <c r="C5" s="1">
        <v>-1063.8142</v>
      </c>
      <c r="E5" s="1">
        <v>-1053.3366000000001</v>
      </c>
    </row>
    <row r="6" spans="1:5">
      <c r="A6" s="3" t="s">
        <v>10</v>
      </c>
      <c r="C6" s="1">
        <f>C5/128</f>
        <v>-8.3110484375000002</v>
      </c>
      <c r="E6" s="1">
        <f>E5/127</f>
        <v>-8.2939889763779533</v>
      </c>
    </row>
    <row r="7" spans="1:5">
      <c r="A7" s="3" t="s">
        <v>11</v>
      </c>
      <c r="E7" s="1">
        <f>E5-(127/128)*C5</f>
        <v>2.1665515624999898</v>
      </c>
    </row>
    <row r="8" spans="1:5">
      <c r="A8" s="3" t="s">
        <v>15</v>
      </c>
    </row>
    <row r="9" spans="1:5">
      <c r="A9" s="3" t="s">
        <v>19</v>
      </c>
      <c r="C9">
        <v>282.8897</v>
      </c>
      <c r="E9">
        <v>281.94319999999999</v>
      </c>
    </row>
    <row r="10" spans="1:5">
      <c r="A10" s="3" t="s">
        <v>20</v>
      </c>
      <c r="C10">
        <f>C9/128</f>
        <v>2.21007578125</v>
      </c>
      <c r="E10">
        <f>E9/127</f>
        <v>2.2200251968503935</v>
      </c>
    </row>
    <row r="11" spans="1:5">
      <c r="A11" s="3" t="s">
        <v>31</v>
      </c>
    </row>
    <row r="12" spans="1:5">
      <c r="A12" s="3" t="s">
        <v>32</v>
      </c>
    </row>
    <row r="16" spans="1:5">
      <c r="E16" s="1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8"/>
  <sheetViews>
    <sheetView zoomScale="80" zoomScaleNormal="80" zoomScalePageLayoutView="80" workbookViewId="0">
      <selection activeCell="F8" sqref="F8"/>
    </sheetView>
  </sheetViews>
  <sheetFormatPr baseColWidth="10" defaultColWidth="10.83203125" defaultRowHeight="15" x14ac:dyDescent="0"/>
  <cols>
    <col min="1" max="8" width="10.83203125" style="3"/>
    <col min="9" max="9" width="12.83203125" style="3" customWidth="1"/>
    <col min="10" max="16384" width="10.83203125" style="3"/>
  </cols>
  <sheetData>
    <row r="2" spans="1:10">
      <c r="A2" s="3" t="s">
        <v>107</v>
      </c>
      <c r="D2" s="3" t="s">
        <v>52</v>
      </c>
      <c r="E2" s="3" t="s">
        <v>51</v>
      </c>
    </row>
    <row r="3" spans="1:10">
      <c r="C3" s="3" t="s">
        <v>105</v>
      </c>
      <c r="D3" s="3" t="s">
        <v>106</v>
      </c>
      <c r="E3" s="3" t="s">
        <v>106</v>
      </c>
      <c r="F3" s="3" t="s">
        <v>109</v>
      </c>
      <c r="G3" s="3" t="s">
        <v>110</v>
      </c>
    </row>
    <row r="4" spans="1:10">
      <c r="A4" s="3" t="s">
        <v>4</v>
      </c>
      <c r="C4" s="3">
        <f>4*2.021082</f>
        <v>8.0843279999999993</v>
      </c>
    </row>
    <row r="5" spans="1:10">
      <c r="A5" s="3" t="s">
        <v>5</v>
      </c>
      <c r="C5" s="3">
        <f>C4/2</f>
        <v>4.0421639999999996</v>
      </c>
    </row>
    <row r="6" spans="1:10">
      <c r="A6" s="3" t="s">
        <v>3</v>
      </c>
      <c r="C6" s="3">
        <v>-119.72074000000001</v>
      </c>
      <c r="D6" s="3">
        <v>-115.34016</v>
      </c>
      <c r="E6" s="3">
        <v>-115.34896999999999</v>
      </c>
      <c r="F6" s="3">
        <v>-124.72243</v>
      </c>
      <c r="G6" s="3">
        <v>-120.20408</v>
      </c>
    </row>
    <row r="7" spans="1:10">
      <c r="A7" s="3" t="s">
        <v>10</v>
      </c>
      <c r="C7" s="3">
        <f>C6/32</f>
        <v>-3.7412731250000002</v>
      </c>
      <c r="D7" s="3">
        <f>D6/31</f>
        <v>-3.7206503225806449</v>
      </c>
      <c r="E7" s="3">
        <f>E6/31</f>
        <v>-3.7209345161290321</v>
      </c>
      <c r="F7" s="3">
        <f>F6/32</f>
        <v>-3.8975759375000001</v>
      </c>
      <c r="G7" s="3">
        <f>G6/31</f>
        <v>-3.8775509677419358</v>
      </c>
    </row>
    <row r="8" spans="1:10">
      <c r="A8" s="3" t="s">
        <v>11</v>
      </c>
      <c r="D8" s="3">
        <f>D6-31*C7</f>
        <v>0.63930687500000261</v>
      </c>
      <c r="E8" s="3">
        <f>E6-31*C7</f>
        <v>0.63049687500000573</v>
      </c>
      <c r="F8" s="3">
        <f>F6-31*C7-B34</f>
        <v>-0.43201590277777946</v>
      </c>
      <c r="G8" s="3">
        <f>G6-30*C7-B34</f>
        <v>0.34506097222222643</v>
      </c>
    </row>
    <row r="9" spans="1:10">
      <c r="A9" s="3" t="s">
        <v>111</v>
      </c>
      <c r="G9" s="3">
        <f>G8-E8-F8</f>
        <v>0.14658000000000015</v>
      </c>
    </row>
    <row r="10" spans="1:10">
      <c r="A10" s="3" t="s">
        <v>19</v>
      </c>
      <c r="F10" s="3">
        <v>1.1999999999999999E-3</v>
      </c>
    </row>
    <row r="11" spans="1:10">
      <c r="A11" s="3" t="s">
        <v>20</v>
      </c>
    </row>
    <row r="12" spans="1:10">
      <c r="A12" s="3" t="s">
        <v>31</v>
      </c>
    </row>
    <row r="13" spans="1:10">
      <c r="A13" s="3" t="s">
        <v>32</v>
      </c>
    </row>
    <row r="16" spans="1:10">
      <c r="A16" s="3" t="s">
        <v>108</v>
      </c>
      <c r="D16" s="3" t="s">
        <v>52</v>
      </c>
      <c r="E16" s="3" t="s">
        <v>51</v>
      </c>
      <c r="I16" s="3" t="s">
        <v>116</v>
      </c>
      <c r="J16" s="3" t="s">
        <v>117</v>
      </c>
    </row>
    <row r="17" spans="1:12">
      <c r="C17" s="3" t="s">
        <v>105</v>
      </c>
      <c r="D17" s="3" t="s">
        <v>106</v>
      </c>
      <c r="E17" s="3" t="s">
        <v>106</v>
      </c>
      <c r="G17" s="3" t="s">
        <v>105</v>
      </c>
      <c r="H17" s="3" t="s">
        <v>118</v>
      </c>
      <c r="I17" s="3" t="s">
        <v>109</v>
      </c>
      <c r="J17" s="3" t="s">
        <v>109</v>
      </c>
      <c r="L17" s="3" t="s">
        <v>119</v>
      </c>
    </row>
    <row r="18" spans="1:12">
      <c r="A18" s="3" t="s">
        <v>4</v>
      </c>
      <c r="C18" s="3">
        <f>4*1.76235</f>
        <v>7.0494000000000003</v>
      </c>
      <c r="G18" s="3">
        <f>2.01366847589794*3.5</f>
        <v>7.0478396656427904</v>
      </c>
      <c r="H18" s="3">
        <f>3.5*2.01373458750264</f>
        <v>7.0480710562592392</v>
      </c>
    </row>
    <row r="19" spans="1:12">
      <c r="A19" s="3" t="s">
        <v>5</v>
      </c>
      <c r="C19" s="3">
        <f>C18/2</f>
        <v>3.5247000000000002</v>
      </c>
      <c r="G19" s="3">
        <f>G18/2</f>
        <v>3.5239198328213952</v>
      </c>
      <c r="H19" s="3">
        <f>H18/2</f>
        <v>3.5240355281296196</v>
      </c>
    </row>
    <row r="20" spans="1:12">
      <c r="A20" s="3" t="s">
        <v>3</v>
      </c>
      <c r="C20" s="3">
        <v>-178.25134</v>
      </c>
      <c r="G20" s="3">
        <v>-178.08825999999999</v>
      </c>
      <c r="H20" s="3">
        <v>-178.08833000000001</v>
      </c>
      <c r="I20" s="3">
        <v>-180.00085999999999</v>
      </c>
      <c r="J20" s="3">
        <v>-180.09237999999999</v>
      </c>
      <c r="L20" s="3">
        <v>-180.09155999999999</v>
      </c>
    </row>
    <row r="21" spans="1:12">
      <c r="A21" s="3" t="s">
        <v>10</v>
      </c>
      <c r="C21" s="3">
        <f>C20/32</f>
        <v>-5.570354375</v>
      </c>
      <c r="G21" s="3">
        <f>G20/32</f>
        <v>-5.5652581249999997</v>
      </c>
      <c r="H21" s="3">
        <f>H20/32</f>
        <v>-5.5652603125000004</v>
      </c>
      <c r="I21" s="3">
        <f>I20/32</f>
        <v>-5.6250268749999996</v>
      </c>
      <c r="J21" s="3">
        <f>J20/32</f>
        <v>-5.6278868749999997</v>
      </c>
      <c r="L21" s="3">
        <f>L20/32</f>
        <v>-5.6278612499999996</v>
      </c>
    </row>
    <row r="22" spans="1:12">
      <c r="A22" s="3" t="s">
        <v>11</v>
      </c>
      <c r="E22" s="3">
        <f>E20-(127/128)*C20</f>
        <v>176.85875140625001</v>
      </c>
      <c r="I22" s="3">
        <f>I20-31*G21-B34</f>
        <v>0.83308909722221181</v>
      </c>
      <c r="J22" s="10">
        <f>J20-31*H21-B34</f>
        <v>0.74163690972225815</v>
      </c>
      <c r="L22" s="10">
        <f>L20-31*H21-B34</f>
        <v>0.74245690972226264</v>
      </c>
    </row>
    <row r="23" spans="1:12">
      <c r="A23" s="3" t="s">
        <v>15</v>
      </c>
    </row>
    <row r="24" spans="1:12">
      <c r="A24" s="3" t="s">
        <v>19</v>
      </c>
    </row>
    <row r="25" spans="1:12">
      <c r="A25" s="3" t="s">
        <v>20</v>
      </c>
    </row>
    <row r="26" spans="1:12">
      <c r="A26" s="3" t="s">
        <v>31</v>
      </c>
    </row>
    <row r="27" spans="1:12">
      <c r="A27" s="3" t="s">
        <v>32</v>
      </c>
    </row>
    <row r="30" spans="1:12">
      <c r="B30" s="3" t="s">
        <v>7</v>
      </c>
    </row>
    <row r="31" spans="1:12">
      <c r="B31" s="3">
        <v>8.5022300000000008</v>
      </c>
    </row>
    <row r="32" spans="1:12">
      <c r="B32" s="3">
        <f>B31/3</f>
        <v>2.8340766666666668</v>
      </c>
    </row>
    <row r="33" spans="2:2">
      <c r="B33" s="3">
        <v>-448.79115000000002</v>
      </c>
    </row>
    <row r="34" spans="2:2">
      <c r="B34" s="3">
        <f>B33/54</f>
        <v>-8.3109472222222234</v>
      </c>
    </row>
    <row r="37" spans="2:2">
      <c r="B37" s="3">
        <v>119.35899999999999</v>
      </c>
    </row>
    <row r="38" spans="2:2">
      <c r="B38" s="3">
        <f>B37/54</f>
        <v>2.2103518518518519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bcc Fe</vt:lpstr>
      <vt:lpstr>B2</vt:lpstr>
      <vt:lpstr>B2NiAl mag</vt:lpstr>
      <vt:lpstr>D03</vt:lpstr>
      <vt:lpstr>L12</vt:lpstr>
      <vt:lpstr>summary</vt:lpstr>
      <vt:lpstr>interface</vt:lpstr>
      <vt:lpstr>Fe 128</vt:lpstr>
      <vt:lpstr>fcc Al Ni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2013-07-30T16:56:45Z</dcterms:created>
  <dcterms:modified xsi:type="dcterms:W3CDTF">2015-07-07T17:08:37Z</dcterms:modified>
</cp:coreProperties>
</file>