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8_{9569AB36-D483-CD44-B4FF-2BE232A961DB}" xr6:coauthVersionLast="47" xr6:coauthVersionMax="47" xr10:uidLastSave="{00000000-0000-0000-0000-000000000000}"/>
  <bookViews>
    <workbookView xWindow="4120" yWindow="5260" windowWidth="28040" windowHeight="17440" xr2:uid="{90BAD8C2-804A-BC4C-A1BA-52650D48061B}"/>
  </bookViews>
  <sheets>
    <sheet name="Sheet1" sheetId="1" r:id="rId1"/>
  </sheets>
  <definedNames>
    <definedName name="_xlchart.v1.0" hidden="1">Sheet1!$C$4:$C$10</definedName>
    <definedName name="_xlchart.v1.1" hidden="1">Sheet1!$D$4:$D$10</definedName>
    <definedName name="_xlchart.v1.2" hidden="1">Sheet1!$E$4:$E$10</definedName>
    <definedName name="_xlchart.v1.3" hidden="1">Sheet1!$C$4:$C$10</definedName>
    <definedName name="_xlchart.v1.4" hidden="1">Sheet1!$D$4:$D$10</definedName>
    <definedName name="_xlchart.v1.5" hidden="1">Sheet1!$E$4:$E$10</definedName>
    <definedName name="solver_adj" localSheetId="0" hidden="1">Sheet1!$O$2,Sheet1!$O$3</definedName>
    <definedName name="solver_cvg" localSheetId="0" hidden="1">0.0001</definedName>
    <definedName name="solver_drv" localSheetId="0" hidden="1">2</definedName>
    <definedName name="solver_eng" localSheetId="0" hidden="1">3</definedName>
    <definedName name="solver_itr" localSheetId="0" hidden="1">2147483647</definedName>
    <definedName name="solver_lhs1" localSheetId="0" hidden="1">Sheet1!$O$2</definedName>
    <definedName name="solver_lhs2" localSheetId="0" hidden="1">Sheet1!$O$2</definedName>
    <definedName name="solver_lhs3" localSheetId="0" hidden="1">Sheet1!$O$3</definedName>
    <definedName name="solver_lhs4" localSheetId="0" hidden="1">Sheet1!$O$3</definedName>
    <definedName name="solver_lhs5" localSheetId="0" hidden="1">Sheet1!$U$20</definedName>
    <definedName name="solver_lhs6" localSheetId="0" hidden="1">Sheet1!$U$20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4</definedName>
    <definedName name="solver_opt" localSheetId="0" hidden="1">Sheet1!$M$11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hs1" localSheetId="0" hidden="1">1000000000</definedName>
    <definedName name="solver_rhs2" localSheetId="0" hidden="1">1000000</definedName>
    <definedName name="solver_rhs3" localSheetId="0" hidden="1">0</definedName>
    <definedName name="solver_rhs4" localSheetId="0" hidden="1">-0.05</definedName>
    <definedName name="solver_rhs5" localSheetId="0" hidden="1">1.5</definedName>
    <definedName name="solver_rhs6" localSheetId="0" hidden="1">0.5</definedName>
    <definedName name="solver_rlx" localSheetId="0" hidden="1">1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K5" i="1" s="1"/>
  <c r="J6" i="1"/>
  <c r="K6" i="1" s="1"/>
  <c r="J7" i="1"/>
  <c r="K7" i="1" s="1"/>
  <c r="J8" i="1"/>
  <c r="K8" i="1" s="1"/>
  <c r="J9" i="1"/>
  <c r="E9" i="1" s="1"/>
  <c r="J10" i="1"/>
  <c r="K10" i="1" s="1"/>
  <c r="J4" i="1"/>
  <c r="E4" i="1" s="1"/>
  <c r="O20" i="1"/>
  <c r="P20" i="1" s="1"/>
  <c r="R20" i="1" s="1"/>
  <c r="O21" i="1"/>
  <c r="P21" i="1" s="1"/>
  <c r="O22" i="1"/>
  <c r="P22" i="1" s="1"/>
  <c r="R22" i="1" s="1"/>
  <c r="O23" i="1"/>
  <c r="P23" i="1" s="1"/>
  <c r="O24" i="1"/>
  <c r="P24" i="1" s="1"/>
  <c r="O25" i="1"/>
  <c r="P25" i="1" s="1"/>
  <c r="R25" i="1" s="1"/>
  <c r="O19" i="1"/>
  <c r="R6" i="1"/>
  <c r="I5" i="1"/>
  <c r="I6" i="1"/>
  <c r="I7" i="1"/>
  <c r="I8" i="1"/>
  <c r="I9" i="1"/>
  <c r="I10" i="1"/>
  <c r="I4" i="1"/>
  <c r="O6" i="1"/>
  <c r="A4" i="1"/>
  <c r="A3" i="1"/>
  <c r="A2" i="1"/>
  <c r="D5" i="1"/>
  <c r="D6" i="1"/>
  <c r="D7" i="1"/>
  <c r="D8" i="1"/>
  <c r="D9" i="1"/>
  <c r="D10" i="1"/>
  <c r="D4" i="1"/>
  <c r="Q24" i="1" l="1"/>
  <c r="R24" i="1"/>
  <c r="R21" i="1"/>
  <c r="Q21" i="1"/>
  <c r="P19" i="1"/>
  <c r="Q19" i="1" s="1"/>
  <c r="Q22" i="1"/>
  <c r="Q20" i="1"/>
  <c r="Q25" i="1"/>
  <c r="Q23" i="1"/>
  <c r="R23" i="1"/>
  <c r="E7" i="1"/>
  <c r="K4" i="1"/>
  <c r="M4" i="1" s="1"/>
  <c r="K9" i="1"/>
  <c r="L9" i="1" s="1"/>
  <c r="L7" i="1"/>
  <c r="M10" i="1"/>
  <c r="L6" i="1"/>
  <c r="E6" i="1"/>
  <c r="L8" i="1"/>
  <c r="L5" i="1"/>
  <c r="E10" i="1"/>
  <c r="E8" i="1"/>
  <c r="E5" i="1"/>
  <c r="M8" i="1"/>
  <c r="M6" i="1"/>
  <c r="M5" i="1"/>
  <c r="R19" i="1" l="1"/>
  <c r="R26" i="1" s="1"/>
  <c r="Q26" i="1"/>
  <c r="L4" i="1"/>
  <c r="M9" i="1"/>
  <c r="M7" i="1"/>
  <c r="L10" i="1"/>
  <c r="L11" i="1" l="1"/>
  <c r="M11" i="1"/>
  <c r="A1" i="1" s="1"/>
</calcChain>
</file>

<file path=xl/sharedStrings.xml><?xml version="1.0" encoding="utf-8"?>
<sst xmlns="http://schemas.openxmlformats.org/spreadsheetml/2006/main" count="33" uniqueCount="16">
  <si>
    <t>T</t>
  </si>
  <si>
    <t>D</t>
  </si>
  <si>
    <t>1/kT</t>
  </si>
  <si>
    <t>Ea=E0/(1-d*E0/kT)</t>
  </si>
  <si>
    <t>E0</t>
  </si>
  <si>
    <t>Ea</t>
  </si>
  <si>
    <t>D*</t>
  </si>
  <si>
    <t>d</t>
  </si>
  <si>
    <t>Dnew</t>
  </si>
  <si>
    <t>A</t>
  </si>
  <si>
    <t>error</t>
  </si>
  <si>
    <t>sq error</t>
  </si>
  <si>
    <t>rel error</t>
  </si>
  <si>
    <t>D fit</t>
  </si>
  <si>
    <t>c</t>
  </si>
  <si>
    <t>cubed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</si>
</sst>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5"/>
      <color rgb="FF1D1C1D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Sheet1!$D$4:$D$10</c:f>
              <c:numCache>
                <c:formatCode>General</c:formatCode>
                <c:ptCount val="7"/>
                <c:pt idx="0">
                  <c:v>19.340938190229732</c:v>
                </c:pt>
                <c:pt idx="1">
                  <c:v>16.577947020196913</c:v>
                </c:pt>
                <c:pt idx="2">
                  <c:v>14.5057036426723</c:v>
                </c:pt>
                <c:pt idx="3">
                  <c:v>12.893958793486487</c:v>
                </c:pt>
                <c:pt idx="4">
                  <c:v>11.604562914137839</c:v>
                </c:pt>
                <c:pt idx="5">
                  <c:v>10.549602649216217</c:v>
                </c:pt>
                <c:pt idx="6">
                  <c:v>9.670469095114866</c:v>
                </c:pt>
              </c:numCache>
            </c:numRef>
          </c:xVal>
          <c:yVal>
            <c:numRef>
              <c:f>Sheet1!$I$4:$I$10</c:f>
              <c:numCache>
                <c:formatCode>0.00</c:formatCode>
                <c:ptCount val="7"/>
                <c:pt idx="0">
                  <c:v>225.059092346385</c:v>
                </c:pt>
                <c:pt idx="1">
                  <c:v>497.84702547561</c:v>
                </c:pt>
                <c:pt idx="2">
                  <c:v>1528.20929634151</c:v>
                </c:pt>
                <c:pt idx="3">
                  <c:v>4169.91326286814</c:v>
                </c:pt>
                <c:pt idx="4">
                  <c:v>10210.1943462122</c:v>
                </c:pt>
                <c:pt idx="5">
                  <c:v>22980.765371200298</c:v>
                </c:pt>
                <c:pt idx="6">
                  <c:v>49949.278390068495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9-EA4A-9295-32AEAAD1A6E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Sheet1!$D$4:$D$10</c:f>
              <c:numCache>
                <c:formatCode>General</c:formatCode>
                <c:ptCount val="7"/>
                <c:pt idx="0">
                  <c:v>19.340938190229732</c:v>
                </c:pt>
                <c:pt idx="1">
                  <c:v>16.577947020196913</c:v>
                </c:pt>
                <c:pt idx="2">
                  <c:v>14.5057036426723</c:v>
                </c:pt>
                <c:pt idx="3">
                  <c:v>12.893958793486487</c:v>
                </c:pt>
                <c:pt idx="4">
                  <c:v>11.604562914137839</c:v>
                </c:pt>
                <c:pt idx="5">
                  <c:v>10.549602649216217</c:v>
                </c:pt>
                <c:pt idx="6">
                  <c:v>9.670469095114866</c:v>
                </c:pt>
              </c:numCache>
            </c:numRef>
          </c:xVal>
          <c:yVal>
            <c:numRef>
              <c:f>Sheet1!$K$4:$K$10</c:f>
              <c:numCache>
                <c:formatCode>General</c:formatCode>
                <c:ptCount val="7"/>
                <c:pt idx="0">
                  <c:v>189.12406515088225</c:v>
                </c:pt>
                <c:pt idx="1">
                  <c:v>567.19463398166715</c:v>
                </c:pt>
                <c:pt idx="2">
                  <c:v>1665.9535896898756</c:v>
                </c:pt>
                <c:pt idx="3">
                  <c:v>4400.4321792104647</c:v>
                </c:pt>
                <c:pt idx="4">
                  <c:v>10290.872761271228</c:v>
                </c:pt>
                <c:pt idx="5">
                  <c:v>21486.872958960856</c:v>
                </c:pt>
                <c:pt idx="6">
                  <c:v>40657.16877005827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69-EA4A-9295-32AEAAD1A6E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Sheet1!$M$19:$M$25</c:f>
              <c:numCache>
                <c:formatCode>General</c:formatCode>
                <c:ptCount val="7"/>
                <c:pt idx="0">
                  <c:v>19.340938190229732</c:v>
                </c:pt>
                <c:pt idx="1">
                  <c:v>16.577947020196913</c:v>
                </c:pt>
                <c:pt idx="2">
                  <c:v>14.5057036426723</c:v>
                </c:pt>
                <c:pt idx="3">
                  <c:v>12.893958793486487</c:v>
                </c:pt>
                <c:pt idx="4">
                  <c:v>11.604562914137839</c:v>
                </c:pt>
                <c:pt idx="5">
                  <c:v>10.549602649216217</c:v>
                </c:pt>
                <c:pt idx="6">
                  <c:v>9.670469095114866</c:v>
                </c:pt>
              </c:numCache>
            </c:numRef>
          </c:xVal>
          <c:yVal>
            <c:numRef>
              <c:f>Sheet1!$P$19:$P$25</c:f>
              <c:numCache>
                <c:formatCode>General</c:formatCode>
                <c:ptCount val="7"/>
                <c:pt idx="0">
                  <c:v>203.50268366383844</c:v>
                </c:pt>
                <c:pt idx="1">
                  <c:v>987.13723382121555</c:v>
                </c:pt>
                <c:pt idx="2">
                  <c:v>3487.1781836530813</c:v>
                </c:pt>
                <c:pt idx="3">
                  <c:v>9784.8491098851609</c:v>
                </c:pt>
                <c:pt idx="4">
                  <c:v>23104.951440476121</c:v>
                </c:pt>
                <c:pt idx="5">
                  <c:v>47782.785444924149</c:v>
                </c:pt>
                <c:pt idx="6">
                  <c:v>89048.814109142084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69-EA4A-9295-32AEAAD1A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975455"/>
        <c:axId val="876977103"/>
      </c:scatterChart>
      <c:valAx>
        <c:axId val="876975455"/>
        <c:scaling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977103"/>
        <c:crosses val="autoZero"/>
        <c:crossBetween val="midCat"/>
      </c:valAx>
      <c:valAx>
        <c:axId val="876977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97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5.6676071741032369E-2"/>
                  <c:y val="-0.502879848352289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Sheet1!$D$4:$D$10</c:f>
              <c:numCache>
                <c:formatCode>General</c:formatCode>
                <c:ptCount val="7"/>
                <c:pt idx="0">
                  <c:v>19.340938190229732</c:v>
                </c:pt>
                <c:pt idx="1">
                  <c:v>16.577947020196913</c:v>
                </c:pt>
                <c:pt idx="2">
                  <c:v>14.5057036426723</c:v>
                </c:pt>
                <c:pt idx="3">
                  <c:v>12.893958793486487</c:v>
                </c:pt>
                <c:pt idx="4">
                  <c:v>11.604562914137839</c:v>
                </c:pt>
                <c:pt idx="5">
                  <c:v>10.549602649216217</c:v>
                </c:pt>
                <c:pt idx="6">
                  <c:v>9.670469095114866</c:v>
                </c:pt>
              </c:numCache>
            </c:numRef>
          </c:xVal>
          <c:yVal>
            <c:numRef>
              <c:f>Sheet1!$C$4:$C$10</c:f>
              <c:numCache>
                <c:formatCode>0.00E+00</c:formatCode>
                <c:ptCount val="7"/>
                <c:pt idx="0">
                  <c:v>2.25059092346385E-13</c:v>
                </c:pt>
                <c:pt idx="1">
                  <c:v>4.9784702547561001E-13</c:v>
                </c:pt>
                <c:pt idx="2">
                  <c:v>1.52820929634151E-12</c:v>
                </c:pt>
                <c:pt idx="3">
                  <c:v>4.1699132628681396E-12</c:v>
                </c:pt>
                <c:pt idx="4">
                  <c:v>1.02101943462122E-11</c:v>
                </c:pt>
                <c:pt idx="5">
                  <c:v>2.2980765371200298E-11</c:v>
                </c:pt>
                <c:pt idx="6">
                  <c:v>4.9949278390068498E-11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F3-8541-A45C-6708528A8C0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Sheet1!$D$4:$D$10</c:f>
              <c:numCache>
                <c:formatCode>General</c:formatCode>
                <c:ptCount val="7"/>
                <c:pt idx="0">
                  <c:v>19.340938190229732</c:v>
                </c:pt>
                <c:pt idx="1">
                  <c:v>16.577947020196913</c:v>
                </c:pt>
                <c:pt idx="2">
                  <c:v>14.5057036426723</c:v>
                </c:pt>
                <c:pt idx="3">
                  <c:v>12.893958793486487</c:v>
                </c:pt>
                <c:pt idx="4">
                  <c:v>11.604562914137839</c:v>
                </c:pt>
                <c:pt idx="5">
                  <c:v>10.549602649216217</c:v>
                </c:pt>
                <c:pt idx="6">
                  <c:v>9.670469095114866</c:v>
                </c:pt>
              </c:numCache>
            </c:numRef>
          </c:xVal>
          <c:yVal>
            <c:numRef>
              <c:f>Sheet1!$E$4:$E$10</c:f>
              <c:numCache>
                <c:formatCode>General</c:formatCode>
                <c:ptCount val="7"/>
                <c:pt idx="0">
                  <c:v>8.7546752381926194E-14</c:v>
                </c:pt>
                <c:pt idx="1">
                  <c:v>2.6255806279298681E-13</c:v>
                </c:pt>
                <c:pt idx="2">
                  <c:v>7.7118068649805683E-13</c:v>
                </c:pt>
                <c:pt idx="3">
                  <c:v>2.0369885030731179E-12</c:v>
                </c:pt>
                <c:pt idx="4">
                  <c:v>4.763711528229693E-12</c:v>
                </c:pt>
                <c:pt idx="5">
                  <c:v>9.9464123981224426E-12</c:v>
                </c:pt>
                <c:pt idx="6">
                  <c:v>1.8820466258605427E-11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F3-8541-A45C-6708528A8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975455"/>
        <c:axId val="876977103"/>
      </c:scatterChart>
      <c:valAx>
        <c:axId val="876975455"/>
        <c:scaling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977103"/>
        <c:crosses val="autoZero"/>
        <c:crossBetween val="midCat"/>
      </c:valAx>
      <c:valAx>
        <c:axId val="876977103"/>
        <c:scaling>
          <c:logBase val="10"/>
          <c:orientation val="minMax"/>
          <c:max val="1.0000000000000006E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97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39928105861767277"/>
                  <c:y val="6.100588777754132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Sheet1!$D$9:$D$10</c:f>
              <c:numCache>
                <c:formatCode>General</c:formatCode>
                <c:ptCount val="2"/>
                <c:pt idx="0">
                  <c:v>10.549602649216217</c:v>
                </c:pt>
                <c:pt idx="1">
                  <c:v>9.670469095114866</c:v>
                </c:pt>
              </c:numCache>
            </c:numRef>
          </c:xVal>
          <c:yVal>
            <c:numRef>
              <c:f>Sheet1!$C$9:$C$10</c:f>
              <c:numCache>
                <c:formatCode>0.00E+00</c:formatCode>
                <c:ptCount val="2"/>
                <c:pt idx="0">
                  <c:v>2.2980765371200298E-11</c:v>
                </c:pt>
                <c:pt idx="1">
                  <c:v>4.9949278390068498E-11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5E-CA4C-9271-8C275833A64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Sheet1!$D$4:$D$7</c:f>
              <c:numCache>
                <c:formatCode>General</c:formatCode>
                <c:ptCount val="4"/>
                <c:pt idx="0">
                  <c:v>19.340938190229732</c:v>
                </c:pt>
                <c:pt idx="1">
                  <c:v>16.577947020196913</c:v>
                </c:pt>
                <c:pt idx="2">
                  <c:v>14.5057036426723</c:v>
                </c:pt>
                <c:pt idx="3">
                  <c:v>12.893958793486487</c:v>
                </c:pt>
              </c:numCache>
            </c:numRef>
          </c:xVal>
          <c:yVal>
            <c:numRef>
              <c:f>Sheet1!$C$4:$C$7</c:f>
              <c:numCache>
                <c:formatCode>0.00E+00</c:formatCode>
                <c:ptCount val="4"/>
                <c:pt idx="0">
                  <c:v>2.25059092346385E-13</c:v>
                </c:pt>
                <c:pt idx="1">
                  <c:v>4.9784702547561001E-13</c:v>
                </c:pt>
                <c:pt idx="2">
                  <c:v>1.52820929634151E-12</c:v>
                </c:pt>
                <c:pt idx="3">
                  <c:v>4.1699132628681396E-12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5E-CA4C-9271-8C275833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975455"/>
        <c:axId val="876977103"/>
      </c:scatterChart>
      <c:valAx>
        <c:axId val="876975455"/>
        <c:scaling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977103"/>
        <c:crosses val="autoZero"/>
        <c:crossBetween val="midCat"/>
      </c:valAx>
      <c:valAx>
        <c:axId val="876977103"/>
        <c:scaling>
          <c:logBase val="10"/>
          <c:orientation val="minMax"/>
          <c:max val="1.0000000000000006E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97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298450</xdr:colOff>
      <xdr:row>18</xdr:row>
      <xdr:rowOff>158750</xdr:rowOff>
    </xdr:from>
    <xdr:to>
      <xdr:col>12</xdr:col>
      <xdr:colOff>393700</xdr:colOff>
      <xdr:row>36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D02B28-B914-D443-B47B-D58666148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203200</xdr:colOff>
      <xdr:row>11</xdr:row>
      <xdr:rowOff>139700</xdr:rowOff>
    </xdr:from>
    <xdr:to>
      <xdr:col>6</xdr:col>
      <xdr:colOff>546100</xdr:colOff>
      <xdr:row>25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649354-CA5D-A340-8F0B-D29EC6646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6</xdr:col>
      <xdr:colOff>342900</xdr:colOff>
      <xdr:row>40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ECBE0E-12B5-FD40-B9CC-510D6B208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73F83-16AA-D842-8BAC-6D7976F1008A}">
  <dimension ref="A1:U26"/>
  <sheetViews>
    <sheetView tabSelected="1" workbookViewId="0">
      <selection activeCell="O29" sqref="O29"/>
    </sheetView>
  </sheetViews>
  <sheetFormatPr baseColWidth="10" defaultRowHeight="16" x14ac:dyDescent="0.2"/>
  <cols>
    <col min="5" max="5" width="12.1640625" bestFit="1" customWidth="1"/>
  </cols>
  <sheetData>
    <row r="1" spans="1:18" x14ac:dyDescent="0.2">
      <c r="A1" t="b">
        <f>$M$11=0</f>
        <v>0</v>
      </c>
      <c r="Q1" t="s">
        <v>12</v>
      </c>
    </row>
    <row r="2" spans="1:18" x14ac:dyDescent="0.2">
      <c r="A2">
        <f>COUNT($O$2,$O$3)</f>
        <v>2</v>
      </c>
      <c r="F2" t="s">
        <v>3</v>
      </c>
      <c r="N2" t="s">
        <v>9</v>
      </c>
      <c r="O2" s="2">
        <v>91346454.201149806</v>
      </c>
      <c r="Q2" t="s">
        <v>9</v>
      </c>
      <c r="R2" s="2">
        <v>42284864.173869081</v>
      </c>
    </row>
    <row r="3" spans="1:18" x14ac:dyDescent="0.2">
      <c r="A3">
        <f>{32767,32767,0.000001,0.01,FALSE,FALSE,TRUE,1,2,1,0.0001,FALSE}</f>
        <v>32767</v>
      </c>
      <c r="B3" t="s">
        <v>0</v>
      </c>
      <c r="C3" t="s">
        <v>1</v>
      </c>
      <c r="D3" t="s">
        <v>2</v>
      </c>
      <c r="E3" t="s">
        <v>13</v>
      </c>
      <c r="I3" t="s">
        <v>6</v>
      </c>
      <c r="J3" t="s">
        <v>5</v>
      </c>
      <c r="K3" t="s">
        <v>8</v>
      </c>
      <c r="L3" t="s">
        <v>11</v>
      </c>
      <c r="M3" t="s">
        <v>12</v>
      </c>
      <c r="N3" t="s">
        <v>7</v>
      </c>
      <c r="O3">
        <v>-3.7542552830667E-2</v>
      </c>
      <c r="Q3" t="s">
        <v>7</v>
      </c>
      <c r="R3">
        <v>-7.8674483848118447E-3</v>
      </c>
    </row>
    <row r="4" spans="1:18" ht="19" x14ac:dyDescent="0.2">
      <c r="A4">
        <f>{0,0,2,1000,123871091,FALSE,FALSE,0.075,0,0,FALSE,30}</f>
        <v>0</v>
      </c>
      <c r="B4" s="1">
        <v>600</v>
      </c>
      <c r="C4" s="2">
        <v>2.25059092346385E-13</v>
      </c>
      <c r="D4">
        <f>1/(0.000086173*B4)</f>
        <v>19.340938190229732</v>
      </c>
      <c r="E4">
        <f>$R$6*EXP(-J4*D4)</f>
        <v>8.7546752381926194E-14</v>
      </c>
      <c r="F4" t="s">
        <v>4</v>
      </c>
      <c r="G4">
        <v>0.81899999999999995</v>
      </c>
      <c r="I4" s="3">
        <f>C4*10^15</f>
        <v>225.059092346385</v>
      </c>
      <c r="J4">
        <f>$G$4/(1-($O$3*$G$4*D4)^3)</f>
        <v>0.67668727683750485</v>
      </c>
      <c r="K4">
        <f>$O$2*EXP(-J4*D4)</f>
        <v>189.12406515088225</v>
      </c>
      <c r="L4" s="3">
        <f>(I4-K4)^2</f>
        <v>1291.3261795415226</v>
      </c>
      <c r="M4">
        <f>(100*ABS(K4-I4)/I4)^2</f>
        <v>254.94284599003049</v>
      </c>
      <c r="N4" t="s">
        <v>14</v>
      </c>
      <c r="O4">
        <v>0</v>
      </c>
    </row>
    <row r="5" spans="1:18" ht="19" x14ac:dyDescent="0.2">
      <c r="B5" s="1">
        <v>700</v>
      </c>
      <c r="C5" s="2">
        <v>4.9784702547561001E-13</v>
      </c>
      <c r="D5">
        <f t="shared" ref="D5:D10" si="0">1/(0.000086173*B5)</f>
        <v>16.577947020196913</v>
      </c>
      <c r="E5">
        <f t="shared" ref="E5:E10" si="1">$R$6*EXP(-J5*D5)</f>
        <v>2.6255806279298681E-13</v>
      </c>
      <c r="I5" s="3">
        <f t="shared" ref="I5:I10" si="2">C5*10^15</f>
        <v>497.84702547561</v>
      </c>
      <c r="J5">
        <f t="shared" ref="J5:J10" si="3">$G$4/(1-($O$3*$G$4*D5)^3)</f>
        <v>0.72321786860960946</v>
      </c>
      <c r="K5">
        <f t="shared" ref="K5:K10" si="4">$O$2*EXP(-J5*D5)</f>
        <v>567.19463398166715</v>
      </c>
      <c r="L5" s="3">
        <f t="shared" ref="L5:L10" si="5">(I5-K5)^2</f>
        <v>4809.0908055093705</v>
      </c>
      <c r="M5">
        <f t="shared" ref="M5:M10" si="6">(100*ABS(K5-I5)/I5)^2</f>
        <v>194.03100993851169</v>
      </c>
    </row>
    <row r="6" spans="1:18" ht="19" x14ac:dyDescent="0.2">
      <c r="B6" s="1">
        <v>800</v>
      </c>
      <c r="C6" s="2">
        <v>1.52820929634151E-12</v>
      </c>
      <c r="D6">
        <f t="shared" si="0"/>
        <v>14.5057036426723</v>
      </c>
      <c r="E6">
        <f t="shared" si="1"/>
        <v>7.7118068649805683E-13</v>
      </c>
      <c r="I6" s="3">
        <f t="shared" si="2"/>
        <v>1528.20929634151</v>
      </c>
      <c r="J6">
        <f t="shared" si="3"/>
        <v>0.7522569968541637</v>
      </c>
      <c r="K6">
        <f t="shared" si="4"/>
        <v>1665.9535896898756</v>
      </c>
      <c r="L6" s="3">
        <f t="shared" si="5"/>
        <v>18973.490350040582</v>
      </c>
      <c r="M6">
        <f t="shared" si="6"/>
        <v>81.242177718883156</v>
      </c>
      <c r="O6" s="2">
        <f>O2*0.000000000000001</f>
        <v>9.1346454201149819E-8</v>
      </c>
      <c r="R6" s="2">
        <f>R2*0.000000000000001</f>
        <v>4.2284864173869084E-8</v>
      </c>
    </row>
    <row r="7" spans="1:18" ht="19" x14ac:dyDescent="0.2">
      <c r="B7" s="1">
        <v>900</v>
      </c>
      <c r="C7" s="2">
        <v>4.1699132628681396E-12</v>
      </c>
      <c r="D7">
        <f t="shared" si="0"/>
        <v>12.893958793486487</v>
      </c>
      <c r="E7">
        <f t="shared" si="1"/>
        <v>2.0369885030731179E-12</v>
      </c>
      <c r="I7" s="3">
        <f t="shared" si="2"/>
        <v>4169.91326286814</v>
      </c>
      <c r="J7">
        <f t="shared" si="3"/>
        <v>0.77095887664026885</v>
      </c>
      <c r="K7">
        <f t="shared" si="4"/>
        <v>4400.4321792104647</v>
      </c>
      <c r="L7" s="3">
        <f t="shared" si="5"/>
        <v>53138.970791639695</v>
      </c>
      <c r="M7">
        <f t="shared" si="6"/>
        <v>30.560404321518568</v>
      </c>
    </row>
    <row r="8" spans="1:18" ht="19" x14ac:dyDescent="0.2">
      <c r="B8" s="1">
        <v>1000</v>
      </c>
      <c r="C8" s="2">
        <v>1.02101943462122E-11</v>
      </c>
      <c r="D8">
        <f t="shared" si="0"/>
        <v>11.604562914137839</v>
      </c>
      <c r="E8">
        <f t="shared" si="1"/>
        <v>4.763711528229693E-12</v>
      </c>
      <c r="I8" s="3">
        <f t="shared" si="2"/>
        <v>10210.1943462122</v>
      </c>
      <c r="J8">
        <f t="shared" si="3"/>
        <v>0.78341230514987459</v>
      </c>
      <c r="K8">
        <f t="shared" si="4"/>
        <v>10290.872761271228</v>
      </c>
      <c r="L8" s="3">
        <f t="shared" si="5"/>
        <v>6509.0066564368508</v>
      </c>
      <c r="M8">
        <f t="shared" si="6"/>
        <v>0.6243767145650595</v>
      </c>
    </row>
    <row r="9" spans="1:18" ht="19" x14ac:dyDescent="0.2">
      <c r="B9" s="1">
        <v>1100</v>
      </c>
      <c r="C9" s="2">
        <v>2.2980765371200298E-11</v>
      </c>
      <c r="D9">
        <f t="shared" si="0"/>
        <v>10.549602649216217</v>
      </c>
      <c r="E9">
        <f t="shared" si="1"/>
        <v>9.9464123981224426E-12</v>
      </c>
      <c r="I9" s="3">
        <f t="shared" si="2"/>
        <v>22980.765371200298</v>
      </c>
      <c r="J9">
        <f t="shared" si="3"/>
        <v>0.79197035516062086</v>
      </c>
      <c r="K9">
        <f t="shared" si="4"/>
        <v>21486.872958960856</v>
      </c>
      <c r="L9" s="3">
        <f t="shared" si="5"/>
        <v>2231714.5393465785</v>
      </c>
      <c r="M9">
        <f t="shared" si="6"/>
        <v>42.258070701662341</v>
      </c>
      <c r="Q9" t="s">
        <v>15</v>
      </c>
    </row>
    <row r="10" spans="1:18" ht="19" x14ac:dyDescent="0.2">
      <c r="B10" s="1">
        <v>1200</v>
      </c>
      <c r="C10" s="2">
        <v>4.9949278390068498E-11</v>
      </c>
      <c r="D10">
        <f t="shared" si="0"/>
        <v>9.670469095114866</v>
      </c>
      <c r="E10">
        <f t="shared" si="1"/>
        <v>1.8820466258605427E-11</v>
      </c>
      <c r="I10" s="3">
        <f t="shared" si="2"/>
        <v>49949.278390068495</v>
      </c>
      <c r="J10">
        <f t="shared" si="3"/>
        <v>0.79802122272092191</v>
      </c>
      <c r="K10">
        <f t="shared" si="4"/>
        <v>40657.16877005827</v>
      </c>
      <c r="L10" s="3">
        <f>(I10-K10)^2</f>
        <v>86343301.190286577</v>
      </c>
      <c r="M10">
        <f t="shared" si="6"/>
        <v>346.07498784645304</v>
      </c>
      <c r="N10" t="s">
        <v>9</v>
      </c>
      <c r="O10" s="2">
        <v>40727925.967157111</v>
      </c>
      <c r="P10" t="s">
        <v>9</v>
      </c>
      <c r="Q10" s="2">
        <v>91346454.201149806</v>
      </c>
    </row>
    <row r="11" spans="1:18" x14ac:dyDescent="0.2">
      <c r="L11" s="3">
        <f>SUM(L4:L10)</f>
        <v>88659737.614416316</v>
      </c>
      <c r="M11" s="3">
        <f>SUM(M4:M10)</f>
        <v>949.73387323162433</v>
      </c>
      <c r="N11" t="s">
        <v>7</v>
      </c>
      <c r="O11">
        <v>-1.5704440468048506E-2</v>
      </c>
      <c r="P11" t="s">
        <v>7</v>
      </c>
      <c r="Q11">
        <v>-3.7542552830667E-2</v>
      </c>
    </row>
    <row r="12" spans="1:18" x14ac:dyDescent="0.2">
      <c r="N12" t="s">
        <v>10</v>
      </c>
      <c r="O12">
        <v>3647</v>
      </c>
      <c r="P12" t="s">
        <v>10</v>
      </c>
      <c r="Q12">
        <v>950</v>
      </c>
    </row>
    <row r="18" spans="13:21" x14ac:dyDescent="0.2">
      <c r="M18" t="s">
        <v>2</v>
      </c>
      <c r="N18" t="s">
        <v>6</v>
      </c>
      <c r="O18" t="s">
        <v>5</v>
      </c>
      <c r="P18" t="s">
        <v>8</v>
      </c>
      <c r="Q18" t="s">
        <v>11</v>
      </c>
      <c r="R18" t="s">
        <v>12</v>
      </c>
      <c r="T18" t="s">
        <v>9</v>
      </c>
      <c r="U18" s="2">
        <v>284106263.55796415</v>
      </c>
    </row>
    <row r="19" spans="13:21" x14ac:dyDescent="0.2">
      <c r="M19">
        <v>19.340938190229732</v>
      </c>
      <c r="N19" s="3">
        <v>225.059092346385</v>
      </c>
      <c r="O19">
        <f>$U$20/(1-($U$19*$U$20*M19))</f>
        <v>0.73156635743836507</v>
      </c>
      <c r="P19">
        <f>$U$18*EXP(-O19*M19)</f>
        <v>203.50268366383844</v>
      </c>
      <c r="Q19" s="3">
        <f>(N19-P19)^2</f>
        <v>464.67875528896877</v>
      </c>
      <c r="R19">
        <f>(100*ABS(P19-N19)/N19)^2</f>
        <v>91.740201833850747</v>
      </c>
      <c r="T19" t="s">
        <v>7</v>
      </c>
      <c r="U19">
        <v>-1.7403249809240573E-2</v>
      </c>
    </row>
    <row r="20" spans="13:21" x14ac:dyDescent="0.2">
      <c r="M20">
        <v>16.577947020196913</v>
      </c>
      <c r="N20" s="3">
        <v>497.84702547561</v>
      </c>
      <c r="O20">
        <f t="shared" ref="O20:O25" si="7">$U$20/(1-($U$19*$U$20*M20))</f>
        <v>0.75823923234637036</v>
      </c>
      <c r="P20">
        <f t="shared" ref="P20:P25" si="8">$U$18*EXP(-O20*M20)</f>
        <v>987.13723382121555</v>
      </c>
      <c r="Q20" s="3">
        <f t="shared" ref="Q20:Q24" si="9">(N20-P20)^2</f>
        <v>239404.9079828861</v>
      </c>
      <c r="R20">
        <f t="shared" ref="R20:R25" si="10">(100*ABS(P20-N20)/N20)^2</f>
        <v>9659.2012833152858</v>
      </c>
      <c r="T20" t="s">
        <v>4</v>
      </c>
      <c r="U20">
        <v>0.97055828919194553</v>
      </c>
    </row>
    <row r="21" spans="13:21" x14ac:dyDescent="0.2">
      <c r="M21">
        <v>14.5057036426723</v>
      </c>
      <c r="N21" s="3">
        <v>1528.20929634151</v>
      </c>
      <c r="O21">
        <f t="shared" si="7"/>
        <v>0.77955616820623252</v>
      </c>
      <c r="P21">
        <f t="shared" si="8"/>
        <v>3487.1781836530813</v>
      </c>
      <c r="Q21" s="3">
        <f t="shared" si="9"/>
        <v>3837559.1014547357</v>
      </c>
      <c r="R21">
        <f t="shared" si="10"/>
        <v>16431.961266759561</v>
      </c>
    </row>
    <row r="22" spans="13:21" x14ac:dyDescent="0.2">
      <c r="M22">
        <v>12.893958793486487</v>
      </c>
      <c r="N22" s="3">
        <v>4169.91326286814</v>
      </c>
      <c r="O22">
        <f t="shared" si="7"/>
        <v>0.7969831918210547</v>
      </c>
      <c r="P22">
        <f t="shared" si="8"/>
        <v>9784.8491098851609</v>
      </c>
      <c r="Q22" s="3">
        <f t="shared" si="9"/>
        <v>31527504.56611675</v>
      </c>
      <c r="R22">
        <f t="shared" si="10"/>
        <v>18131.575987178057</v>
      </c>
    </row>
    <row r="23" spans="13:21" x14ac:dyDescent="0.2">
      <c r="M23">
        <v>11.604562914137839</v>
      </c>
      <c r="N23" s="3">
        <v>10210.1943462122</v>
      </c>
      <c r="O23">
        <f t="shared" si="7"/>
        <v>0.81149602459511294</v>
      </c>
      <c r="P23">
        <f t="shared" si="8"/>
        <v>23104.951440476121</v>
      </c>
      <c r="Q23" s="3">
        <f t="shared" si="9"/>
        <v>166274760.52006972</v>
      </c>
      <c r="R23">
        <f t="shared" si="10"/>
        <v>15949.912815951107</v>
      </c>
    </row>
    <row r="24" spans="13:21" x14ac:dyDescent="0.2">
      <c r="M24">
        <v>10.549602649216217</v>
      </c>
      <c r="N24" s="3">
        <v>22980.765371200298</v>
      </c>
      <c r="O24">
        <f t="shared" si="7"/>
        <v>0.82376924194073342</v>
      </c>
      <c r="P24">
        <f t="shared" si="8"/>
        <v>47782.785444924149</v>
      </c>
      <c r="Q24" s="3">
        <f t="shared" si="9"/>
        <v>615140199.73740089</v>
      </c>
      <c r="R24">
        <f t="shared" si="10"/>
        <v>11647.832907674981</v>
      </c>
    </row>
    <row r="25" spans="13:21" x14ac:dyDescent="0.2">
      <c r="M25">
        <v>9.670469095114866</v>
      </c>
      <c r="N25" s="3">
        <v>49949.278390068495</v>
      </c>
      <c r="O25">
        <f t="shared" si="7"/>
        <v>0.83428413272952961</v>
      </c>
      <c r="P25">
        <f t="shared" si="8"/>
        <v>89048.814109142084</v>
      </c>
      <c r="Q25" s="3">
        <f>(N25-P25)^2</f>
        <v>1528773693.4471114</v>
      </c>
      <c r="R25">
        <f t="shared" si="10"/>
        <v>6127.5203760590675</v>
      </c>
    </row>
    <row r="26" spans="13:21" x14ac:dyDescent="0.2">
      <c r="Q26" s="3">
        <f>SUM(Q19:Q25)</f>
        <v>2345793586.9588919</v>
      </c>
      <c r="R26" s="3">
        <f>SUM(R19:R25)</f>
        <v>78039.74483877192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2022-01-19T19:40:23Z</dcterms:created>
  <dcterms:modified xsi:type="dcterms:W3CDTF">2022-01-20T19:32:52Z</dcterms:modified>
</cp:coreProperties>
</file>