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91928EB6-2D7D-2643-89DC-6A9CE55D992F}" xr6:coauthVersionLast="36" xr6:coauthVersionMax="36" xr10:uidLastSave="{00000000-0000-0000-0000-000000000000}"/>
  <bookViews>
    <workbookView xWindow="1540" yWindow="4000" windowWidth="36660" windowHeight="20380" activeTab="8" xr2:uid="{1438BF92-828F-7149-A6D5-4B22AB4873A7}"/>
  </bookViews>
  <sheets>
    <sheet name="LiCl" sheetId="5" r:id="rId1"/>
    <sheet name="LiCl7KCl" sheetId="6" r:id="rId2"/>
    <sheet name="LiCl_20KCl" sheetId="9" r:id="rId3"/>
    <sheet name="LiCl_80KCl" sheetId="2" r:id="rId4"/>
    <sheet name="LiCl_93KCl" sheetId="4" r:id="rId5"/>
    <sheet name="KCl" sheetId="1" r:id="rId6"/>
    <sheet name="old_EXPT data" sheetId="7" r:id="rId7"/>
    <sheet name="Janz EXPT data" sheetId="15" r:id="rId8"/>
    <sheet name="Comparison to EXP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C33" i="1"/>
  <c r="I48" i="4" l="1"/>
  <c r="I39" i="4"/>
  <c r="I31" i="4"/>
  <c r="I38" i="2"/>
  <c r="I29" i="2"/>
  <c r="I61" i="9"/>
  <c r="I52" i="9"/>
  <c r="I35" i="9"/>
  <c r="I46" i="2" l="1"/>
  <c r="I43" i="9"/>
  <c r="E63" i="9"/>
  <c r="E62" i="9"/>
  <c r="E61" i="9"/>
  <c r="E60" i="9"/>
  <c r="E54" i="9"/>
  <c r="E53" i="9"/>
  <c r="E52" i="9"/>
  <c r="E51" i="9"/>
  <c r="E45" i="9"/>
  <c r="E44" i="9"/>
  <c r="E43" i="9"/>
  <c r="E42" i="9"/>
  <c r="E36" i="9"/>
  <c r="E35" i="9"/>
  <c r="E34" i="9"/>
  <c r="E33" i="9"/>
  <c r="I49" i="6"/>
  <c r="I40" i="6"/>
  <c r="I23" i="6"/>
  <c r="I31" i="6"/>
  <c r="E28" i="8"/>
  <c r="J15" i="5"/>
  <c r="I10" i="15" l="1"/>
  <c r="H11" i="15"/>
  <c r="H7" i="15"/>
  <c r="H8" i="15"/>
  <c r="H9" i="15"/>
  <c r="H10" i="15"/>
  <c r="H6" i="15"/>
  <c r="G7" i="15"/>
  <c r="G8" i="15"/>
  <c r="G9" i="15"/>
  <c r="G10" i="15"/>
  <c r="G11" i="15"/>
  <c r="G12" i="15"/>
  <c r="G13" i="15"/>
  <c r="G6" i="15"/>
  <c r="F7" i="15"/>
  <c r="F8" i="15"/>
  <c r="F9" i="15"/>
  <c r="F10" i="15"/>
  <c r="F11" i="15"/>
  <c r="F12" i="15"/>
  <c r="F13" i="15"/>
  <c r="F14" i="15"/>
  <c r="F15" i="15"/>
  <c r="F16" i="15"/>
  <c r="F6" i="15"/>
  <c r="E15" i="15"/>
  <c r="E7" i="15"/>
  <c r="E8" i="15"/>
  <c r="E9" i="15"/>
  <c r="E10" i="15"/>
  <c r="E11" i="15"/>
  <c r="E12" i="15"/>
  <c r="E13" i="15"/>
  <c r="E14" i="15"/>
  <c r="E6" i="15"/>
  <c r="D7" i="15"/>
  <c r="D8" i="15"/>
  <c r="D9" i="15"/>
  <c r="D10" i="15"/>
  <c r="D11" i="15"/>
  <c r="D12" i="15"/>
  <c r="D13" i="15"/>
  <c r="D14" i="15"/>
  <c r="D6" i="15"/>
  <c r="C7" i="15"/>
  <c r="C8" i="15"/>
  <c r="C9" i="15"/>
  <c r="C10" i="15"/>
  <c r="C11" i="15"/>
  <c r="C12" i="15"/>
  <c r="C6" i="15"/>
  <c r="I7" i="15"/>
  <c r="I8" i="15"/>
  <c r="I9" i="15"/>
  <c r="I6" i="15"/>
  <c r="L48" i="7" l="1"/>
  <c r="L49" i="7"/>
  <c r="L50" i="7"/>
  <c r="L51" i="7"/>
  <c r="L52" i="7"/>
  <c r="L53" i="7"/>
  <c r="L54" i="7"/>
  <c r="L55" i="7"/>
  <c r="L56" i="7"/>
  <c r="L57" i="7"/>
  <c r="L58" i="7"/>
  <c r="L59" i="7"/>
  <c r="L47" i="7"/>
  <c r="T28" i="7"/>
  <c r="O28" i="7"/>
  <c r="O18" i="7"/>
  <c r="J18" i="7"/>
  <c r="E28" i="7"/>
  <c r="E18" i="7"/>
  <c r="J28" i="7"/>
  <c r="T27" i="7"/>
  <c r="F28" i="8" l="1"/>
  <c r="G28" i="8"/>
  <c r="K28" i="8"/>
  <c r="L28" i="8"/>
  <c r="M28" i="8"/>
  <c r="D28" i="8"/>
  <c r="F63" i="9" l="1"/>
  <c r="G62" i="9"/>
  <c r="F61" i="9"/>
  <c r="G60" i="9"/>
  <c r="G59" i="9"/>
  <c r="F59" i="9"/>
  <c r="G54" i="9"/>
  <c r="G53" i="9"/>
  <c r="G52" i="9"/>
  <c r="G51" i="9"/>
  <c r="G50" i="9"/>
  <c r="F50" i="9"/>
  <c r="F51" i="9" l="1"/>
  <c r="F54" i="9"/>
  <c r="F60" i="9"/>
  <c r="G61" i="9"/>
  <c r="F62" i="9"/>
  <c r="G63" i="9"/>
  <c r="F52" i="9"/>
  <c r="F53" i="9"/>
  <c r="G45" i="9" l="1"/>
  <c r="F44" i="9"/>
  <c r="F43" i="9"/>
  <c r="F42" i="9"/>
  <c r="G41" i="9"/>
  <c r="F41" i="9"/>
  <c r="G36" i="9"/>
  <c r="F35" i="9"/>
  <c r="G34" i="9"/>
  <c r="F33" i="9"/>
  <c r="G32" i="9"/>
  <c r="F32" i="9"/>
  <c r="G42" i="9" l="1"/>
  <c r="G33" i="9"/>
  <c r="G43" i="9"/>
  <c r="G44" i="9"/>
  <c r="F45" i="9"/>
  <c r="G35" i="9"/>
  <c r="F36" i="9"/>
  <c r="F34" i="9"/>
  <c r="F57" i="5" l="1"/>
  <c r="H57" i="5" s="1"/>
  <c r="F56" i="5"/>
  <c r="G56" i="5" s="1"/>
  <c r="F55" i="5"/>
  <c r="H55" i="5" s="1"/>
  <c r="H54" i="5"/>
  <c r="G54" i="5"/>
  <c r="F54" i="5"/>
  <c r="H53" i="5"/>
  <c r="G53" i="5"/>
  <c r="L18" i="9"/>
  <c r="K15" i="9"/>
  <c r="E25" i="9"/>
  <c r="G25" i="9" s="1"/>
  <c r="E26" i="9"/>
  <c r="F26" i="9" s="1"/>
  <c r="E27" i="9"/>
  <c r="F27" i="9" s="1"/>
  <c r="E24" i="9"/>
  <c r="F24" i="9" s="1"/>
  <c r="G23" i="9"/>
  <c r="F23" i="9"/>
  <c r="E49" i="2"/>
  <c r="E48" i="2"/>
  <c r="E47" i="2"/>
  <c r="E46" i="2"/>
  <c r="E40" i="2"/>
  <c r="E39" i="2"/>
  <c r="E38" i="2"/>
  <c r="E37" i="2"/>
  <c r="E29" i="2"/>
  <c r="E30" i="2"/>
  <c r="E31" i="2"/>
  <c r="E28" i="2"/>
  <c r="E24" i="6"/>
  <c r="F24" i="6" s="1"/>
  <c r="E23" i="6"/>
  <c r="G23" i="6" s="1"/>
  <c r="E22" i="6"/>
  <c r="G22" i="6" s="1"/>
  <c r="E21" i="6"/>
  <c r="G21" i="6" s="1"/>
  <c r="G20" i="6"/>
  <c r="F20" i="6"/>
  <c r="F48" i="5"/>
  <c r="H48" i="5" s="1"/>
  <c r="G47" i="5"/>
  <c r="F47" i="5"/>
  <c r="H47" i="5" s="1"/>
  <c r="F46" i="5"/>
  <c r="H46" i="5" s="1"/>
  <c r="F45" i="5"/>
  <c r="H45" i="5" s="1"/>
  <c r="H44" i="5"/>
  <c r="G44" i="5"/>
  <c r="F39" i="5"/>
  <c r="H39" i="5" s="1"/>
  <c r="F38" i="5"/>
  <c r="H38" i="5" s="1"/>
  <c r="F37" i="5"/>
  <c r="H37" i="5" s="1"/>
  <c r="F36" i="5"/>
  <c r="G36" i="5" s="1"/>
  <c r="H35" i="5"/>
  <c r="G35" i="5"/>
  <c r="L19" i="9" l="1"/>
  <c r="G24" i="6"/>
  <c r="F21" i="6"/>
  <c r="F22" i="6"/>
  <c r="G45" i="5"/>
  <c r="H36" i="5"/>
  <c r="G38" i="5"/>
  <c r="H56" i="5"/>
  <c r="G55" i="5"/>
  <c r="G57" i="5"/>
  <c r="H25" i="9"/>
  <c r="G24" i="9"/>
  <c r="F25" i="9"/>
  <c r="G26" i="9"/>
  <c r="H26" i="9" s="1"/>
  <c r="G27" i="9"/>
  <c r="F23" i="6"/>
  <c r="G46" i="5"/>
  <c r="G48" i="5"/>
  <c r="G39" i="5"/>
  <c r="G37" i="5"/>
  <c r="F28" i="5"/>
  <c r="F29" i="5"/>
  <c r="F30" i="5"/>
  <c r="F27" i="5"/>
  <c r="H26" i="5"/>
  <c r="G26" i="5"/>
  <c r="E51" i="6"/>
  <c r="G51" i="6" s="1"/>
  <c r="E50" i="6"/>
  <c r="G50" i="6" s="1"/>
  <c r="E49" i="6"/>
  <c r="F49" i="6" s="1"/>
  <c r="E48" i="6"/>
  <c r="F48" i="6" s="1"/>
  <c r="G47" i="6"/>
  <c r="F47" i="6"/>
  <c r="E42" i="6"/>
  <c r="G42" i="6" s="1"/>
  <c r="E41" i="6"/>
  <c r="G41" i="6" s="1"/>
  <c r="E40" i="6"/>
  <c r="F40" i="6" s="1"/>
  <c r="E39" i="6"/>
  <c r="G39" i="6" s="1"/>
  <c r="G38" i="6"/>
  <c r="F38" i="6"/>
  <c r="H23" i="9" l="1"/>
  <c r="H50" i="9"/>
  <c r="H51" i="9"/>
  <c r="H60" i="9"/>
  <c r="H52" i="9"/>
  <c r="H54" i="9"/>
  <c r="H59" i="9"/>
  <c r="H62" i="9"/>
  <c r="H53" i="9"/>
  <c r="H63" i="9"/>
  <c r="H61" i="9"/>
  <c r="H36" i="9"/>
  <c r="H34" i="9"/>
  <c r="H41" i="9"/>
  <c r="H45" i="9"/>
  <c r="H32" i="9"/>
  <c r="H43" i="9"/>
  <c r="H44" i="9"/>
  <c r="H35" i="9"/>
  <c r="H42" i="9"/>
  <c r="H24" i="9"/>
  <c r="H33" i="9"/>
  <c r="H27" i="9"/>
  <c r="I26" i="9" s="1"/>
  <c r="G48" i="6"/>
  <c r="F42" i="6"/>
  <c r="G49" i="6"/>
  <c r="F50" i="6"/>
  <c r="F51" i="6"/>
  <c r="F39" i="6"/>
  <c r="F41" i="6"/>
  <c r="G40" i="6"/>
  <c r="F5" i="5"/>
  <c r="E30" i="6"/>
  <c r="E31" i="6" l="1"/>
  <c r="E32" i="6"/>
  <c r="E33" i="6"/>
  <c r="J14" i="5"/>
  <c r="L15" i="6"/>
  <c r="L16" i="6" s="1"/>
  <c r="I20" i="1"/>
  <c r="I21" i="1" s="1"/>
  <c r="H20" i="6" l="1"/>
  <c r="H21" i="6"/>
  <c r="H48" i="6"/>
  <c r="H23" i="6"/>
  <c r="H47" i="6"/>
  <c r="H42" i="6"/>
  <c r="H41" i="6"/>
  <c r="H38" i="6"/>
  <c r="H51" i="6"/>
  <c r="H49" i="6"/>
  <c r="H22" i="6"/>
  <c r="H40" i="6"/>
  <c r="H39" i="6"/>
  <c r="H50" i="6"/>
  <c r="H24" i="6"/>
  <c r="I35" i="5"/>
  <c r="I26" i="5"/>
  <c r="I44" i="5"/>
  <c r="I45" i="5"/>
  <c r="I48" i="5"/>
  <c r="I38" i="5"/>
  <c r="I39" i="5"/>
  <c r="I55" i="5"/>
  <c r="I57" i="5"/>
  <c r="I37" i="5"/>
  <c r="I53" i="5"/>
  <c r="I54" i="5"/>
  <c r="J54" i="5" s="1"/>
  <c r="I47" i="5"/>
  <c r="I46" i="5"/>
  <c r="I36" i="5"/>
  <c r="J36" i="5" s="1"/>
  <c r="I56" i="5"/>
  <c r="J45" i="5" l="1"/>
  <c r="E52" i="1" l="1"/>
  <c r="E51" i="1"/>
  <c r="E50" i="1"/>
  <c r="E49" i="1"/>
  <c r="E43" i="1"/>
  <c r="E42" i="1"/>
  <c r="E41" i="1"/>
  <c r="E40" i="1"/>
  <c r="E32" i="1"/>
  <c r="F32" i="1" s="1"/>
  <c r="E31" i="1"/>
  <c r="F30" i="1"/>
  <c r="F41" i="1"/>
  <c r="G41" i="1"/>
  <c r="H41" i="1" s="1"/>
  <c r="F50" i="1"/>
  <c r="G50" i="1"/>
  <c r="H50" i="1" s="1"/>
  <c r="G32" i="1"/>
  <c r="H32" i="1" s="1"/>
  <c r="I11" i="2"/>
  <c r="J14" i="2"/>
  <c r="I48" i="7"/>
  <c r="I49" i="7"/>
  <c r="I50" i="7"/>
  <c r="I51" i="7"/>
  <c r="I52" i="7"/>
  <c r="I53" i="7"/>
  <c r="I54" i="7"/>
  <c r="I55" i="7"/>
  <c r="I56" i="7"/>
  <c r="I57" i="7"/>
  <c r="I58" i="7"/>
  <c r="I59" i="7"/>
  <c r="I47" i="7"/>
  <c r="T24" i="7"/>
  <c r="T23" i="7"/>
  <c r="S25" i="7"/>
  <c r="T25" i="7" s="1"/>
  <c r="S24" i="7"/>
  <c r="S23" i="7"/>
  <c r="O27" i="7"/>
  <c r="N25" i="7"/>
  <c r="O25" i="7" s="1"/>
  <c r="N24" i="7"/>
  <c r="O24" i="7" s="1"/>
  <c r="N23" i="7"/>
  <c r="O23" i="7" s="1"/>
  <c r="J27" i="7"/>
  <c r="I25" i="7"/>
  <c r="J25" i="7" s="1"/>
  <c r="I24" i="7"/>
  <c r="J24" i="7" s="1"/>
  <c r="I23" i="7"/>
  <c r="J23" i="7" s="1"/>
  <c r="J15" i="2" l="1"/>
  <c r="E27" i="7" l="1"/>
  <c r="D25" i="7"/>
  <c r="E25" i="7" s="1"/>
  <c r="D24" i="7"/>
  <c r="E24" i="7" s="1"/>
  <c r="D23" i="7"/>
  <c r="E23" i="7" s="1"/>
  <c r="J17" i="7"/>
  <c r="O17" i="7"/>
  <c r="E17" i="7"/>
  <c r="N13" i="7"/>
  <c r="O13" i="7" s="1"/>
  <c r="N12" i="7"/>
  <c r="O12" i="7" s="1"/>
  <c r="N11" i="7"/>
  <c r="O11" i="7" s="1"/>
  <c r="I13" i="7"/>
  <c r="J13" i="7" s="1"/>
  <c r="I12" i="7"/>
  <c r="J12" i="7" s="1"/>
  <c r="I11" i="7"/>
  <c r="J11" i="7" s="1"/>
  <c r="D12" i="7"/>
  <c r="E12" i="7" s="1"/>
  <c r="D13" i="7"/>
  <c r="E13" i="7" s="1"/>
  <c r="D14" i="7"/>
  <c r="E14" i="7" s="1"/>
  <c r="D15" i="7"/>
  <c r="E15" i="7" s="1"/>
  <c r="D11" i="7"/>
  <c r="E11" i="7" s="1"/>
  <c r="G47" i="2" l="1"/>
  <c r="H47" i="2" s="1"/>
  <c r="F47" i="2"/>
  <c r="G38" i="2"/>
  <c r="H38" i="2" s="1"/>
  <c r="F38" i="2"/>
  <c r="E5" i="6"/>
  <c r="E6" i="6" s="1"/>
  <c r="F4" i="6"/>
  <c r="F6" i="5"/>
  <c r="G4" i="5"/>
  <c r="E7" i="6" l="1"/>
  <c r="F6" i="6"/>
  <c r="F5" i="6"/>
  <c r="F7" i="5"/>
  <c r="F8" i="5" s="1"/>
  <c r="G6" i="5"/>
  <c r="G5" i="5"/>
  <c r="F7" i="6" l="1"/>
  <c r="E8" i="6"/>
  <c r="F8" i="6" s="1"/>
  <c r="G7" i="5"/>
  <c r="G8" i="5"/>
  <c r="G50" i="4" l="1"/>
  <c r="G48" i="4"/>
  <c r="G46" i="4"/>
  <c r="G41" i="4"/>
  <c r="G40" i="4"/>
  <c r="G39" i="4"/>
  <c r="G38" i="4"/>
  <c r="G37" i="4"/>
  <c r="G29" i="4"/>
  <c r="G30" i="4"/>
  <c r="G31" i="4"/>
  <c r="G32" i="4"/>
  <c r="J14" i="4"/>
  <c r="J15" i="4" s="1"/>
  <c r="E50" i="4"/>
  <c r="F50" i="4" s="1"/>
  <c r="E49" i="4"/>
  <c r="F49" i="4" s="1"/>
  <c r="F48" i="4"/>
  <c r="E47" i="4"/>
  <c r="F47" i="4" s="1"/>
  <c r="E46" i="4"/>
  <c r="F46" i="4" s="1"/>
  <c r="E41" i="4"/>
  <c r="F41" i="4" s="1"/>
  <c r="E40" i="4"/>
  <c r="F40" i="4" s="1"/>
  <c r="F39" i="4"/>
  <c r="E38" i="4"/>
  <c r="F38" i="4" s="1"/>
  <c r="E37" i="4"/>
  <c r="F37" i="4" s="1"/>
  <c r="E32" i="4"/>
  <c r="E31" i="4"/>
  <c r="E29" i="4"/>
  <c r="E28" i="4"/>
  <c r="G28" i="4" s="1"/>
  <c r="F30" i="4"/>
  <c r="H28" i="4" l="1"/>
  <c r="H29" i="4"/>
  <c r="H32" i="4"/>
  <c r="H31" i="4"/>
  <c r="H46" i="4"/>
  <c r="H50" i="4"/>
  <c r="H39" i="4"/>
  <c r="H40" i="4"/>
  <c r="H41" i="4"/>
  <c r="H38" i="4"/>
  <c r="H48" i="4"/>
  <c r="H30" i="4"/>
  <c r="H37" i="4"/>
  <c r="G47" i="4"/>
  <c r="H47" i="4" s="1"/>
  <c r="G49" i="4"/>
  <c r="H49" i="4" s="1"/>
  <c r="F31" i="4" l="1"/>
  <c r="F32" i="4"/>
  <c r="F28" i="4" l="1"/>
  <c r="F29" i="4"/>
  <c r="J30" i="1" l="1"/>
  <c r="E34" i="1"/>
  <c r="F34" i="1" s="1"/>
  <c r="J48" i="1"/>
  <c r="F52" i="1"/>
  <c r="G40" i="1"/>
  <c r="H40" i="1" s="1"/>
  <c r="F43" i="1"/>
  <c r="E33" i="1"/>
  <c r="G30" i="1"/>
  <c r="H30" i="1" s="1"/>
  <c r="J39" i="1"/>
  <c r="G49" i="1"/>
  <c r="H49" i="1" s="1"/>
  <c r="F51" i="1"/>
  <c r="G33" i="1" l="1"/>
  <c r="H33" i="1" s="1"/>
  <c r="G34" i="1"/>
  <c r="H34" i="1" s="1"/>
  <c r="G39" i="1"/>
  <c r="H39" i="1" s="1"/>
  <c r="G43" i="1"/>
  <c r="H43" i="1" s="1"/>
  <c r="F33" i="1"/>
  <c r="G48" i="1"/>
  <c r="H48" i="1" s="1"/>
  <c r="F49" i="1"/>
  <c r="F48" i="1"/>
  <c r="G52" i="1"/>
  <c r="H52" i="1" s="1"/>
  <c r="G42" i="1"/>
  <c r="H42" i="1" s="1"/>
  <c r="I41" i="1" s="1"/>
  <c r="F42" i="1"/>
  <c r="F31" i="1"/>
  <c r="F39" i="1"/>
  <c r="G31" i="1"/>
  <c r="H31" i="1" s="1"/>
  <c r="G51" i="1"/>
  <c r="H51" i="1" s="1"/>
  <c r="I51" i="1" s="1"/>
  <c r="F40" i="1"/>
  <c r="G29" i="6" l="1"/>
  <c r="H29" i="6" s="1"/>
  <c r="F29" i="6"/>
  <c r="F31" i="6"/>
  <c r="F30" i="6"/>
  <c r="F33" i="6"/>
  <c r="G31" i="6"/>
  <c r="H31" i="6" s="1"/>
  <c r="F32" i="6"/>
  <c r="G32" i="6"/>
  <c r="H32" i="6" s="1"/>
  <c r="G33" i="6"/>
  <c r="H33" i="6" s="1"/>
  <c r="G30" i="6"/>
  <c r="H30" i="6" s="1"/>
  <c r="G27" i="5" l="1"/>
  <c r="H27" i="5"/>
  <c r="I27" i="5" s="1"/>
  <c r="G30" i="5"/>
  <c r="G29" i="5"/>
  <c r="G28" i="5"/>
  <c r="H30" i="5"/>
  <c r="I30" i="5" s="1"/>
  <c r="H28" i="5"/>
  <c r="I28" i="5" s="1"/>
  <c r="H29" i="5"/>
  <c r="I29" i="5" s="1"/>
  <c r="F27" i="2"/>
  <c r="G27" i="2"/>
  <c r="H27" i="2" s="1"/>
  <c r="F28" i="2"/>
  <c r="G28" i="2"/>
  <c r="H28" i="2" s="1"/>
  <c r="F30" i="2"/>
  <c r="F49" i="2"/>
  <c r="G30" i="2"/>
  <c r="H30" i="2"/>
  <c r="F39" i="2"/>
  <c r="F37" i="2"/>
  <c r="G37" i="2"/>
  <c r="H37" i="2" s="1"/>
  <c r="G39" i="2"/>
  <c r="H39" i="2" s="1"/>
  <c r="F40" i="2"/>
  <c r="F29" i="2"/>
  <c r="F36" i="2"/>
  <c r="G36" i="2"/>
  <c r="H36" i="2"/>
  <c r="G48" i="2"/>
  <c r="H48" i="2" s="1"/>
  <c r="F46" i="2"/>
  <c r="G40" i="2"/>
  <c r="H40" i="2" s="1"/>
  <c r="F31" i="2"/>
  <c r="G31" i="2"/>
  <c r="H31" i="2" s="1"/>
  <c r="G29" i="2"/>
  <c r="H29" i="2"/>
  <c r="G45" i="2"/>
  <c r="H45" i="2" s="1"/>
  <c r="G46" i="2"/>
  <c r="H46" i="2" s="1"/>
  <c r="G49" i="2"/>
  <c r="H49" i="2" s="1"/>
  <c r="J28" i="5" l="1"/>
  <c r="F48" i="2"/>
  <c r="F45" i="2"/>
</calcChain>
</file>

<file path=xl/sharedStrings.xml><?xml version="1.0" encoding="utf-8"?>
<sst xmlns="http://schemas.openxmlformats.org/spreadsheetml/2006/main" count="266" uniqueCount="62">
  <si>
    <t>E</t>
  </si>
  <si>
    <t>V</t>
  </si>
  <si>
    <t>P</t>
  </si>
  <si>
    <t>Volume Scoping @ 1000 K</t>
  </si>
  <si>
    <t>Lx</t>
  </si>
  <si>
    <t>avg 1st half</t>
  </si>
  <si>
    <t>avg 2nd half</t>
  </si>
  <si>
    <t>diff</t>
  </si>
  <si>
    <t>1000 K</t>
  </si>
  <si>
    <t>scale</t>
  </si>
  <si>
    <t>900 K</t>
  </si>
  <si>
    <t>1100 K</t>
  </si>
  <si>
    <t>800 K</t>
  </si>
  <si>
    <t>Experimental Densities</t>
  </si>
  <si>
    <t>LiCl-80KCl</t>
  </si>
  <si>
    <t>molar mass of LiCl-93KCl</t>
  </si>
  <si>
    <t>g/mol</t>
  </si>
  <si>
    <t>in my system, 200 atoms, 100 molecules</t>
  </si>
  <si>
    <t>V in cc</t>
  </si>
  <si>
    <t>moles</t>
  </si>
  <si>
    <t>total mass</t>
  </si>
  <si>
    <t>density g/cc</t>
  </si>
  <si>
    <t>pressure fit</t>
  </si>
  <si>
    <t>KCl</t>
  </si>
  <si>
    <t>T</t>
  </si>
  <si>
    <t>1200 K</t>
  </si>
  <si>
    <t>density</t>
  </si>
  <si>
    <t>T C</t>
  </si>
  <si>
    <t>LiCl</t>
  </si>
  <si>
    <t>T K</t>
  </si>
  <si>
    <t>fit</t>
  </si>
  <si>
    <t>LiCl Tmelt</t>
  </si>
  <si>
    <t>KCl Tmelt</t>
  </si>
  <si>
    <t>42LiCl-58KCl</t>
  </si>
  <si>
    <t>40 LiCl - 60 KCl</t>
  </si>
  <si>
    <t>70 LiCl - 30 KCl</t>
  </si>
  <si>
    <t>frac KCl</t>
  </si>
  <si>
    <t xml:space="preserve"> rho</t>
  </si>
  <si>
    <t>59 LiCl - 41 KCl</t>
  </si>
  <si>
    <t>82 LiCl - 18 KCl</t>
  </si>
  <si>
    <t>20 LiCl - 80 KCl</t>
  </si>
  <si>
    <t>README:</t>
  </si>
  <si>
    <t>I grabbed the experimental data from my document, made a linear fit vs temperature for the density for each composition</t>
  </si>
  <si>
    <t>I utilized the fit to predict volumes at various temperatures and compositions for comparison to modeling data</t>
  </si>
  <si>
    <t>1050 fit</t>
  </si>
  <si>
    <t>1050 AIMD data</t>
  </si>
  <si>
    <t>molar mass of KCl</t>
  </si>
  <si>
    <t>molar mass of LiCl-80KCl</t>
  </si>
  <si>
    <t>molar mass of LiCl-7KCl</t>
  </si>
  <si>
    <t>LiCl7KCl</t>
  </si>
  <si>
    <t>LiCl20KCl</t>
  </si>
  <si>
    <t>LiCl43KCl</t>
  </si>
  <si>
    <t>LiCl50KCl</t>
  </si>
  <si>
    <t>LiCl60KCl</t>
  </si>
  <si>
    <t>LiCl80KCl</t>
  </si>
  <si>
    <t>LiCl93KCl</t>
  </si>
  <si>
    <t>1000 fit</t>
  </si>
  <si>
    <t>Densities</t>
  </si>
  <si>
    <t>LiCl-18Cl</t>
  </si>
  <si>
    <t>LiCl-30KCl</t>
  </si>
  <si>
    <t>LiCl-41KCl</t>
  </si>
  <si>
    <t>LiCl-60KCl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</si>
</sst>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0215288713910762"/>
                  <c:y val="-1.33085447652376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'old_EXPT data'!$H$38:$H$44</c:f>
              <c:numCache>
                <c:formatCode>0.000</c:formatCode>
                <c:ptCount val="7"/>
                <c:pt idx="0">
                  <c:v>0</c:v>
                </c:pt>
                <c:pt idx="1">
                  <c:v>0.18</c:v>
                </c:pt>
                <c:pt idx="2" formatCode="General">
                  <c:v>0.3</c:v>
                </c:pt>
                <c:pt idx="3" formatCode="General">
                  <c:v>0.41</c:v>
                </c:pt>
                <c:pt idx="4" formatCode="General">
                  <c:v>0.6</c:v>
                </c:pt>
                <c:pt idx="5" formatCode="General">
                  <c:v>0.8</c:v>
                </c:pt>
                <c:pt idx="6" formatCode="General">
                  <c:v>1</c:v>
                </c:pt>
              </c:numCache>
            </c:numRef>
          </c:xVal>
          <c:yVal>
            <c:numRef>
              <c:f>'old_EXPT data'!$L$38:$L$44</c:f>
              <c:numCache>
                <c:formatCode>General</c:formatCode>
                <c:ptCount val="7"/>
                <c:pt idx="0">
                  <c:v>1.448</c:v>
                </c:pt>
                <c:pt idx="1">
                  <c:v>1.478</c:v>
                </c:pt>
                <c:pt idx="2">
                  <c:v>1.4830000000000001</c:v>
                </c:pt>
                <c:pt idx="3">
                  <c:v>1.5029999999999997</c:v>
                </c:pt>
                <c:pt idx="4">
                  <c:v>1.5190000000000001</c:v>
                </c:pt>
                <c:pt idx="5">
                  <c:v>1.5410000000000001</c:v>
                </c:pt>
                <c:pt idx="6">
                  <c:v>1.5479999999999998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3-3F4B-BDEA-FCA1185A7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45952"/>
        <c:axId val="378057088"/>
      </c:scatterChart>
      <c:valAx>
        <c:axId val="378345952"/>
        <c:scaling>
          <c:orientation val="minMax"/>
          <c:max val="1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57088"/>
        <c:crosses val="autoZero"/>
        <c:crossBetween val="midCat"/>
      </c:valAx>
      <c:valAx>
        <c:axId val="37805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'old_EXPT data'!$I$23:$I$25</c:f>
              <c:numCache>
                <c:formatCode>General</c:formatCode>
                <c:ptCount val="3"/>
                <c:pt idx="0">
                  <c:v>728.9</c:v>
                </c:pt>
                <c:pt idx="1">
                  <c:v>789.4</c:v>
                </c:pt>
                <c:pt idx="2">
                  <c:v>875.1</c:v>
                </c:pt>
              </c:numCache>
            </c:numRef>
          </c:xVal>
          <c:yVal>
            <c:numRef>
              <c:f>'old_EXPT data'!$H$23:$H$25</c:f>
              <c:numCache>
                <c:formatCode>General</c:formatCode>
                <c:ptCount val="3"/>
                <c:pt idx="0">
                  <c:v>1.6245000000000001</c:v>
                </c:pt>
                <c:pt idx="1">
                  <c:v>1.5942000000000001</c:v>
                </c:pt>
                <c:pt idx="2">
                  <c:v>1.5504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7-8244-9453-AA9BD04C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45952"/>
        <c:axId val="378057088"/>
      </c:scatterChart>
      <c:valAx>
        <c:axId val="3783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57088"/>
        <c:crosses val="autoZero"/>
        <c:crossBetween val="midCat"/>
      </c:valAx>
      <c:valAx>
        <c:axId val="37805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'old_EXPT data'!$H$47:$H$59</c:f>
              <c:numCache>
                <c:formatCode>General</c:formatCode>
                <c:ptCount val="13"/>
                <c:pt idx="0">
                  <c:v>0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0.93</c:v>
                </c:pt>
                <c:pt idx="12">
                  <c:v>1</c:v>
                </c:pt>
              </c:numCache>
            </c:numRef>
          </c:xVal>
          <c:yVal>
            <c:numRef>
              <c:f>'old_EXPT data'!$I$47:$I$59</c:f>
              <c:numCache>
                <c:formatCode>General</c:formatCode>
                <c:ptCount val="13"/>
                <c:pt idx="0">
                  <c:v>1.4267000000000001</c:v>
                </c:pt>
                <c:pt idx="1">
                  <c:v>1.43588351</c:v>
                </c:pt>
                <c:pt idx="2">
                  <c:v>1.4396990000000001</c:v>
                </c:pt>
                <c:pt idx="3">
                  <c:v>1.4518960000000001</c:v>
                </c:pt>
                <c:pt idx="4">
                  <c:v>1.4632910000000001</c:v>
                </c:pt>
                <c:pt idx="5">
                  <c:v>1.4738840000000002</c:v>
                </c:pt>
                <c:pt idx="6">
                  <c:v>1.4836750000000001</c:v>
                </c:pt>
                <c:pt idx="7">
                  <c:v>1.492664</c:v>
                </c:pt>
                <c:pt idx="8">
                  <c:v>1.5008510000000002</c:v>
                </c:pt>
                <c:pt idx="9">
                  <c:v>1.5082360000000001</c:v>
                </c:pt>
                <c:pt idx="10">
                  <c:v>1.5148190000000001</c:v>
                </c:pt>
                <c:pt idx="11">
                  <c:v>1.51663751</c:v>
                </c:pt>
                <c:pt idx="12">
                  <c:v>1.5206000000000002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45-B54E-A6BE-DCFE49CB1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345952"/>
        <c:axId val="378057088"/>
      </c:scatterChart>
      <c:valAx>
        <c:axId val="378345952"/>
        <c:scaling>
          <c:orientation val="minMax"/>
          <c:max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57088"/>
        <c:crosses val="autoZero"/>
        <c:crossBetween val="midCat"/>
      </c:valAx>
      <c:valAx>
        <c:axId val="378057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3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'Comparison to EXPT'!$B$5:$B$11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0.3</c:v>
                </c:pt>
                <c:pt idx="3">
                  <c:v>0.41</c:v>
                </c:pt>
                <c:pt idx="4">
                  <c:v>0.6</c:v>
                </c:pt>
                <c:pt idx="5">
                  <c:v>0.8</c:v>
                </c:pt>
                <c:pt idx="6">
                  <c:v>1</c:v>
                </c:pt>
              </c:numCache>
            </c:numRef>
          </c:xVal>
          <c:yVal>
            <c:numRef>
              <c:f>'Comparison to EXPT'!$C$5:$C$11</c:f>
              <c:numCache>
                <c:formatCode>General</c:formatCode>
                <c:ptCount val="7"/>
                <c:pt idx="0">
                  <c:v>1.4297600000000001</c:v>
                </c:pt>
                <c:pt idx="1">
                  <c:v>1.4553660000000002</c:v>
                </c:pt>
                <c:pt idx="2">
                  <c:v>1.461751</c:v>
                </c:pt>
                <c:pt idx="3">
                  <c:v>1.4754020000000003</c:v>
                </c:pt>
                <c:pt idx="4">
                  <c:v>1.4875400000000001</c:v>
                </c:pt>
                <c:pt idx="5">
                  <c:v>1.510678</c:v>
                </c:pt>
                <c:pt idx="6">
                  <c:v>1.5236449999999999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C-264C-B01C-0126A945F4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'Comparison to EXPT'!$E$5:$E$12</c:f>
              <c:numCache>
                <c:formatCode>General</c:formatCode>
                <c:ptCount val="8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0.6</c:v>
                </c:pt>
                <c:pt idx="5">
                  <c:v>0.8</c:v>
                </c:pt>
                <c:pt idx="6">
                  <c:v>0.93</c:v>
                </c:pt>
                <c:pt idx="7">
                  <c:v>1</c:v>
                </c:pt>
              </c:numCache>
            </c:numRef>
          </c:xVal>
          <c:yVal>
            <c:numRef>
              <c:f>'Comparison to EXPT'!$F$5:$F$12</c:f>
              <c:numCache>
                <c:formatCode>General</c:formatCode>
                <c:ptCount val="8"/>
                <c:pt idx="0">
                  <c:v>1.3963871898364497</c:v>
                </c:pt>
                <c:pt idx="1">
                  <c:v>1.40997416830744</c:v>
                </c:pt>
                <c:pt idx="2">
                  <c:v>1.4212708005587906</c:v>
                </c:pt>
                <c:pt idx="5">
                  <c:v>1.4790417303313075</c:v>
                </c:pt>
                <c:pt idx="6">
                  <c:v>1.4883139644823382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5C-264C-B01C-0126A945F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1696"/>
        <c:axId val="2026889775"/>
      </c:scatterChart>
      <c:valAx>
        <c:axId val="170911696"/>
        <c:scaling>
          <c:orientation val="minMax"/>
          <c:max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889775"/>
        <c:crosses val="autoZero"/>
        <c:crossBetween val="midCat"/>
      </c:valAx>
      <c:valAx>
        <c:axId val="2026889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'Comparison to EXPT'!$D$21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'Comparison to EXPT'!$E$20:$M$20</c:f>
              <c:numCache>
                <c:formatCode>General</c:formatCode>
                <c:ptCount val="9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0.5</c:v>
                </c:pt>
                <c:pt idx="5">
                  <c:v>0.6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xVal>
          <c:yVal>
            <c:numRef>
              <c:f>'Comparison to EXPT'!$E$21:$M$21</c:f>
              <c:numCache>
                <c:formatCode>General</c:formatCode>
                <c:ptCount val="9"/>
                <c:pt idx="0">
                  <c:v>1.3554642191091975</c:v>
                </c:pt>
                <c:pt idx="1">
                  <c:v>1.3569630946082625</c:v>
                </c:pt>
                <c:pt idx="2">
                  <c:v>1.3755998181638767</c:v>
                </c:pt>
                <c:pt idx="6">
                  <c:v>1.4121813844592011</c:v>
                </c:pt>
                <c:pt idx="7">
                  <c:v>1.4224550193725412</c:v>
                </c:pt>
                <c:pt idx="8">
                  <c:v>1.4400596196160746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FE40-AF3F-A469CA28C4F0}"/>
            </c:ext>
          </c:extLst>
        </c:ser>
        <c:ser>
          <c:idx val="1"/>
          <c:order val="1"/>
          <c:tx>
            <c:strRef>
              <c:f>'Comparison to EXPT'!$D$22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'Comparison to EXPT'!$E$20:$M$20</c:f>
              <c:numCache>
                <c:formatCode>General</c:formatCode>
                <c:ptCount val="9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0.5</c:v>
                </c:pt>
                <c:pt idx="5">
                  <c:v>0.6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xVal>
          <c:yVal>
            <c:numRef>
              <c:f>'Comparison to EXPT'!$E$22:$M$22</c:f>
              <c:numCache>
                <c:formatCode>General</c:formatCode>
                <c:ptCount val="9"/>
                <c:pt idx="0">
                  <c:v>1.3855957618998436</c:v>
                </c:pt>
                <c:pt idx="1">
                  <c:v>1.393175292612818</c:v>
                </c:pt>
                <c:pt idx="2">
                  <c:v>1.3960144785690516</c:v>
                </c:pt>
                <c:pt idx="6">
                  <c:v>1.461408842126388</c:v>
                </c:pt>
                <c:pt idx="7">
                  <c:v>1.473298361518808</c:v>
                </c:pt>
                <c:pt idx="8">
                  <c:v>1.4735406007813858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0-FE40-AF3F-A469CA28C4F0}"/>
            </c:ext>
          </c:extLst>
        </c:ser>
        <c:ser>
          <c:idx val="2"/>
          <c:order val="2"/>
          <c:tx>
            <c:strRef>
              <c:f>'Comparison to EXPT'!$D$23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'Comparison to EXPT'!$E$20:$M$20</c:f>
              <c:numCache>
                <c:formatCode>General</c:formatCode>
                <c:ptCount val="9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0.5</c:v>
                </c:pt>
                <c:pt idx="5">
                  <c:v>0.6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xVal>
          <c:yVal>
            <c:numRef>
              <c:f>'Comparison to EXPT'!$E$23:$M$23</c:f>
              <c:numCache>
                <c:formatCode>General</c:formatCode>
                <c:ptCount val="9"/>
                <c:pt idx="0">
                  <c:v>1.4071786177730559</c:v>
                </c:pt>
                <c:pt idx="1">
                  <c:v>1.4267730440020618</c:v>
                </c:pt>
                <c:pt idx="2">
                  <c:v>1.4465271225485294</c:v>
                </c:pt>
                <c:pt idx="6">
                  <c:v>1.496674618536227</c:v>
                </c:pt>
                <c:pt idx="7">
                  <c:v>1.5033295674458682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0-FE40-AF3F-A469CA28C4F0}"/>
            </c:ext>
          </c:extLst>
        </c:ser>
        <c:ser>
          <c:idx val="3"/>
          <c:order val="3"/>
          <c:tx>
            <c:strRef>
              <c:f>'Comparison to EXPT'!$D$24</c:f>
              <c:strCache>
                <c:ptCount val="1"/>
                <c:pt idx="0">
                  <c:v>900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'Comparison to EXPT'!$E$20:$M$20</c:f>
              <c:numCache>
                <c:formatCode>General</c:formatCode>
                <c:ptCount val="9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0.5</c:v>
                </c:pt>
                <c:pt idx="5">
                  <c:v>0.6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xVal>
          <c:yVal>
            <c:numRef>
              <c:f>'Comparison to EXPT'!$E$24:$M$24</c:f>
              <c:numCache>
                <c:formatCode>General</c:formatCode>
                <c:ptCount val="9"/>
                <c:pt idx="0">
                  <c:v>1.4412631824341864</c:v>
                </c:pt>
                <c:pt idx="1">
                  <c:v>1.4538619366927445</c:v>
                </c:pt>
                <c:pt idx="2">
                  <c:v>1.4796653083978575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0-FE40-AF3F-A469CA28C4F0}"/>
            </c:ext>
          </c:extLst>
        </c:ser>
        <c:ser>
          <c:idx val="4"/>
          <c:order val="4"/>
          <c:tx>
            <c:strRef>
              <c:f>'Comparison to EXPT'!$D$25</c:f>
              <c:strCache>
                <c:ptCount val="1"/>
                <c:pt idx="0">
                  <c:v>800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'Comparison to EXPT'!$E$20:$M$20</c:f>
              <c:numCache>
                <c:formatCode>General</c:formatCode>
                <c:ptCount val="9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0.5</c:v>
                </c:pt>
                <c:pt idx="5">
                  <c:v>0.6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xVal>
          <c:yVal>
            <c:numRef>
              <c:f>'Comparison to EXPT'!$E$25:$M$25</c:f>
              <c:numCache>
                <c:formatCode>General</c:formatCode>
                <c:ptCount val="9"/>
                <c:pt idx="2">
                  <c:v>1.5212384211902188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C0-FE40-AF3F-A469CA28C4F0}"/>
            </c:ext>
          </c:extLst>
        </c:ser>
        <c:ser>
          <c:idx val="5"/>
          <c:order val="5"/>
          <c:tx>
            <c:strRef>
              <c:f>'Comparison to EXPT'!$D$26</c:f>
              <c:strCache>
                <c:ptCount val="1"/>
                <c:pt idx="0">
                  <c:v>700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'Comparison to EXPT'!$E$20:$M$20</c:f>
              <c:numCache>
                <c:formatCode>General</c:formatCode>
                <c:ptCount val="9"/>
                <c:pt idx="0">
                  <c:v>0</c:v>
                </c:pt>
                <c:pt idx="1">
                  <c:v>7.0000000000000007E-2</c:v>
                </c:pt>
                <c:pt idx="2">
                  <c:v>0.2</c:v>
                </c:pt>
                <c:pt idx="3">
                  <c:v>0.43</c:v>
                </c:pt>
                <c:pt idx="4">
                  <c:v>0.5</c:v>
                </c:pt>
                <c:pt idx="5">
                  <c:v>0.6</c:v>
                </c:pt>
                <c:pt idx="6">
                  <c:v>0.8</c:v>
                </c:pt>
                <c:pt idx="7">
                  <c:v>0.93</c:v>
                </c:pt>
                <c:pt idx="8">
                  <c:v>1</c:v>
                </c:pt>
              </c:numCache>
            </c:numRef>
          </c:xVal>
          <c:yVal>
            <c:numRef>
              <c:f>'Comparison to EXPT'!$E$26:$M$26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C0-FE40-AF3F-A469CA28C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239136"/>
        <c:axId val="348272400"/>
      </c:scatterChart>
      <c:valAx>
        <c:axId val="642239136"/>
        <c:scaling>
          <c:orientation val="minMax"/>
          <c:max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272400"/>
        <c:crosses val="autoZero"/>
        <c:crossBetween val="midCat"/>
      </c:valAx>
      <c:valAx>
        <c:axId val="34827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43</xdr:row>
      <xdr:rowOff>38100</xdr:rowOff>
    </xdr:from>
    <xdr:to>
      <xdr:col>6</xdr:col>
      <xdr:colOff>247650</xdr:colOff>
      <xdr:row>56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00F2A-7C3E-7A49-AA3B-70DC108DE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29</xdr:row>
      <xdr:rowOff>0</xdr:rowOff>
    </xdr:from>
    <xdr:to>
      <xdr:col>6</xdr:col>
      <xdr:colOff>254000</xdr:colOff>
      <xdr:row>42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DF793-FF47-284F-A57F-E011A8535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215900</xdr:colOff>
      <xdr:row>46</xdr:row>
      <xdr:rowOff>139700</xdr:rowOff>
    </xdr:from>
    <xdr:to>
      <xdr:col>18</xdr:col>
      <xdr:colOff>660400</xdr:colOff>
      <xdr:row>60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6F7B10-EC40-CA4A-ACAF-8BD4BACAD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0</xdr:rowOff>
    </xdr:from>
    <xdr:to>
      <xdr:col>12</xdr:col>
      <xdr:colOff>520700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9A3D0-5B74-E84B-A14F-3F7080919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8</xdr:row>
      <xdr:rowOff>63500</xdr:rowOff>
    </xdr:from>
    <xdr:to>
      <xdr:col>26</xdr:col>
      <xdr:colOff>76200</xdr:colOff>
      <xdr:row>39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6DA633-3080-704E-8FB5-9F085B6CB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039-2924-EC41-A65E-CE77DF74FA88}">
  <dimension ref="A2:K2008"/>
  <sheetViews>
    <sheetView topLeftCell="A11" workbookViewId="0">
      <selection activeCell="J36" activeCellId="1" sqref="J28 J36"/>
    </sheetView>
  </sheetViews>
  <sheetFormatPr baseColWidth="10" defaultRowHeight="16" x14ac:dyDescent="0.2"/>
  <cols>
    <col min="10" max="10" width="12.1640625" bestFit="1" customWidth="1"/>
  </cols>
  <sheetData>
    <row r="2" spans="2:10" x14ac:dyDescent="0.2">
      <c r="C2" t="s">
        <v>3</v>
      </c>
    </row>
    <row r="3" spans="2:10" x14ac:dyDescent="0.2">
      <c r="D3" t="s">
        <v>0</v>
      </c>
      <c r="E3" t="s">
        <v>2</v>
      </c>
      <c r="F3" t="s">
        <v>1</v>
      </c>
      <c r="G3" t="s">
        <v>4</v>
      </c>
    </row>
    <row r="4" spans="2:10" x14ac:dyDescent="0.2">
      <c r="B4" s="1"/>
      <c r="C4">
        <v>0.9</v>
      </c>
      <c r="F4">
        <v>3632.26</v>
      </c>
      <c r="G4">
        <f>F4^(1/3)</f>
        <v>15.371832471498855</v>
      </c>
    </row>
    <row r="5" spans="2:10" x14ac:dyDescent="0.2">
      <c r="B5" s="1"/>
      <c r="C5">
        <v>0.95</v>
      </c>
      <c r="F5">
        <f>F4*(C5/C4)^3</f>
        <v>4271.8915192043896</v>
      </c>
      <c r="G5">
        <f>F5^(1/3)</f>
        <v>16.225823164359909</v>
      </c>
    </row>
    <row r="6" spans="2:10" x14ac:dyDescent="0.2">
      <c r="B6" s="1"/>
      <c r="C6">
        <v>1</v>
      </c>
      <c r="F6">
        <f>F5*(C6/C5)^3</f>
        <v>4982.5240054869673</v>
      </c>
      <c r="G6">
        <f>F6^(1/3)</f>
        <v>17.079813857220952</v>
      </c>
    </row>
    <row r="7" spans="2:10" x14ac:dyDescent="0.2">
      <c r="B7" s="1"/>
      <c r="C7">
        <v>1.05</v>
      </c>
      <c r="F7">
        <f>F6*(C7/C6)^3</f>
        <v>5767.8943518518508</v>
      </c>
      <c r="G7">
        <f>F7^(1/3)</f>
        <v>17.933804550082002</v>
      </c>
    </row>
    <row r="8" spans="2:10" x14ac:dyDescent="0.2">
      <c r="B8" s="1"/>
      <c r="C8">
        <v>1.1000000000000001</v>
      </c>
      <c r="F8">
        <f>F7*(C8/C7)^3</f>
        <v>6631.739451303155</v>
      </c>
      <c r="G8">
        <f>F8^(1/3)</f>
        <v>18.787795242943051</v>
      </c>
    </row>
    <row r="9" spans="2:10" x14ac:dyDescent="0.2">
      <c r="B9" s="1"/>
    </row>
    <row r="10" spans="2:10" x14ac:dyDescent="0.2">
      <c r="B10" s="1"/>
      <c r="I10" t="s">
        <v>48</v>
      </c>
    </row>
    <row r="11" spans="2:10" x14ac:dyDescent="0.2">
      <c r="B11" s="1"/>
      <c r="I11">
        <v>42.5</v>
      </c>
      <c r="J11" t="s">
        <v>16</v>
      </c>
    </row>
    <row r="12" spans="2:10" x14ac:dyDescent="0.2">
      <c r="B12" s="1"/>
    </row>
    <row r="13" spans="2:10" x14ac:dyDescent="0.2">
      <c r="B13" s="1"/>
      <c r="I13" t="s">
        <v>17</v>
      </c>
    </row>
    <row r="14" spans="2:10" x14ac:dyDescent="0.2">
      <c r="B14" s="1"/>
      <c r="I14" t="s">
        <v>19</v>
      </c>
      <c r="J14">
        <f>100/(6.022E+23)</f>
        <v>1.6605778811026237E-22</v>
      </c>
    </row>
    <row r="15" spans="2:10" x14ac:dyDescent="0.2">
      <c r="B15" s="1"/>
      <c r="I15" t="s">
        <v>20</v>
      </c>
      <c r="J15">
        <f>J14*I11</f>
        <v>7.0574559946861507E-21</v>
      </c>
    </row>
    <row r="16" spans="2:10" x14ac:dyDescent="0.2">
      <c r="B16" s="1"/>
    </row>
    <row r="17" spans="2:11" x14ac:dyDescent="0.2">
      <c r="B17" s="1"/>
    </row>
    <row r="18" spans="2:11" x14ac:dyDescent="0.2">
      <c r="B18" s="1"/>
    </row>
    <row r="19" spans="2:11" x14ac:dyDescent="0.2">
      <c r="B19" s="1"/>
    </row>
    <row r="20" spans="2:11" x14ac:dyDescent="0.2">
      <c r="B20" s="1"/>
    </row>
    <row r="21" spans="2:11" x14ac:dyDescent="0.2">
      <c r="B21" s="1"/>
    </row>
    <row r="22" spans="2:11" x14ac:dyDescent="0.2">
      <c r="B22" s="1"/>
    </row>
    <row r="23" spans="2:11" x14ac:dyDescent="0.2">
      <c r="B23" s="1"/>
      <c r="C23" t="s">
        <v>25</v>
      </c>
    </row>
    <row r="24" spans="2:11" x14ac:dyDescent="0.2">
      <c r="B24" s="1"/>
    </row>
    <row r="25" spans="2:11" x14ac:dyDescent="0.2">
      <c r="B25" s="1"/>
      <c r="C25" t="s">
        <v>9</v>
      </c>
      <c r="F25" t="s">
        <v>1</v>
      </c>
      <c r="G25" t="s">
        <v>4</v>
      </c>
      <c r="H25" t="s">
        <v>18</v>
      </c>
      <c r="I25" t="s">
        <v>21</v>
      </c>
      <c r="K25" t="s">
        <v>22</v>
      </c>
    </row>
    <row r="26" spans="2:11" x14ac:dyDescent="0.2">
      <c r="B26" s="1"/>
      <c r="C26">
        <v>0.95</v>
      </c>
      <c r="D26">
        <v>-481.649769463334</v>
      </c>
      <c r="E26">
        <v>16.749376666666699</v>
      </c>
      <c r="F26">
        <v>4377.82</v>
      </c>
      <c r="G26">
        <f>F26^(1/3)</f>
        <v>16.358844855999866</v>
      </c>
      <c r="H26" s="7">
        <f>F26*(10^-24)</f>
        <v>4.3778200000000004E-21</v>
      </c>
      <c r="I26" s="6">
        <f>$J$15/H26</f>
        <v>1.6120936892531328</v>
      </c>
    </row>
    <row r="27" spans="2:11" x14ac:dyDescent="0.2">
      <c r="B27" s="1"/>
      <c r="C27">
        <v>0.97499999999999998</v>
      </c>
      <c r="D27">
        <v>-479.54476739</v>
      </c>
      <c r="E27">
        <v>7.45845</v>
      </c>
      <c r="F27">
        <f>F$26*(C27/C$26)^3</f>
        <v>4732.6123447295531</v>
      </c>
      <c r="G27">
        <f>F27^(1/3)</f>
        <v>16.789340773263014</v>
      </c>
      <c r="H27" s="7">
        <f t="shared" ref="H27:H29" si="0">F27*(10^-24)</f>
        <v>4.7326123447295537E-21</v>
      </c>
      <c r="I27" s="6">
        <f t="shared" ref="I27:I30" si="1">$J$15/H27</f>
        <v>1.4912389776749084</v>
      </c>
    </row>
    <row r="28" spans="2:11" x14ac:dyDescent="0.2">
      <c r="B28" s="1"/>
      <c r="C28">
        <v>1</v>
      </c>
      <c r="D28">
        <v>-476.63523665000002</v>
      </c>
      <c r="E28">
        <v>0.989696666666667</v>
      </c>
      <c r="F28">
        <f t="shared" ref="F28:F30" si="2">F$26*(C28/C$26)^3</f>
        <v>5106.0737716868334</v>
      </c>
      <c r="G28">
        <f>F28^(1/3)</f>
        <v>17.219836690526169</v>
      </c>
      <c r="H28" s="7">
        <f>F28*(10^-24)</f>
        <v>5.1060737716868336E-21</v>
      </c>
      <c r="I28" s="6">
        <f t="shared" si="1"/>
        <v>1.3821688268234051</v>
      </c>
      <c r="J28">
        <f>(I28-I29)/(E28-E29)*(0-E29)+I29</f>
        <v>1.3554642191091975</v>
      </c>
    </row>
    <row r="29" spans="2:11" x14ac:dyDescent="0.2">
      <c r="B29" s="1"/>
      <c r="C29">
        <v>1.0249999999999999</v>
      </c>
      <c r="D29">
        <v>-473.45596922666698</v>
      </c>
      <c r="E29">
        <v>-2.6677566666666701</v>
      </c>
      <c r="F29">
        <f t="shared" si="2"/>
        <v>5498.682975287943</v>
      </c>
      <c r="G29">
        <f>F29^(1/3)</f>
        <v>17.650332607789327</v>
      </c>
      <c r="H29" s="7">
        <f t="shared" si="0"/>
        <v>5.4986829752879433E-21</v>
      </c>
      <c r="I29" s="6">
        <f t="shared" si="1"/>
        <v>1.2834811583798538</v>
      </c>
    </row>
    <row r="30" spans="2:11" x14ac:dyDescent="0.2">
      <c r="B30" s="1"/>
      <c r="C30">
        <v>1.05</v>
      </c>
      <c r="D30">
        <v>-469.72487954333297</v>
      </c>
      <c r="E30">
        <v>-4.1498600000000003</v>
      </c>
      <c r="F30">
        <f t="shared" si="2"/>
        <v>5910.9186499489733</v>
      </c>
      <c r="G30">
        <f>F30^(1/3)</f>
        <v>18.080828525052482</v>
      </c>
      <c r="H30" s="7">
        <f>F30*(10^-24)</f>
        <v>5.9109186499489737E-21</v>
      </c>
      <c r="I30" s="6">
        <f t="shared" si="1"/>
        <v>1.1939694001281975</v>
      </c>
    </row>
    <row r="31" spans="2:11" x14ac:dyDescent="0.2">
      <c r="B31" s="1"/>
    </row>
    <row r="32" spans="2:11" x14ac:dyDescent="0.2">
      <c r="B32" s="1"/>
      <c r="C32" t="s">
        <v>11</v>
      </c>
    </row>
    <row r="33" spans="2:11" x14ac:dyDescent="0.2">
      <c r="B33" s="1"/>
    </row>
    <row r="34" spans="2:11" x14ac:dyDescent="0.2">
      <c r="B34" s="1"/>
      <c r="C34" t="s">
        <v>9</v>
      </c>
      <c r="F34" t="s">
        <v>1</v>
      </c>
      <c r="G34" t="s">
        <v>4</v>
      </c>
      <c r="H34" t="s">
        <v>18</v>
      </c>
      <c r="I34" t="s">
        <v>21</v>
      </c>
      <c r="K34" t="s">
        <v>22</v>
      </c>
    </row>
    <row r="35" spans="2:11" x14ac:dyDescent="0.2">
      <c r="B35" s="1"/>
      <c r="C35">
        <v>0.95</v>
      </c>
      <c r="D35">
        <v>-484.44155663333299</v>
      </c>
      <c r="E35">
        <v>14.512323333333301</v>
      </c>
      <c r="F35">
        <v>4377.82</v>
      </c>
      <c r="G35">
        <f>F35^(1/3)</f>
        <v>16.358844855999866</v>
      </c>
      <c r="H35" s="7">
        <f>F35*(10^-24)</f>
        <v>4.3778200000000004E-21</v>
      </c>
      <c r="I35" s="6">
        <f>$J$15/H35</f>
        <v>1.6120936892531328</v>
      </c>
    </row>
    <row r="36" spans="2:11" x14ac:dyDescent="0.2">
      <c r="B36" s="1"/>
      <c r="C36">
        <v>0.97499999999999998</v>
      </c>
      <c r="D36">
        <v>-482.75405390333299</v>
      </c>
      <c r="E36">
        <v>5.4204699999999999</v>
      </c>
      <c r="F36">
        <f>F$26*(C36/C$26)^3</f>
        <v>4732.6123447295531</v>
      </c>
      <c r="G36">
        <f>F36^(1/3)</f>
        <v>16.789340773263014</v>
      </c>
      <c r="H36" s="7">
        <f t="shared" ref="H36" si="3">F36*(10^-24)</f>
        <v>4.7326123447295537E-21</v>
      </c>
      <c r="I36" s="6">
        <f t="shared" ref="I36:I39" si="4">$J$15/H36</f>
        <v>1.4912389776749084</v>
      </c>
      <c r="J36">
        <f>(I36-I37)/(E36-E37)*(0-E37)+I37</f>
        <v>1.3855957618998436</v>
      </c>
    </row>
    <row r="37" spans="2:11" x14ac:dyDescent="0.2">
      <c r="B37" s="1"/>
      <c r="C37">
        <v>1</v>
      </c>
      <c r="D37">
        <v>-479.63950836999999</v>
      </c>
      <c r="E37">
        <v>-0.17583333333333301</v>
      </c>
      <c r="F37">
        <f t="shared" ref="F37:F39" si="5">F$26*(C37/C$26)^3</f>
        <v>5106.0737716868334</v>
      </c>
      <c r="G37">
        <f>F37^(1/3)</f>
        <v>17.219836690526169</v>
      </c>
      <c r="H37" s="7">
        <f>F37*(10^-24)</f>
        <v>5.1060737716868336E-21</v>
      </c>
      <c r="I37" s="6">
        <f t="shared" si="4"/>
        <v>1.3821688268234051</v>
      </c>
    </row>
    <row r="38" spans="2:11" x14ac:dyDescent="0.2">
      <c r="B38" s="1"/>
      <c r="C38">
        <v>1.0249999999999999</v>
      </c>
      <c r="D38">
        <v>-476.05699977</v>
      </c>
      <c r="E38">
        <v>-3.2005300000000001</v>
      </c>
      <c r="F38">
        <f t="shared" si="5"/>
        <v>5498.682975287943</v>
      </c>
      <c r="G38">
        <f>F38^(1/3)</f>
        <v>17.650332607789327</v>
      </c>
      <c r="H38" s="7">
        <f t="shared" ref="H38" si="6">F38*(10^-24)</f>
        <v>5.4986829752879433E-21</v>
      </c>
      <c r="I38" s="6">
        <f t="shared" si="4"/>
        <v>1.2834811583798538</v>
      </c>
    </row>
    <row r="39" spans="2:11" x14ac:dyDescent="0.2">
      <c r="B39" s="1"/>
      <c r="C39">
        <v>1.05</v>
      </c>
      <c r="D39">
        <v>-473.00479970333402</v>
      </c>
      <c r="E39">
        <v>-4.9652933333333404</v>
      </c>
      <c r="F39">
        <f t="shared" si="5"/>
        <v>5910.9186499489733</v>
      </c>
      <c r="G39">
        <f>F39^(1/3)</f>
        <v>18.080828525052482</v>
      </c>
      <c r="H39" s="7">
        <f>F39*(10^-24)</f>
        <v>5.9109186499489737E-21</v>
      </c>
      <c r="I39" s="6">
        <f t="shared" si="4"/>
        <v>1.1939694001281975</v>
      </c>
    </row>
    <row r="40" spans="2:11" x14ac:dyDescent="0.2">
      <c r="B40" s="1"/>
    </row>
    <row r="41" spans="2:11" x14ac:dyDescent="0.2">
      <c r="B41" s="1"/>
      <c r="C41" t="s">
        <v>8</v>
      </c>
    </row>
    <row r="42" spans="2:11" x14ac:dyDescent="0.2">
      <c r="B42" s="1"/>
    </row>
    <row r="43" spans="2:11" x14ac:dyDescent="0.2">
      <c r="B43" s="1"/>
      <c r="C43" t="s">
        <v>9</v>
      </c>
      <c r="F43" t="s">
        <v>1</v>
      </c>
      <c r="G43" t="s">
        <v>4</v>
      </c>
      <c r="H43" t="s">
        <v>18</v>
      </c>
      <c r="I43" t="s">
        <v>21</v>
      </c>
      <c r="K43" t="s">
        <v>22</v>
      </c>
    </row>
    <row r="44" spans="2:11" x14ac:dyDescent="0.2">
      <c r="B44" s="1"/>
      <c r="C44">
        <v>0.95</v>
      </c>
      <c r="D44">
        <v>-487.37555206000002</v>
      </c>
      <c r="E44">
        <v>13.0688733333333</v>
      </c>
      <c r="F44">
        <v>4377.82</v>
      </c>
      <c r="G44">
        <f>F44^(1/3)</f>
        <v>16.358844855999866</v>
      </c>
      <c r="H44" s="7">
        <f>F44*(10^-24)</f>
        <v>4.3778200000000004E-21</v>
      </c>
      <c r="I44" s="6">
        <f>$J$15/H44</f>
        <v>1.6120936892531328</v>
      </c>
    </row>
    <row r="45" spans="2:11" x14ac:dyDescent="0.2">
      <c r="B45" s="1"/>
      <c r="C45">
        <v>0.97499999999999998</v>
      </c>
      <c r="D45">
        <v>-485.16118743999999</v>
      </c>
      <c r="E45">
        <v>4.2453133333333399</v>
      </c>
      <c r="F45">
        <f>F$26*(C45/C$26)^3</f>
        <v>4732.6123447295531</v>
      </c>
      <c r="G45">
        <f>F45^(1/3)</f>
        <v>16.789340773263014</v>
      </c>
      <c r="H45" s="7">
        <f t="shared" ref="H45" si="7">F45*(10^-24)</f>
        <v>4.7326123447295537E-21</v>
      </c>
      <c r="I45" s="6">
        <f t="shared" ref="I45:I48" si="8">$J$15/H45</f>
        <v>1.4912389776749084</v>
      </c>
      <c r="J45">
        <f>(I45-I46)/(E45-E46)*(0-E46)+I46</f>
        <v>1.4071786177730559</v>
      </c>
    </row>
    <row r="46" spans="2:11" x14ac:dyDescent="0.2">
      <c r="B46" s="1"/>
      <c r="C46">
        <v>1</v>
      </c>
      <c r="D46">
        <v>-482.40773031999998</v>
      </c>
      <c r="E46">
        <v>-1.2630733333333299</v>
      </c>
      <c r="F46">
        <f t="shared" ref="F46:F48" si="9">F$26*(C46/C$26)^3</f>
        <v>5106.0737716868334</v>
      </c>
      <c r="G46">
        <f>F46^(1/3)</f>
        <v>17.219836690526169</v>
      </c>
      <c r="H46" s="7">
        <f>F46*(10^-24)</f>
        <v>5.1060737716868336E-21</v>
      </c>
      <c r="I46" s="6">
        <f t="shared" si="8"/>
        <v>1.3821688268234051</v>
      </c>
    </row>
    <row r="47" spans="2:11" x14ac:dyDescent="0.2">
      <c r="B47" s="1"/>
      <c r="C47">
        <v>1.0249999999999999</v>
      </c>
      <c r="D47">
        <v>-479.04487392333402</v>
      </c>
      <c r="E47">
        <v>-4.07796</v>
      </c>
      <c r="F47">
        <f t="shared" si="9"/>
        <v>5498.682975287943</v>
      </c>
      <c r="G47">
        <f>F47^(1/3)</f>
        <v>17.650332607789327</v>
      </c>
      <c r="H47" s="7">
        <f t="shared" ref="H47" si="10">F47*(10^-24)</f>
        <v>5.4986829752879433E-21</v>
      </c>
      <c r="I47" s="6">
        <f t="shared" si="8"/>
        <v>1.2834811583798538</v>
      </c>
    </row>
    <row r="48" spans="2:11" x14ac:dyDescent="0.2">
      <c r="B48" s="1"/>
      <c r="C48">
        <v>1.05</v>
      </c>
      <c r="D48">
        <v>-476.03203625666703</v>
      </c>
      <c r="E48">
        <v>-5.5761399999999997</v>
      </c>
      <c r="F48">
        <f t="shared" si="9"/>
        <v>5910.9186499489733</v>
      </c>
      <c r="G48">
        <f>F48^(1/3)</f>
        <v>18.080828525052482</v>
      </c>
      <c r="H48" s="7">
        <f>F48*(10^-24)</f>
        <v>5.9109186499489737E-21</v>
      </c>
      <c r="I48" s="6">
        <f t="shared" si="8"/>
        <v>1.1939694001281975</v>
      </c>
    </row>
    <row r="49" spans="2:11" x14ac:dyDescent="0.2">
      <c r="B49" s="1"/>
    </row>
    <row r="50" spans="2:11" x14ac:dyDescent="0.2">
      <c r="B50" s="1"/>
      <c r="C50" t="s">
        <v>10</v>
      </c>
    </row>
    <row r="51" spans="2:11" x14ac:dyDescent="0.2">
      <c r="B51" s="1"/>
    </row>
    <row r="52" spans="2:11" x14ac:dyDescent="0.2">
      <c r="B52" s="1"/>
      <c r="C52" t="s">
        <v>9</v>
      </c>
      <c r="F52" t="s">
        <v>1</v>
      </c>
      <c r="G52" t="s">
        <v>4</v>
      </c>
      <c r="H52" t="s">
        <v>18</v>
      </c>
      <c r="I52" t="s">
        <v>21</v>
      </c>
      <c r="K52" t="s">
        <v>22</v>
      </c>
    </row>
    <row r="53" spans="2:11" x14ac:dyDescent="0.2">
      <c r="B53" s="1"/>
      <c r="C53">
        <v>0.95</v>
      </c>
      <c r="D53">
        <v>-489.851909506666</v>
      </c>
      <c r="E53">
        <v>10.426349999999999</v>
      </c>
      <c r="F53">
        <v>4377.82</v>
      </c>
      <c r="G53">
        <f>F53^(1/3)</f>
        <v>16.358844855999866</v>
      </c>
      <c r="H53" s="7">
        <f>F53*(10^-24)</f>
        <v>4.3778200000000004E-21</v>
      </c>
      <c r="I53" s="6">
        <f>$J$15/H53</f>
        <v>1.6120936892531328</v>
      </c>
    </row>
    <row r="54" spans="2:11" x14ac:dyDescent="0.2">
      <c r="B54" s="1"/>
      <c r="C54">
        <v>0.97499999999999998</v>
      </c>
      <c r="D54">
        <v>-488.50269005666701</v>
      </c>
      <c r="E54">
        <v>2.14981</v>
      </c>
      <c r="F54">
        <f>F$26*(C54/C$26)^3</f>
        <v>4732.6123447295531</v>
      </c>
      <c r="G54">
        <f>F54^(1/3)</f>
        <v>16.789340773263014</v>
      </c>
      <c r="H54" s="7">
        <f t="shared" ref="H54" si="11">F54*(10^-24)</f>
        <v>4.7326123447295537E-21</v>
      </c>
      <c r="I54" s="6">
        <f t="shared" ref="I54:I57" si="12">$J$15/H54</f>
        <v>1.4912389776749084</v>
      </c>
      <c r="J54">
        <f>(I54-I55)/(E54-E55)*(0-E55)+I55</f>
        <v>1.4412631824341864</v>
      </c>
    </row>
    <row r="55" spans="2:11" x14ac:dyDescent="0.2">
      <c r="B55" s="1"/>
      <c r="C55">
        <v>1</v>
      </c>
      <c r="D55">
        <v>-485.02305975666599</v>
      </c>
      <c r="E55">
        <v>-2.54206333333333</v>
      </c>
      <c r="F55">
        <f t="shared" ref="F55:F57" si="13">F$26*(C55/C$26)^3</f>
        <v>5106.0737716868334</v>
      </c>
      <c r="G55">
        <f>F55^(1/3)</f>
        <v>17.219836690526169</v>
      </c>
      <c r="H55" s="7">
        <f>F55*(10^-24)</f>
        <v>5.1060737716868336E-21</v>
      </c>
      <c r="I55" s="6">
        <f t="shared" si="12"/>
        <v>1.3821688268234051</v>
      </c>
    </row>
    <row r="56" spans="2:11" x14ac:dyDescent="0.2">
      <c r="B56" s="1"/>
      <c r="C56">
        <v>1.0249999999999999</v>
      </c>
      <c r="D56">
        <v>-481.958703206667</v>
      </c>
      <c r="E56">
        <v>-5.6100366666666703</v>
      </c>
      <c r="F56">
        <f t="shared" si="13"/>
        <v>5498.682975287943</v>
      </c>
      <c r="G56">
        <f>F56^(1/3)</f>
        <v>17.650332607789327</v>
      </c>
      <c r="H56" s="7">
        <f t="shared" ref="H56" si="14">F56*(10^-24)</f>
        <v>5.4986829752879433E-21</v>
      </c>
      <c r="I56" s="6">
        <f t="shared" si="12"/>
        <v>1.2834811583798538</v>
      </c>
    </row>
    <row r="57" spans="2:11" x14ac:dyDescent="0.2">
      <c r="B57" s="1"/>
      <c r="C57">
        <v>1.05</v>
      </c>
      <c r="D57">
        <v>-478.83871928666701</v>
      </c>
      <c r="E57">
        <v>-6.3764000000000003</v>
      </c>
      <c r="F57">
        <f t="shared" si="13"/>
        <v>5910.9186499489733</v>
      </c>
      <c r="G57">
        <f>F57^(1/3)</f>
        <v>18.080828525052482</v>
      </c>
      <c r="H57" s="7">
        <f>F57*(10^-24)</f>
        <v>5.9109186499489737E-21</v>
      </c>
      <c r="I57" s="6">
        <f t="shared" si="12"/>
        <v>1.1939694001281975</v>
      </c>
    </row>
    <row r="58" spans="2:11" x14ac:dyDescent="0.2">
      <c r="B58" s="1"/>
    </row>
    <row r="59" spans="2:11" x14ac:dyDescent="0.2">
      <c r="B59" s="1"/>
    </row>
    <row r="60" spans="2:11" x14ac:dyDescent="0.2">
      <c r="B60" s="1"/>
    </row>
    <row r="61" spans="2:11" x14ac:dyDescent="0.2">
      <c r="B61" s="1"/>
    </row>
    <row r="62" spans="2:11" x14ac:dyDescent="0.2">
      <c r="B62" s="1"/>
    </row>
    <row r="63" spans="2:11" x14ac:dyDescent="0.2">
      <c r="B63" s="1"/>
    </row>
    <row r="64" spans="2:11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1:2" x14ac:dyDescent="0.2">
      <c r="B2001" s="1"/>
    </row>
    <row r="2002" spans="1:2" x14ac:dyDescent="0.2">
      <c r="B2002" s="1"/>
    </row>
    <row r="2003" spans="1:2" x14ac:dyDescent="0.2">
      <c r="B2003" s="1"/>
    </row>
    <row r="2005" spans="1:2" x14ac:dyDescent="0.2">
      <c r="A2005" t="s">
        <v>5</v>
      </c>
      <c r="B2005" t="s">
        <v>5</v>
      </c>
    </row>
    <row r="2006" spans="1:2" x14ac:dyDescent="0.2">
      <c r="A2006" t="s">
        <v>6</v>
      </c>
      <c r="B2006" t="s">
        <v>6</v>
      </c>
    </row>
    <row r="2008" spans="1:2" x14ac:dyDescent="0.2">
      <c r="A2008" t="s">
        <v>7</v>
      </c>
      <c r="B200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507D-2C89-784E-B317-23212F19E24D}">
  <dimension ref="A2:L2006"/>
  <sheetViews>
    <sheetView topLeftCell="A8" workbookViewId="0">
      <selection activeCell="I49" activeCellId="3" sqref="I23 I31 I40 I49"/>
    </sheetView>
  </sheetViews>
  <sheetFormatPr baseColWidth="10" defaultRowHeight="16" x14ac:dyDescent="0.2"/>
  <sheetData>
    <row r="2" spans="1:12" x14ac:dyDescent="0.2">
      <c r="B2" t="s">
        <v>3</v>
      </c>
    </row>
    <row r="3" spans="1:12" x14ac:dyDescent="0.2">
      <c r="C3" t="s">
        <v>0</v>
      </c>
      <c r="D3" t="s">
        <v>2</v>
      </c>
      <c r="E3" t="s">
        <v>1</v>
      </c>
      <c r="F3" t="s">
        <v>4</v>
      </c>
    </row>
    <row r="4" spans="1:12" x14ac:dyDescent="0.2">
      <c r="A4" s="1"/>
      <c r="B4">
        <v>0.9</v>
      </c>
      <c r="C4">
        <v>-726.22187380999901</v>
      </c>
      <c r="D4">
        <v>22.152660000000001</v>
      </c>
      <c r="E4">
        <v>4028.66</v>
      </c>
      <c r="F4">
        <f>E4^(1/3)</f>
        <v>15.911832759339967</v>
      </c>
    </row>
    <row r="5" spans="1:12" x14ac:dyDescent="0.2">
      <c r="A5" s="1"/>
      <c r="B5">
        <v>0.95</v>
      </c>
      <c r="C5">
        <v>-721.41965396000001</v>
      </c>
      <c r="D5">
        <v>2.58528</v>
      </c>
      <c r="E5">
        <f>E4*(B5/B4)^3</f>
        <v>4738.0965260631001</v>
      </c>
      <c r="F5">
        <f>E5^(1/3)</f>
        <v>16.795823468192186</v>
      </c>
    </row>
    <row r="6" spans="1:12" x14ac:dyDescent="0.2">
      <c r="A6" s="1"/>
      <c r="B6">
        <v>1</v>
      </c>
      <c r="C6">
        <v>-713.63328465999996</v>
      </c>
      <c r="D6">
        <v>-4.5637999999999996</v>
      </c>
      <c r="E6">
        <f>E5*(B6/B5)^3</f>
        <v>5526.2825788751697</v>
      </c>
      <c r="F6">
        <f>E6^(1/3)</f>
        <v>17.679814177044399</v>
      </c>
    </row>
    <row r="7" spans="1:12" x14ac:dyDescent="0.2">
      <c r="A7" s="1"/>
      <c r="B7">
        <v>1.05</v>
      </c>
      <c r="C7">
        <v>-706.89757035000002</v>
      </c>
      <c r="D7">
        <v>-5.4013300000000104</v>
      </c>
      <c r="E7">
        <f>E6*(B7/B6)^3</f>
        <v>6397.3628703703689</v>
      </c>
      <c r="F7">
        <f>E7^(1/3)</f>
        <v>18.563804885896623</v>
      </c>
    </row>
    <row r="8" spans="1:12" x14ac:dyDescent="0.2">
      <c r="A8" s="1"/>
      <c r="B8">
        <v>1.1000000000000001</v>
      </c>
      <c r="C8">
        <v>-703.88710820000097</v>
      </c>
      <c r="D8">
        <v>-5.0579999999999998</v>
      </c>
      <c r="E8">
        <f>E7*(B8/B7)^3</f>
        <v>7355.4821124828532</v>
      </c>
      <c r="F8">
        <f>E8^(1/3)</f>
        <v>19.447795594748847</v>
      </c>
    </row>
    <row r="9" spans="1:12" x14ac:dyDescent="0.2">
      <c r="A9" s="1"/>
    </row>
    <row r="10" spans="1:12" x14ac:dyDescent="0.2">
      <c r="A10" s="1"/>
    </row>
    <row r="11" spans="1:12" x14ac:dyDescent="0.2">
      <c r="A11" s="1"/>
      <c r="K11" t="s">
        <v>48</v>
      </c>
    </row>
    <row r="12" spans="1:12" x14ac:dyDescent="0.2">
      <c r="A12" s="1"/>
      <c r="K12">
        <v>44.74</v>
      </c>
      <c r="L12" t="s">
        <v>16</v>
      </c>
    </row>
    <row r="13" spans="1:12" x14ac:dyDescent="0.2">
      <c r="A13" s="1"/>
    </row>
    <row r="14" spans="1:12" x14ac:dyDescent="0.2">
      <c r="A14" s="1"/>
      <c r="K14" t="s">
        <v>17</v>
      </c>
    </row>
    <row r="15" spans="1:12" x14ac:dyDescent="0.2">
      <c r="A15" s="1"/>
      <c r="K15" t="s">
        <v>19</v>
      </c>
      <c r="L15">
        <f>100/(6.022E+23)</f>
        <v>1.6605778811026237E-22</v>
      </c>
    </row>
    <row r="16" spans="1:12" x14ac:dyDescent="0.2">
      <c r="A16" s="1"/>
      <c r="K16" t="s">
        <v>20</v>
      </c>
      <c r="L16">
        <f>L15*K12</f>
        <v>7.4294254400531385E-21</v>
      </c>
    </row>
    <row r="17" spans="1:10" x14ac:dyDescent="0.2">
      <c r="A17" s="1"/>
      <c r="B17" t="s">
        <v>25</v>
      </c>
    </row>
    <row r="18" spans="1:10" x14ac:dyDescent="0.2">
      <c r="A18" s="1"/>
    </row>
    <row r="19" spans="1:10" x14ac:dyDescent="0.2">
      <c r="A19" s="1"/>
      <c r="B19" t="s">
        <v>9</v>
      </c>
      <c r="E19" t="s">
        <v>1</v>
      </c>
      <c r="F19" t="s">
        <v>4</v>
      </c>
      <c r="G19" t="s">
        <v>18</v>
      </c>
      <c r="H19" t="s">
        <v>21</v>
      </c>
      <c r="J19" t="s">
        <v>22</v>
      </c>
    </row>
    <row r="20" spans="1:10" x14ac:dyDescent="0.2">
      <c r="A20" s="1"/>
      <c r="B20">
        <v>0.95</v>
      </c>
      <c r="C20">
        <v>-469.76326774</v>
      </c>
      <c r="D20">
        <v>26.9380666666667</v>
      </c>
      <c r="E20">
        <v>4271.8900000000003</v>
      </c>
      <c r="F20">
        <f>E20^(1/3)</f>
        <v>16.225821240907141</v>
      </c>
      <c r="G20" s="7">
        <f>E20*(10^-24)</f>
        <v>4.2718900000000006E-21</v>
      </c>
      <c r="H20" s="6">
        <f>$L$16/G20</f>
        <v>1.7391424966591222</v>
      </c>
    </row>
    <row r="21" spans="1:10" x14ac:dyDescent="0.2">
      <c r="A21" s="1"/>
      <c r="B21">
        <v>0.97499999999999998</v>
      </c>
      <c r="C21">
        <v>-468.773960886667</v>
      </c>
      <c r="D21">
        <v>13.888640000000001</v>
      </c>
      <c r="E21">
        <f>E$29*(B21/B$29)^3</f>
        <v>4618.0974433226429</v>
      </c>
      <c r="F21">
        <f>E21^(1/3)</f>
        <v>16.652816536720486</v>
      </c>
      <c r="G21" s="7">
        <f t="shared" ref="G21" si="0">E21*(10^-24)</f>
        <v>4.6180974433226431E-21</v>
      </c>
      <c r="H21" s="6">
        <f t="shared" ref="H21:H24" si="1">$L$16/G21</f>
        <v>1.6087632474701081</v>
      </c>
    </row>
    <row r="22" spans="1:10" x14ac:dyDescent="0.2">
      <c r="A22" s="1"/>
      <c r="B22">
        <v>1</v>
      </c>
      <c r="E22">
        <f t="shared" ref="E22:E24" si="2">E$29*(B22/B$29)^3</f>
        <v>4982.5222335617427</v>
      </c>
      <c r="F22">
        <f>E22^(1/3)</f>
        <v>17.079811832533835</v>
      </c>
      <c r="G22" s="7">
        <f>E22*(10^-24)</f>
        <v>4.9825222335617429E-21</v>
      </c>
      <c r="H22" s="6">
        <f t="shared" si="1"/>
        <v>1.4910972980731154</v>
      </c>
    </row>
    <row r="23" spans="1:10" x14ac:dyDescent="0.2">
      <c r="A23" s="1"/>
      <c r="B23">
        <v>1.0249999999999999</v>
      </c>
      <c r="C23">
        <v>-463.600522716667</v>
      </c>
      <c r="D23">
        <v>0.85508666666666699</v>
      </c>
      <c r="E23">
        <f t="shared" si="2"/>
        <v>5365.6314821767037</v>
      </c>
      <c r="F23">
        <f>E23^(1/3)</f>
        <v>17.506807128347177</v>
      </c>
      <c r="G23" s="7">
        <f t="shared" ref="G23" si="3">E23*(10^-24)</f>
        <v>5.3656314821767041E-21</v>
      </c>
      <c r="H23" s="6">
        <f t="shared" si="1"/>
        <v>1.3846320726147232</v>
      </c>
      <c r="I23">
        <f>(H23-H24)/(D23-D24)*(0-D24)+H24</f>
        <v>1.3569630946082625</v>
      </c>
    </row>
    <row r="24" spans="1:10" x14ac:dyDescent="0.2">
      <c r="A24" s="1"/>
      <c r="B24">
        <v>1.05</v>
      </c>
      <c r="C24">
        <v>-459.85742612000001</v>
      </c>
      <c r="D24">
        <v>-2.12921</v>
      </c>
      <c r="E24">
        <f t="shared" si="2"/>
        <v>5767.892300626916</v>
      </c>
      <c r="F24">
        <f>E24^(1/3)</f>
        <v>17.933802424160529</v>
      </c>
      <c r="G24" s="7">
        <f>E24*(10^-24)</f>
        <v>5.7678923006269167E-21</v>
      </c>
      <c r="H24" s="6">
        <f t="shared" si="1"/>
        <v>1.2880659091442517</v>
      </c>
    </row>
    <row r="25" spans="1:10" x14ac:dyDescent="0.2">
      <c r="A25" s="1"/>
    </row>
    <row r="26" spans="1:10" x14ac:dyDescent="0.2">
      <c r="A26" s="1"/>
      <c r="B26" t="s">
        <v>11</v>
      </c>
    </row>
    <row r="27" spans="1:10" x14ac:dyDescent="0.2">
      <c r="A27" s="1"/>
    </row>
    <row r="28" spans="1:10" x14ac:dyDescent="0.2">
      <c r="A28" s="1"/>
      <c r="B28" t="s">
        <v>9</v>
      </c>
      <c r="E28" t="s">
        <v>1</v>
      </c>
      <c r="F28" t="s">
        <v>4</v>
      </c>
      <c r="G28" t="s">
        <v>18</v>
      </c>
      <c r="H28" t="s">
        <v>21</v>
      </c>
      <c r="J28" t="s">
        <v>22</v>
      </c>
    </row>
    <row r="29" spans="1:10" x14ac:dyDescent="0.2">
      <c r="A29" s="1"/>
      <c r="B29">
        <v>0.95</v>
      </c>
      <c r="C29">
        <v>-472.357677209999</v>
      </c>
      <c r="D29">
        <v>24.825956666666698</v>
      </c>
      <c r="E29">
        <v>4271.8900000000003</v>
      </c>
      <c r="F29">
        <f>E29^(1/3)</f>
        <v>16.225821240907141</v>
      </c>
      <c r="G29" s="7">
        <f>E29*(10^-24)</f>
        <v>4.2718900000000006E-21</v>
      </c>
      <c r="H29" s="6">
        <f>$L$16/G29</f>
        <v>1.7391424966591222</v>
      </c>
    </row>
    <row r="30" spans="1:10" x14ac:dyDescent="0.2">
      <c r="A30" s="1"/>
      <c r="B30">
        <v>0.97499999999999998</v>
      </c>
      <c r="C30">
        <v>-471.00563565666698</v>
      </c>
      <c r="D30">
        <v>12.9873233333333</v>
      </c>
      <c r="E30">
        <f>E$29*(B30/B$29)^3</f>
        <v>4618.0974433226429</v>
      </c>
      <c r="F30">
        <f>E30^(1/3)</f>
        <v>16.652816536720486</v>
      </c>
      <c r="G30" s="7">
        <f t="shared" ref="G30:G32" si="4">E30*(10^-24)</f>
        <v>4.6180974433226431E-21</v>
      </c>
      <c r="H30" s="6">
        <f t="shared" ref="H30:H33" si="5">$L$16/G30</f>
        <v>1.6087632474701081</v>
      </c>
    </row>
    <row r="31" spans="1:10" x14ac:dyDescent="0.2">
      <c r="A31" s="1"/>
      <c r="B31">
        <v>1</v>
      </c>
      <c r="C31">
        <v>-469.07460802999998</v>
      </c>
      <c r="D31">
        <v>4.8018333333333398</v>
      </c>
      <c r="E31">
        <f t="shared" ref="E31:E33" si="6">E$29*(B31/B$29)^3</f>
        <v>4982.5222335617427</v>
      </c>
      <c r="F31">
        <f>E31^(1/3)</f>
        <v>17.079811832533835</v>
      </c>
      <c r="G31" s="7">
        <f>E31*(10^-24)</f>
        <v>4.9825222335617429E-21</v>
      </c>
      <c r="H31" s="6">
        <f t="shared" si="5"/>
        <v>1.4910972980731154</v>
      </c>
      <c r="I31">
        <f>(H31-H32)/(D31-D32)*(0-D32)+H32</f>
        <v>1.393175292612818</v>
      </c>
    </row>
    <row r="32" spans="1:10" x14ac:dyDescent="0.2">
      <c r="A32" s="1"/>
      <c r="B32">
        <v>1.0249999999999999</v>
      </c>
      <c r="C32">
        <v>-466.23366349333298</v>
      </c>
      <c r="D32">
        <v>-0.41893666666666701</v>
      </c>
      <c r="E32">
        <f t="shared" si="6"/>
        <v>5365.6314821767037</v>
      </c>
      <c r="F32">
        <f>E32^(1/3)</f>
        <v>17.506807128347177</v>
      </c>
      <c r="G32" s="7">
        <f t="shared" si="4"/>
        <v>5.3656314821767041E-21</v>
      </c>
      <c r="H32" s="6">
        <f t="shared" si="5"/>
        <v>1.3846320726147232</v>
      </c>
    </row>
    <row r="33" spans="1:10" x14ac:dyDescent="0.2">
      <c r="A33" s="1"/>
      <c r="B33">
        <v>1.05</v>
      </c>
      <c r="C33">
        <v>-463.4646065</v>
      </c>
      <c r="D33">
        <v>-2.80033666666667</v>
      </c>
      <c r="E33">
        <f t="shared" si="6"/>
        <v>5767.892300626916</v>
      </c>
      <c r="F33">
        <f>E33^(1/3)</f>
        <v>17.933802424160529</v>
      </c>
      <c r="G33" s="7">
        <f>E33*(10^-24)</f>
        <v>5.7678923006269167E-21</v>
      </c>
      <c r="H33" s="6">
        <f t="shared" si="5"/>
        <v>1.2880659091442517</v>
      </c>
    </row>
    <row r="34" spans="1:10" x14ac:dyDescent="0.2">
      <c r="A34" s="1"/>
    </row>
    <row r="35" spans="1:10" x14ac:dyDescent="0.2">
      <c r="A35" s="1"/>
      <c r="B35" t="s">
        <v>8</v>
      </c>
    </row>
    <row r="36" spans="1:10" x14ac:dyDescent="0.2">
      <c r="A36" s="1"/>
    </row>
    <row r="37" spans="1:10" x14ac:dyDescent="0.2">
      <c r="A37" s="1"/>
      <c r="B37" t="s">
        <v>9</v>
      </c>
      <c r="E37" t="s">
        <v>1</v>
      </c>
      <c r="F37" t="s">
        <v>4</v>
      </c>
      <c r="G37" t="s">
        <v>18</v>
      </c>
      <c r="H37" t="s">
        <v>21</v>
      </c>
      <c r="J37" t="s">
        <v>22</v>
      </c>
    </row>
    <row r="38" spans="1:10" x14ac:dyDescent="0.2">
      <c r="A38" s="1"/>
      <c r="B38">
        <v>0.95</v>
      </c>
      <c r="C38">
        <v>-475.40047952333299</v>
      </c>
      <c r="D38">
        <v>21.815256666666698</v>
      </c>
      <c r="E38">
        <v>4271.8900000000003</v>
      </c>
      <c r="F38">
        <f>E38^(1/3)</f>
        <v>16.225821240907141</v>
      </c>
      <c r="G38" s="7">
        <f>E38*(10^-24)</f>
        <v>4.2718900000000006E-21</v>
      </c>
      <c r="H38" s="6">
        <f>$L$16/G38</f>
        <v>1.7391424966591222</v>
      </c>
    </row>
    <row r="39" spans="1:10" x14ac:dyDescent="0.2">
      <c r="A39" s="1"/>
      <c r="B39">
        <v>0.97499999999999998</v>
      </c>
      <c r="C39">
        <v>-474.89697528333301</v>
      </c>
      <c r="D39">
        <v>10.469006666666701</v>
      </c>
      <c r="E39">
        <f>E$29*(B39/B$29)^3</f>
        <v>4618.0974433226429</v>
      </c>
      <c r="F39">
        <f>E39^(1/3)</f>
        <v>16.652816536720486</v>
      </c>
      <c r="G39" s="7">
        <f t="shared" ref="G39" si="7">E39*(10^-24)</f>
        <v>4.6180974433226431E-21</v>
      </c>
      <c r="H39" s="6">
        <f t="shared" ref="H39:H42" si="8">$L$16/G39</f>
        <v>1.6087632474701081</v>
      </c>
    </row>
    <row r="40" spans="1:10" x14ac:dyDescent="0.2">
      <c r="A40" s="1"/>
      <c r="B40">
        <v>1</v>
      </c>
      <c r="C40">
        <v>-472.77376454333398</v>
      </c>
      <c r="D40">
        <v>2.7385666666666699</v>
      </c>
      <c r="E40">
        <f t="shared" ref="E40:E42" si="9">E$29*(B40/B$29)^3</f>
        <v>4982.5222335617427</v>
      </c>
      <c r="F40">
        <f>E40^(1/3)</f>
        <v>17.079811832533835</v>
      </c>
      <c r="G40" s="7">
        <f>E40*(10^-24)</f>
        <v>4.9825222335617429E-21</v>
      </c>
      <c r="H40" s="6">
        <f t="shared" si="8"/>
        <v>1.4910972980731154</v>
      </c>
      <c r="I40">
        <f>(H40-H41)/(D40-D41)*(0-D41)+H41</f>
        <v>1.4267730440020618</v>
      </c>
    </row>
    <row r="41" spans="1:10" x14ac:dyDescent="0.2">
      <c r="A41" s="1"/>
      <c r="B41">
        <v>1.0249999999999999</v>
      </c>
      <c r="C41">
        <v>-469.081367876667</v>
      </c>
      <c r="D41">
        <v>-1.79412666666667</v>
      </c>
      <c r="E41">
        <f t="shared" si="9"/>
        <v>5365.6314821767037</v>
      </c>
      <c r="F41">
        <f>E41^(1/3)</f>
        <v>17.506807128347177</v>
      </c>
      <c r="G41" s="7">
        <f t="shared" ref="G41" si="10">E41*(10^-24)</f>
        <v>5.3656314821767041E-21</v>
      </c>
      <c r="H41" s="6">
        <f t="shared" si="8"/>
        <v>1.3846320726147232</v>
      </c>
    </row>
    <row r="42" spans="1:10" x14ac:dyDescent="0.2">
      <c r="A42" s="1"/>
      <c r="B42">
        <v>1.05</v>
      </c>
      <c r="C42">
        <v>-465.71228595999997</v>
      </c>
      <c r="D42">
        <v>-4.4623433333333304</v>
      </c>
      <c r="E42">
        <f t="shared" si="9"/>
        <v>5767.892300626916</v>
      </c>
      <c r="F42">
        <f>E42^(1/3)</f>
        <v>17.933802424160529</v>
      </c>
      <c r="G42" s="7">
        <f>E42*(10^-24)</f>
        <v>5.7678923006269167E-21</v>
      </c>
      <c r="H42" s="6">
        <f t="shared" si="8"/>
        <v>1.2880659091442517</v>
      </c>
    </row>
    <row r="43" spans="1:10" x14ac:dyDescent="0.2">
      <c r="A43" s="1"/>
    </row>
    <row r="44" spans="1:10" x14ac:dyDescent="0.2">
      <c r="A44" s="1"/>
      <c r="B44" t="s">
        <v>10</v>
      </c>
    </row>
    <row r="45" spans="1:10" x14ac:dyDescent="0.2">
      <c r="A45" s="1"/>
    </row>
    <row r="46" spans="1:10" x14ac:dyDescent="0.2">
      <c r="A46" s="1"/>
      <c r="B46" t="s">
        <v>9</v>
      </c>
      <c r="E46" t="s">
        <v>1</v>
      </c>
      <c r="F46" t="s">
        <v>4</v>
      </c>
      <c r="G46" t="s">
        <v>18</v>
      </c>
      <c r="H46" t="s">
        <v>21</v>
      </c>
      <c r="J46" t="s">
        <v>22</v>
      </c>
    </row>
    <row r="47" spans="1:10" x14ac:dyDescent="0.2">
      <c r="A47" s="1"/>
      <c r="B47">
        <v>0.95</v>
      </c>
      <c r="C47">
        <v>-478.22535119999998</v>
      </c>
      <c r="D47">
        <v>20.278793333333301</v>
      </c>
      <c r="E47">
        <v>4271.8900000000003</v>
      </c>
      <c r="F47">
        <f>E47^(1/3)</f>
        <v>16.225821240907141</v>
      </c>
      <c r="G47" s="7">
        <f>E47*(10^-24)</f>
        <v>4.2718900000000006E-21</v>
      </c>
      <c r="H47" s="6">
        <f>$L$16/G47</f>
        <v>1.7391424966591222</v>
      </c>
    </row>
    <row r="48" spans="1:10" x14ac:dyDescent="0.2">
      <c r="A48" s="1"/>
      <c r="B48">
        <v>0.97499999999999998</v>
      </c>
      <c r="C48">
        <v>-477.75591614333399</v>
      </c>
      <c r="D48">
        <v>8.5519466666666695</v>
      </c>
      <c r="E48">
        <f>E$29*(B48/B$29)^3</f>
        <v>4618.0974433226429</v>
      </c>
      <c r="F48">
        <f>E48^(1/3)</f>
        <v>16.652816536720486</v>
      </c>
      <c r="G48" s="7">
        <f t="shared" ref="G48" si="11">E48*(10^-24)</f>
        <v>4.6180974433226431E-21</v>
      </c>
      <c r="H48" s="6">
        <f t="shared" ref="H48:H51" si="12">$L$16/G48</f>
        <v>1.6087632474701081</v>
      </c>
    </row>
    <row r="49" spans="1:9" x14ac:dyDescent="0.2">
      <c r="A49" s="1"/>
      <c r="B49">
        <v>1</v>
      </c>
      <c r="C49">
        <v>-475.52419205000001</v>
      </c>
      <c r="D49">
        <v>1.65656</v>
      </c>
      <c r="E49">
        <f t="shared" ref="E49:E51" si="13">E$29*(B49/B$29)^3</f>
        <v>4982.5222335617427</v>
      </c>
      <c r="F49">
        <f>E49^(1/3)</f>
        <v>17.079811832533835</v>
      </c>
      <c r="G49" s="7">
        <f>E49*(10^-24)</f>
        <v>4.9825222335617429E-21</v>
      </c>
      <c r="H49" s="6">
        <f t="shared" si="12"/>
        <v>1.4910972980731154</v>
      </c>
      <c r="I49">
        <f>(H49-H50)/(D49-D50)*(0-D50)+H50</f>
        <v>1.4538619366927445</v>
      </c>
    </row>
    <row r="50" spans="1:9" x14ac:dyDescent="0.2">
      <c r="A50" s="1"/>
      <c r="B50">
        <v>1.0249999999999999</v>
      </c>
      <c r="C50">
        <v>-472.55253112999998</v>
      </c>
      <c r="D50">
        <v>-3.0799599999999998</v>
      </c>
      <c r="E50">
        <f t="shared" si="13"/>
        <v>5365.6314821767037</v>
      </c>
      <c r="F50">
        <f>E50^(1/3)</f>
        <v>17.506807128347177</v>
      </c>
      <c r="G50" s="7">
        <f t="shared" ref="G50" si="14">E50*(10^-24)</f>
        <v>5.3656314821767041E-21</v>
      </c>
      <c r="H50" s="6">
        <f t="shared" si="12"/>
        <v>1.3846320726147232</v>
      </c>
    </row>
    <row r="51" spans="1:9" x14ac:dyDescent="0.2">
      <c r="A51" s="1"/>
      <c r="B51">
        <v>1.05</v>
      </c>
      <c r="C51">
        <v>-468.81672895999998</v>
      </c>
      <c r="D51">
        <v>-4.7808700000000002</v>
      </c>
      <c r="E51">
        <f t="shared" si="13"/>
        <v>5767.892300626916</v>
      </c>
      <c r="F51">
        <f>E51^(1/3)</f>
        <v>17.933802424160529</v>
      </c>
      <c r="G51" s="7">
        <f>E51*(10^-24)</f>
        <v>5.7678923006269167E-21</v>
      </c>
      <c r="H51" s="6">
        <f t="shared" si="12"/>
        <v>1.2880659091442517</v>
      </c>
    </row>
    <row r="52" spans="1:9" x14ac:dyDescent="0.2">
      <c r="A52" s="1"/>
    </row>
    <row r="53" spans="1:9" x14ac:dyDescent="0.2">
      <c r="A53" s="1"/>
    </row>
    <row r="54" spans="1:9" x14ac:dyDescent="0.2">
      <c r="A54" s="1"/>
    </row>
    <row r="55" spans="1:9" x14ac:dyDescent="0.2">
      <c r="A55" s="1"/>
    </row>
    <row r="56" spans="1:9" x14ac:dyDescent="0.2">
      <c r="A56" s="1"/>
    </row>
    <row r="57" spans="1:9" x14ac:dyDescent="0.2">
      <c r="A57" s="1"/>
    </row>
    <row r="58" spans="1:9" x14ac:dyDescent="0.2">
      <c r="A58" s="1"/>
    </row>
    <row r="59" spans="1:9" x14ac:dyDescent="0.2">
      <c r="A59" s="1"/>
    </row>
    <row r="60" spans="1:9" x14ac:dyDescent="0.2">
      <c r="A60" s="1"/>
    </row>
    <row r="61" spans="1:9" x14ac:dyDescent="0.2">
      <c r="A61" s="1"/>
    </row>
    <row r="62" spans="1:9" x14ac:dyDescent="0.2">
      <c r="A62" s="1"/>
    </row>
    <row r="63" spans="1:9" x14ac:dyDescent="0.2">
      <c r="A63" s="1"/>
    </row>
    <row r="64" spans="1:9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5" spans="1:1" x14ac:dyDescent="0.2">
      <c r="A2005" s="1"/>
    </row>
    <row r="2006" spans="1:1" x14ac:dyDescent="0.2">
      <c r="A20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CF7A-5FC8-914F-B690-6868ECE3883E}">
  <dimension ref="B14:L63"/>
  <sheetViews>
    <sheetView topLeftCell="A18" workbookViewId="0">
      <selection activeCell="I26" activeCellId="4" sqref="I61 I52 I43 I35 I26"/>
    </sheetView>
  </sheetViews>
  <sheetFormatPr baseColWidth="10" defaultRowHeight="16" x14ac:dyDescent="0.2"/>
  <cols>
    <col min="12" max="12" width="12.1640625" bestFit="1" customWidth="1"/>
  </cols>
  <sheetData>
    <row r="14" spans="11:12" x14ac:dyDescent="0.2">
      <c r="K14" t="s">
        <v>48</v>
      </c>
    </row>
    <row r="15" spans="11:12" x14ac:dyDescent="0.2">
      <c r="K15">
        <f>0.8*(7+35.5)+0.2*(35.5+39)</f>
        <v>48.9</v>
      </c>
      <c r="L15" t="s">
        <v>16</v>
      </c>
    </row>
    <row r="17" spans="2:12" x14ac:dyDescent="0.2">
      <c r="K17" t="s">
        <v>17</v>
      </c>
    </row>
    <row r="18" spans="2:12" x14ac:dyDescent="0.2">
      <c r="K18" t="s">
        <v>19</v>
      </c>
      <c r="L18">
        <f>100/(6.022E+23)</f>
        <v>1.6605778811026237E-22</v>
      </c>
    </row>
    <row r="19" spans="2:12" x14ac:dyDescent="0.2">
      <c r="K19" t="s">
        <v>20</v>
      </c>
      <c r="L19">
        <f>L18*K15</f>
        <v>8.12022583859183E-21</v>
      </c>
    </row>
    <row r="20" spans="2:12" x14ac:dyDescent="0.2">
      <c r="B20" t="s">
        <v>25</v>
      </c>
    </row>
    <row r="22" spans="2:12" x14ac:dyDescent="0.2">
      <c r="B22" t="s">
        <v>9</v>
      </c>
      <c r="E22" t="s">
        <v>1</v>
      </c>
      <c r="F22" t="s">
        <v>4</v>
      </c>
      <c r="G22" t="s">
        <v>18</v>
      </c>
      <c r="H22" t="s">
        <v>21</v>
      </c>
      <c r="J22" t="s">
        <v>22</v>
      </c>
    </row>
    <row r="23" spans="2:12" x14ac:dyDescent="0.2">
      <c r="B23">
        <v>0.95</v>
      </c>
      <c r="E23">
        <v>4563.41</v>
      </c>
      <c r="F23">
        <f>E23^(1/3)</f>
        <v>16.586821204083734</v>
      </c>
      <c r="G23" s="7">
        <f>E23*(10^-24)</f>
        <v>4.56341E-21</v>
      </c>
      <c r="H23" s="6">
        <f>$L$19/G23</f>
        <v>1.7794206171682645</v>
      </c>
    </row>
    <row r="24" spans="2:12" x14ac:dyDescent="0.2">
      <c r="B24">
        <v>0.97499999999999998</v>
      </c>
      <c r="C24">
        <v>-445.30354790000001</v>
      </c>
      <c r="D24">
        <v>14.892673333333301</v>
      </c>
      <c r="E24">
        <f>E$23*(B24/B$23)^3</f>
        <v>4933.2431438620797</v>
      </c>
      <c r="F24">
        <f>E24^(1/3)</f>
        <v>17.02331649892805</v>
      </c>
      <c r="G24" s="7">
        <f t="shared" ref="G24" si="0">E24*(10^-24)</f>
        <v>4.93324314386208E-21</v>
      </c>
      <c r="H24" s="6">
        <f>$L$19/G24</f>
        <v>1.6460218160329236</v>
      </c>
    </row>
    <row r="25" spans="2:12" x14ac:dyDescent="0.2">
      <c r="B25">
        <v>1</v>
      </c>
      <c r="C25">
        <v>-443.14959710666699</v>
      </c>
      <c r="D25">
        <v>7.0835566666666701</v>
      </c>
      <c r="E25">
        <f t="shared" ref="E25:E27" si="1">E$23*(B25/B$23)^3</f>
        <v>5322.5368129464923</v>
      </c>
      <c r="F25">
        <f>E25^(1/3)</f>
        <v>17.459811793772353</v>
      </c>
      <c r="G25" s="7">
        <f>E25*(10^-24)</f>
        <v>5.3225368129464926E-21</v>
      </c>
      <c r="H25" s="6">
        <f t="shared" ref="H25:H26" si="2">$L$19/G25</f>
        <v>1.525630751644641</v>
      </c>
    </row>
    <row r="26" spans="2:12" x14ac:dyDescent="0.2">
      <c r="B26">
        <v>1.0249999999999999</v>
      </c>
      <c r="C26">
        <v>-440.28933008666598</v>
      </c>
      <c r="D26">
        <v>0.98469333333333298</v>
      </c>
      <c r="E26">
        <f t="shared" si="1"/>
        <v>5731.7899950794581</v>
      </c>
      <c r="F26">
        <f>E26^(1/3)</f>
        <v>17.896307088616659</v>
      </c>
      <c r="G26" s="7">
        <f t="shared" ref="G26" si="3">E26*(10^-24)</f>
        <v>5.7317899950794589E-21</v>
      </c>
      <c r="H26" s="6">
        <f t="shared" si="2"/>
        <v>1.4166998172582665</v>
      </c>
      <c r="I26">
        <f>(H26-H27)/(D26-D27)*(0-D27)+H27</f>
        <v>1.3755998181638767</v>
      </c>
    </row>
    <row r="27" spans="2:12" x14ac:dyDescent="0.2">
      <c r="B27">
        <v>1.05</v>
      </c>
      <c r="C27">
        <v>-436.884586206667</v>
      </c>
      <c r="D27">
        <v>-1.3824666666666701</v>
      </c>
      <c r="E27">
        <f t="shared" si="1"/>
        <v>6161.5016780871865</v>
      </c>
      <c r="F27">
        <f>E27^(1/3)</f>
        <v>18.332802383460972</v>
      </c>
      <c r="G27" s="7">
        <f>E27*(10^-24)</f>
        <v>6.1615016780871874E-21</v>
      </c>
      <c r="H27" s="6">
        <f>$L$19/G27</f>
        <v>1.3178972047464768</v>
      </c>
    </row>
    <row r="29" spans="2:12" x14ac:dyDescent="0.2">
      <c r="B29" t="s">
        <v>11</v>
      </c>
    </row>
    <row r="31" spans="2:12" x14ac:dyDescent="0.2">
      <c r="B31" t="s">
        <v>9</v>
      </c>
      <c r="E31" t="s">
        <v>1</v>
      </c>
      <c r="F31" t="s">
        <v>4</v>
      </c>
      <c r="G31" t="s">
        <v>18</v>
      </c>
      <c r="H31" t="s">
        <v>21</v>
      </c>
      <c r="J31" t="s">
        <v>22</v>
      </c>
    </row>
    <row r="32" spans="2:12" x14ac:dyDescent="0.2">
      <c r="B32">
        <v>0.95</v>
      </c>
      <c r="C32">
        <v>-449.32264769</v>
      </c>
      <c r="D32">
        <v>23.732413333333302</v>
      </c>
      <c r="E32">
        <v>4563.41</v>
      </c>
      <c r="F32">
        <f>E32^(1/3)</f>
        <v>16.586821204083734</v>
      </c>
      <c r="G32" s="7">
        <f>E32*(10^-24)</f>
        <v>4.56341E-21</v>
      </c>
      <c r="H32" s="6">
        <f>$L$19/G32</f>
        <v>1.7794206171682645</v>
      </c>
    </row>
    <row r="33" spans="2:10" x14ac:dyDescent="0.2">
      <c r="B33">
        <v>0.97499999999999998</v>
      </c>
      <c r="C33">
        <v>-447.83243538333301</v>
      </c>
      <c r="D33">
        <v>13.0157566666667</v>
      </c>
      <c r="E33">
        <f>E$23*(B33/B$23)^3</f>
        <v>4933.2431438620797</v>
      </c>
      <c r="F33">
        <f>E33^(1/3)</f>
        <v>17.02331649892805</v>
      </c>
      <c r="G33" s="7">
        <f t="shared" ref="G33" si="4">E33*(10^-24)</f>
        <v>4.93324314386208E-21</v>
      </c>
      <c r="H33" s="6">
        <f>$L$19/G33</f>
        <v>1.6460218160329236</v>
      </c>
    </row>
    <row r="34" spans="2:10" x14ac:dyDescent="0.2">
      <c r="B34">
        <v>1</v>
      </c>
      <c r="C34">
        <v>-445.93034604000002</v>
      </c>
      <c r="D34">
        <v>5.19137</v>
      </c>
      <c r="E34">
        <f t="shared" ref="E34:E36" si="5">E$23*(B34/B$23)^3</f>
        <v>5322.5368129464923</v>
      </c>
      <c r="F34">
        <f>E34^(1/3)</f>
        <v>17.459811793772353</v>
      </c>
      <c r="G34" s="7">
        <f>E34*(10^-24)</f>
        <v>5.3225368129464926E-21</v>
      </c>
      <c r="H34" s="6">
        <f t="shared" ref="H34:H35" si="6">$L$19/G34</f>
        <v>1.525630751644641</v>
      </c>
    </row>
    <row r="35" spans="2:10" x14ac:dyDescent="0.2">
      <c r="B35">
        <v>1.0249999999999999</v>
      </c>
      <c r="C35">
        <v>-443.053794966667</v>
      </c>
      <c r="D35">
        <v>0.77231666666666599</v>
      </c>
      <c r="E35">
        <f t="shared" si="5"/>
        <v>5731.7899950794581</v>
      </c>
      <c r="F35">
        <f>E35^(1/3)</f>
        <v>17.896307088616659</v>
      </c>
      <c r="G35" s="7">
        <f t="shared" ref="G35" si="7">E35*(10^-24)</f>
        <v>5.7317899950794589E-21</v>
      </c>
      <c r="H35" s="6">
        <f t="shared" si="6"/>
        <v>1.4166998172582665</v>
      </c>
      <c r="I35">
        <f>(H35-H36)/(D35-D36)*(0-D36)+H36</f>
        <v>1.3960144785690516</v>
      </c>
    </row>
    <row r="36" spans="2:10" x14ac:dyDescent="0.2">
      <c r="B36">
        <v>1.05</v>
      </c>
      <c r="C36">
        <v>-439.87666336333399</v>
      </c>
      <c r="D36">
        <v>-2.91662</v>
      </c>
      <c r="E36">
        <f t="shared" si="5"/>
        <v>6161.5016780871865</v>
      </c>
      <c r="F36">
        <f>E36^(1/3)</f>
        <v>18.332802383460972</v>
      </c>
      <c r="G36" s="7">
        <f>E36*(10^-24)</f>
        <v>6.1615016780871874E-21</v>
      </c>
      <c r="H36" s="6">
        <f>$L$19/G36</f>
        <v>1.3178972047464768</v>
      </c>
    </row>
    <row r="38" spans="2:10" x14ac:dyDescent="0.2">
      <c r="B38" t="s">
        <v>8</v>
      </c>
    </row>
    <row r="40" spans="2:10" x14ac:dyDescent="0.2">
      <c r="B40" t="s">
        <v>9</v>
      </c>
      <c r="E40" t="s">
        <v>1</v>
      </c>
      <c r="F40" t="s">
        <v>4</v>
      </c>
      <c r="G40" t="s">
        <v>18</v>
      </c>
      <c r="H40" t="s">
        <v>21</v>
      </c>
      <c r="J40" t="s">
        <v>22</v>
      </c>
    </row>
    <row r="41" spans="2:10" x14ac:dyDescent="0.2">
      <c r="B41">
        <v>0.95</v>
      </c>
      <c r="C41">
        <v>-451.84601189666699</v>
      </c>
      <c r="D41">
        <v>21.939386666666699</v>
      </c>
      <c r="E41">
        <v>4563.41</v>
      </c>
      <c r="F41">
        <f>E41^(1/3)</f>
        <v>16.586821204083734</v>
      </c>
      <c r="G41" s="7">
        <f>E41*(10^-24)</f>
        <v>4.56341E-21</v>
      </c>
      <c r="H41" s="6">
        <f>$L$19/G41</f>
        <v>1.7794206171682645</v>
      </c>
    </row>
    <row r="42" spans="2:10" x14ac:dyDescent="0.2">
      <c r="B42">
        <v>0.97499999999999998</v>
      </c>
      <c r="C42">
        <v>-451.23035098000003</v>
      </c>
      <c r="D42">
        <v>10.4309166666667</v>
      </c>
      <c r="E42">
        <f>E$23*(B42/B$23)^3</f>
        <v>4933.2431438620797</v>
      </c>
      <c r="F42">
        <f>E42^(1/3)</f>
        <v>17.02331649892805</v>
      </c>
      <c r="G42" s="7">
        <f t="shared" ref="G42" si="8">E42*(10^-24)</f>
        <v>4.93324314386208E-21</v>
      </c>
      <c r="H42" s="6">
        <f>$L$19/G42</f>
        <v>1.6460218160329236</v>
      </c>
    </row>
    <row r="43" spans="2:10" x14ac:dyDescent="0.2">
      <c r="B43">
        <v>1</v>
      </c>
      <c r="C43">
        <v>-448.96236509333301</v>
      </c>
      <c r="D43">
        <v>3.2095866666666701</v>
      </c>
      <c r="E43">
        <f t="shared" ref="E43:E45" si="9">E$23*(B43/B$23)^3</f>
        <v>5322.5368129464923</v>
      </c>
      <c r="F43">
        <f>E43^(1/3)</f>
        <v>17.459811793772353</v>
      </c>
      <c r="G43" s="7">
        <f>E43*(10^-24)</f>
        <v>5.3225368129464926E-21</v>
      </c>
      <c r="H43" s="6">
        <f t="shared" ref="H43:H44" si="10">$L$19/G43</f>
        <v>1.525630751644641</v>
      </c>
      <c r="I43">
        <f>(H43-H44)/(D43-D44)*(0-D44)+H44</f>
        <v>1.4465271225485294</v>
      </c>
    </row>
    <row r="44" spans="2:10" x14ac:dyDescent="0.2">
      <c r="B44">
        <v>1.0249999999999999</v>
      </c>
      <c r="C44">
        <v>-445.65221852000002</v>
      </c>
      <c r="D44">
        <v>-1.2102266666666699</v>
      </c>
      <c r="E44">
        <f t="shared" si="9"/>
        <v>5731.7899950794581</v>
      </c>
      <c r="F44">
        <f>E44^(1/3)</f>
        <v>17.896307088616659</v>
      </c>
      <c r="G44" s="7">
        <f t="shared" ref="G44" si="11">E44*(10^-24)</f>
        <v>5.7317899950794589E-21</v>
      </c>
      <c r="H44" s="6">
        <f t="shared" si="10"/>
        <v>1.4166998172582665</v>
      </c>
    </row>
    <row r="45" spans="2:10" x14ac:dyDescent="0.2">
      <c r="B45">
        <v>1.05</v>
      </c>
      <c r="C45">
        <v>-443.093981263334</v>
      </c>
      <c r="D45">
        <v>-3.9234233333333299</v>
      </c>
      <c r="E45">
        <f t="shared" si="9"/>
        <v>6161.5016780871865</v>
      </c>
      <c r="F45">
        <f>E45^(1/3)</f>
        <v>18.332802383460972</v>
      </c>
      <c r="G45" s="7">
        <f>E45*(10^-24)</f>
        <v>6.1615016780871874E-21</v>
      </c>
      <c r="H45" s="6">
        <f>$L$19/G45</f>
        <v>1.3178972047464768</v>
      </c>
    </row>
    <row r="47" spans="2:10" x14ac:dyDescent="0.2">
      <c r="B47" t="s">
        <v>10</v>
      </c>
    </row>
    <row r="49" spans="2:10" x14ac:dyDescent="0.2">
      <c r="B49" t="s">
        <v>9</v>
      </c>
      <c r="E49" t="s">
        <v>1</v>
      </c>
      <c r="F49" t="s">
        <v>4</v>
      </c>
      <c r="G49" t="s">
        <v>18</v>
      </c>
      <c r="H49" t="s">
        <v>21</v>
      </c>
      <c r="J49" t="s">
        <v>22</v>
      </c>
    </row>
    <row r="50" spans="2:10" x14ac:dyDescent="0.2">
      <c r="B50">
        <v>0.95</v>
      </c>
      <c r="C50">
        <v>-455.57418764666699</v>
      </c>
      <c r="D50">
        <v>20.099930000000001</v>
      </c>
      <c r="E50">
        <v>4563.41</v>
      </c>
      <c r="F50">
        <f>E50^(1/3)</f>
        <v>16.586821204083734</v>
      </c>
      <c r="G50" s="7">
        <f>E50*(10^-24)</f>
        <v>4.56341E-21</v>
      </c>
      <c r="H50" s="6">
        <f>$L$19/G50</f>
        <v>1.7794206171682645</v>
      </c>
    </row>
    <row r="51" spans="2:10" x14ac:dyDescent="0.2">
      <c r="B51">
        <v>0.97499999999999998</v>
      </c>
      <c r="C51">
        <v>-454.139078983334</v>
      </c>
      <c r="D51">
        <v>8.8200199999999995</v>
      </c>
      <c r="E51">
        <f>E$23*(B51/B$23)^3</f>
        <v>4933.2431438620797</v>
      </c>
      <c r="F51">
        <f>E51^(1/3)</f>
        <v>17.02331649892805</v>
      </c>
      <c r="G51" s="7">
        <f t="shared" ref="G51" si="12">E51*(10^-24)</f>
        <v>4.93324314386208E-21</v>
      </c>
      <c r="H51" s="6">
        <f>$L$19/G51</f>
        <v>1.6460218160329236</v>
      </c>
    </row>
    <row r="52" spans="2:10" x14ac:dyDescent="0.2">
      <c r="B52">
        <v>1</v>
      </c>
      <c r="C52">
        <v>-452.15129144666702</v>
      </c>
      <c r="D52">
        <v>1.8128899999999999</v>
      </c>
      <c r="E52">
        <f t="shared" ref="E52:E54" si="13">E$23*(B52/B$23)^3</f>
        <v>5322.5368129464923</v>
      </c>
      <c r="F52">
        <f>E52^(1/3)</f>
        <v>17.459811793772353</v>
      </c>
      <c r="G52" s="7">
        <f>E52*(10^-24)</f>
        <v>5.3225368129464926E-21</v>
      </c>
      <c r="H52" s="6">
        <f t="shared" ref="H52:H53" si="14">$L$19/G52</f>
        <v>1.525630751644641</v>
      </c>
      <c r="I52">
        <f>(H52-H53)/(D52-D53)*(0-D53)+H53</f>
        <v>1.4796653083978575</v>
      </c>
    </row>
    <row r="53" spans="2:10" x14ac:dyDescent="0.2">
      <c r="B53">
        <v>1.0249999999999999</v>
      </c>
      <c r="C53">
        <v>-448.75481762666601</v>
      </c>
      <c r="D53">
        <v>-2.4833766666666701</v>
      </c>
      <c r="E53">
        <f t="shared" si="13"/>
        <v>5731.7899950794581</v>
      </c>
      <c r="F53">
        <f>E53^(1/3)</f>
        <v>17.896307088616659</v>
      </c>
      <c r="G53" s="7">
        <f t="shared" ref="G53" si="15">E53*(10^-24)</f>
        <v>5.7317899950794589E-21</v>
      </c>
      <c r="H53" s="6">
        <f t="shared" si="14"/>
        <v>1.4166998172582665</v>
      </c>
    </row>
    <row r="54" spans="2:10" x14ac:dyDescent="0.2">
      <c r="B54">
        <v>1.05</v>
      </c>
      <c r="C54">
        <v>-445.68108219666698</v>
      </c>
      <c r="D54">
        <v>-4.7389099999999997</v>
      </c>
      <c r="E54">
        <f t="shared" si="13"/>
        <v>6161.5016780871865</v>
      </c>
      <c r="F54">
        <f>E54^(1/3)</f>
        <v>18.332802383460972</v>
      </c>
      <c r="G54" s="7">
        <f>E54*(10^-24)</f>
        <v>6.1615016780871874E-21</v>
      </c>
      <c r="H54" s="6">
        <f>$L$19/G54</f>
        <v>1.3178972047464768</v>
      </c>
    </row>
    <row r="56" spans="2:10" x14ac:dyDescent="0.2">
      <c r="B56" t="s">
        <v>12</v>
      </c>
    </row>
    <row r="58" spans="2:10" x14ac:dyDescent="0.2">
      <c r="B58" t="s">
        <v>9</v>
      </c>
      <c r="E58" t="s">
        <v>1</v>
      </c>
      <c r="F58" t="s">
        <v>4</v>
      </c>
      <c r="G58" t="s">
        <v>18</v>
      </c>
      <c r="H58" t="s">
        <v>21</v>
      </c>
      <c r="J58" t="s">
        <v>22</v>
      </c>
    </row>
    <row r="59" spans="2:10" x14ac:dyDescent="0.2">
      <c r="B59">
        <v>0.95</v>
      </c>
      <c r="C59">
        <v>-458.22817579000002</v>
      </c>
      <c r="D59">
        <v>18.095510000000001</v>
      </c>
      <c r="E59">
        <v>4563.41</v>
      </c>
      <c r="F59">
        <f>E59^(1/3)</f>
        <v>16.586821204083734</v>
      </c>
      <c r="G59" s="7">
        <f>E59*(10^-24)</f>
        <v>4.56341E-21</v>
      </c>
      <c r="H59" s="6">
        <f>$L$19/G59</f>
        <v>1.7794206171682645</v>
      </c>
    </row>
    <row r="60" spans="2:10" x14ac:dyDescent="0.2">
      <c r="B60">
        <v>0.97499999999999998</v>
      </c>
      <c r="C60">
        <v>-457.879375856666</v>
      </c>
      <c r="D60">
        <v>6.5423866666666699</v>
      </c>
      <c r="E60">
        <f>E$23*(B60/B$23)^3</f>
        <v>4933.2431438620797</v>
      </c>
      <c r="F60">
        <f>E60^(1/3)</f>
        <v>17.02331649892805</v>
      </c>
      <c r="G60" s="7">
        <f t="shared" ref="G60" si="16">E60*(10^-24)</f>
        <v>4.93324314386208E-21</v>
      </c>
      <c r="H60" s="6">
        <f>$L$19/G60</f>
        <v>1.6460218160329236</v>
      </c>
    </row>
    <row r="61" spans="2:10" x14ac:dyDescent="0.2">
      <c r="B61">
        <v>1</v>
      </c>
      <c r="C61">
        <v>-455.65822895333298</v>
      </c>
      <c r="D61">
        <v>0.141383333333333</v>
      </c>
      <c r="E61">
        <f t="shared" ref="E61:E63" si="17">E$23*(B61/B$23)^3</f>
        <v>5322.5368129464923</v>
      </c>
      <c r="F61">
        <f>E61^(1/3)</f>
        <v>17.459811793772353</v>
      </c>
      <c r="G61" s="7">
        <f>E61*(10^-24)</f>
        <v>5.3225368129464926E-21</v>
      </c>
      <c r="H61" s="6">
        <f t="shared" ref="H61:H62" si="18">$L$19/G61</f>
        <v>1.525630751644641</v>
      </c>
      <c r="I61">
        <f>(H61-H62)/(D61-D62)*(0-D62)+H62</f>
        <v>1.5212384211902188</v>
      </c>
    </row>
    <row r="62" spans="2:10" x14ac:dyDescent="0.2">
      <c r="B62">
        <v>1.0249999999999999</v>
      </c>
      <c r="C62">
        <v>-452.24137734999999</v>
      </c>
      <c r="D62">
        <v>-3.36496</v>
      </c>
      <c r="E62">
        <f t="shared" si="17"/>
        <v>5731.7899950794581</v>
      </c>
      <c r="F62">
        <f>E62^(1/3)</f>
        <v>17.896307088616659</v>
      </c>
      <c r="G62" s="7">
        <f t="shared" ref="G62" si="19">E62*(10^-24)</f>
        <v>5.7317899950794589E-21</v>
      </c>
      <c r="H62" s="6">
        <f t="shared" si="18"/>
        <v>1.4166998172582665</v>
      </c>
    </row>
    <row r="63" spans="2:10" x14ac:dyDescent="0.2">
      <c r="B63">
        <v>1.05</v>
      </c>
      <c r="C63">
        <v>-449.11605689333402</v>
      </c>
      <c r="D63">
        <v>-5.29571666666667</v>
      </c>
      <c r="E63">
        <f t="shared" si="17"/>
        <v>6161.5016780871865</v>
      </c>
      <c r="F63">
        <f>E63^(1/3)</f>
        <v>18.332802383460972</v>
      </c>
      <c r="G63" s="7">
        <f>E63*(10^-24)</f>
        <v>6.1615016780871874E-21</v>
      </c>
      <c r="H63" s="6">
        <f>$L$19/G63</f>
        <v>1.3178972047464768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AA31-0BF7-0A47-A1FF-DA8766D4C63C}">
  <dimension ref="B10:J67"/>
  <sheetViews>
    <sheetView topLeftCell="A22" workbookViewId="0">
      <selection activeCell="I46" activeCellId="2" sqref="I29 I38 I46"/>
    </sheetView>
  </sheetViews>
  <sheetFormatPr baseColWidth="10" defaultRowHeight="16" x14ac:dyDescent="0.2"/>
  <cols>
    <col min="7" max="7" width="12.1640625" bestFit="1" customWidth="1"/>
  </cols>
  <sheetData>
    <row r="10" spans="9:10" x14ac:dyDescent="0.2">
      <c r="I10" t="s">
        <v>47</v>
      </c>
    </row>
    <row r="11" spans="9:10" x14ac:dyDescent="0.2">
      <c r="I11">
        <f>(0.2*7+0.8*39) + 35.5</f>
        <v>68.099999999999994</v>
      </c>
      <c r="J11" t="s">
        <v>16</v>
      </c>
    </row>
    <row r="13" spans="9:10" x14ac:dyDescent="0.2">
      <c r="I13" t="s">
        <v>17</v>
      </c>
    </row>
    <row r="14" spans="9:10" x14ac:dyDescent="0.2">
      <c r="I14" t="s">
        <v>19</v>
      </c>
      <c r="J14">
        <f>100/(6.022E+23)</f>
        <v>1.6605778811026237E-22</v>
      </c>
    </row>
    <row r="15" spans="9:10" x14ac:dyDescent="0.2">
      <c r="I15" t="s">
        <v>20</v>
      </c>
      <c r="J15">
        <f>J14*I11</f>
        <v>1.1308535370308866E-20</v>
      </c>
    </row>
    <row r="24" spans="2:10" x14ac:dyDescent="0.2">
      <c r="B24" t="s">
        <v>25</v>
      </c>
    </row>
    <row r="26" spans="2:10" x14ac:dyDescent="0.2">
      <c r="B26" t="s">
        <v>9</v>
      </c>
      <c r="E26" t="s">
        <v>1</v>
      </c>
      <c r="F26" t="s">
        <v>4</v>
      </c>
      <c r="G26" t="s">
        <v>18</v>
      </c>
      <c r="H26" t="s">
        <v>21</v>
      </c>
      <c r="J26" t="s">
        <v>22</v>
      </c>
    </row>
    <row r="27" spans="2:10" x14ac:dyDescent="0.2">
      <c r="B27">
        <v>0.95</v>
      </c>
      <c r="C27">
        <v>-329.74122089666702</v>
      </c>
      <c r="D27">
        <v>12.444746666666701</v>
      </c>
      <c r="E27">
        <v>6534.82</v>
      </c>
      <c r="F27">
        <f>E27^(1/3)</f>
        <v>18.695821079983006</v>
      </c>
      <c r="G27" s="7">
        <f>E27*(10^-24)</f>
        <v>6.53482E-21</v>
      </c>
      <c r="H27" s="6">
        <f>$J$15/G27</f>
        <v>1.730504492902462</v>
      </c>
    </row>
    <row r="28" spans="2:10" x14ac:dyDescent="0.2">
      <c r="B28">
        <v>0.97499999999999998</v>
      </c>
      <c r="C28">
        <v>-326.75997450333301</v>
      </c>
      <c r="D28">
        <v>5.8887166666666602</v>
      </c>
      <c r="E28">
        <f>E$27*(B28/B$27)^3</f>
        <v>7064.4224300189544</v>
      </c>
      <c r="F28">
        <f>E28^(1/3)</f>
        <v>19.187816371561514</v>
      </c>
      <c r="G28" s="7">
        <f t="shared" ref="G28:G30" si="0">E28*(10^-24)</f>
        <v>7.0644224300189545E-21</v>
      </c>
      <c r="H28" s="6">
        <f t="shared" ref="H28:H30" si="1">$J$15/G28</f>
        <v>1.6007728136776391</v>
      </c>
    </row>
    <row r="29" spans="2:10" x14ac:dyDescent="0.2">
      <c r="B29">
        <v>1</v>
      </c>
      <c r="C29">
        <v>-323.157390706667</v>
      </c>
      <c r="D29">
        <v>1.34074</v>
      </c>
      <c r="E29">
        <f t="shared" ref="E29:E31" si="2">E$27*(B29/B$27)^3</f>
        <v>7621.8924041405426</v>
      </c>
      <c r="F29">
        <f>E29^(1/3)</f>
        <v>19.679811663140015</v>
      </c>
      <c r="G29" s="7">
        <f>E29*(10^-24)</f>
        <v>7.621892404140543E-21</v>
      </c>
      <c r="H29" s="6">
        <f t="shared" si="1"/>
        <v>1.4836912896022487</v>
      </c>
      <c r="I29">
        <f>(H29-H30)/(D29-D30)*(0-D30)+H30</f>
        <v>1.4121813844592011</v>
      </c>
    </row>
    <row r="30" spans="2:10" x14ac:dyDescent="0.2">
      <c r="B30">
        <v>1.0249999999999999</v>
      </c>
      <c r="C30">
        <v>-319.13096757666699</v>
      </c>
      <c r="D30">
        <v>-0.64546333333333294</v>
      </c>
      <c r="E30">
        <f t="shared" si="2"/>
        <v>8207.9444747776652</v>
      </c>
      <c r="F30">
        <f>E30^(1/3)</f>
        <v>20.171806954718512</v>
      </c>
      <c r="G30" s="7">
        <f t="shared" si="0"/>
        <v>8.2079444747776668E-21</v>
      </c>
      <c r="H30" s="6">
        <f t="shared" si="1"/>
        <v>1.3777548575114096</v>
      </c>
    </row>
    <row r="31" spans="2:10" x14ac:dyDescent="0.2">
      <c r="B31">
        <v>1.05</v>
      </c>
      <c r="C31">
        <v>-314.57496826333301</v>
      </c>
      <c r="D31">
        <v>-2.6061899999999998</v>
      </c>
      <c r="E31">
        <f t="shared" si="2"/>
        <v>8823.2931943432013</v>
      </c>
      <c r="F31">
        <f>E31^(1/3)</f>
        <v>20.663802246297021</v>
      </c>
      <c r="G31" s="7">
        <f>E31*(10^-24)</f>
        <v>8.8232931943432015E-21</v>
      </c>
      <c r="H31" s="6">
        <f>$J$15/G31</f>
        <v>1.2816683205720747</v>
      </c>
    </row>
    <row r="33" spans="2:10" x14ac:dyDescent="0.2">
      <c r="B33" t="s">
        <v>11</v>
      </c>
    </row>
    <row r="35" spans="2:10" x14ac:dyDescent="0.2">
      <c r="B35" t="s">
        <v>9</v>
      </c>
      <c r="E35" t="s">
        <v>1</v>
      </c>
      <c r="F35" t="s">
        <v>4</v>
      </c>
      <c r="G35" t="s">
        <v>18</v>
      </c>
      <c r="H35" t="s">
        <v>21</v>
      </c>
      <c r="J35" t="s">
        <v>22</v>
      </c>
    </row>
    <row r="36" spans="2:10" x14ac:dyDescent="0.2">
      <c r="B36">
        <v>0.95</v>
      </c>
      <c r="C36">
        <v>-333.47553802666698</v>
      </c>
      <c r="D36">
        <v>10.62445</v>
      </c>
      <c r="E36">
        <v>6534.82</v>
      </c>
      <c r="F36">
        <f>E36^(1/3)</f>
        <v>18.695821079983006</v>
      </c>
      <c r="G36">
        <f>E36*(10^-24)</f>
        <v>6.53482E-21</v>
      </c>
      <c r="H36" s="6">
        <f>$J$15/G36</f>
        <v>1.730504492902462</v>
      </c>
    </row>
    <row r="37" spans="2:10" x14ac:dyDescent="0.2">
      <c r="B37">
        <v>0.97499999999999998</v>
      </c>
      <c r="C37">
        <v>-330.19629112666701</v>
      </c>
      <c r="D37">
        <v>4.5166766666666698</v>
      </c>
      <c r="E37">
        <f>E$27*(B37/B$27)^3</f>
        <v>7064.4224300189544</v>
      </c>
      <c r="F37">
        <f>E37^(1/3)</f>
        <v>19.187816371561514</v>
      </c>
      <c r="G37">
        <f t="shared" ref="G37:G40" si="3">E37*(10^-24)</f>
        <v>7.0644224300189545E-21</v>
      </c>
      <c r="H37" s="6">
        <f t="shared" ref="H37:H39" si="4">$J$15/G37</f>
        <v>1.6007728136776391</v>
      </c>
    </row>
    <row r="38" spans="2:10" x14ac:dyDescent="0.2">
      <c r="B38">
        <v>1</v>
      </c>
      <c r="C38">
        <v>-325.54513092666701</v>
      </c>
      <c r="D38">
        <v>0.48004999999999998</v>
      </c>
      <c r="E38">
        <f t="shared" ref="E38:E40" si="5">E$27*(B38/B$27)^3</f>
        <v>7621.8924041405426</v>
      </c>
      <c r="F38">
        <f>E38^(1/3)</f>
        <v>19.679811663140015</v>
      </c>
      <c r="G38">
        <f t="shared" si="3"/>
        <v>7.621892404140543E-21</v>
      </c>
      <c r="H38" s="6">
        <f t="shared" si="4"/>
        <v>1.4836912896022487</v>
      </c>
      <c r="I38">
        <f>(H38-H39)/(D38-D39)*(0-D39)+H39</f>
        <v>1.461408842126388</v>
      </c>
    </row>
    <row r="39" spans="2:10" x14ac:dyDescent="0.2">
      <c r="B39">
        <v>1.0249999999999999</v>
      </c>
      <c r="C39">
        <v>-321.44070257666601</v>
      </c>
      <c r="D39">
        <v>-1.80223</v>
      </c>
      <c r="E39">
        <f t="shared" si="5"/>
        <v>8207.9444747776652</v>
      </c>
      <c r="F39">
        <f>E39^(1/3)</f>
        <v>20.171806954718512</v>
      </c>
      <c r="G39">
        <f t="shared" si="3"/>
        <v>8.2079444747776668E-21</v>
      </c>
      <c r="H39" s="6">
        <f t="shared" si="4"/>
        <v>1.3777548575114096</v>
      </c>
    </row>
    <row r="40" spans="2:10" x14ac:dyDescent="0.2">
      <c r="B40">
        <v>1.05</v>
      </c>
      <c r="C40">
        <v>-317.751116963333</v>
      </c>
      <c r="D40">
        <v>-2.7166466666666702</v>
      </c>
      <c r="E40">
        <f t="shared" si="5"/>
        <v>8823.2931943432013</v>
      </c>
      <c r="F40">
        <f>E40^(1/3)</f>
        <v>20.663802246297021</v>
      </c>
      <c r="G40">
        <f t="shared" si="3"/>
        <v>8.8232931943432015E-21</v>
      </c>
      <c r="H40" s="6">
        <f>$J$15/G40</f>
        <v>1.2816683205720747</v>
      </c>
    </row>
    <row r="42" spans="2:10" x14ac:dyDescent="0.2">
      <c r="B42" t="s">
        <v>8</v>
      </c>
    </row>
    <row r="44" spans="2:10" x14ac:dyDescent="0.2">
      <c r="B44" t="s">
        <v>9</v>
      </c>
      <c r="E44" t="s">
        <v>1</v>
      </c>
      <c r="F44" t="s">
        <v>4</v>
      </c>
      <c r="G44" t="s">
        <v>18</v>
      </c>
      <c r="H44" t="s">
        <v>21</v>
      </c>
      <c r="J44" t="s">
        <v>22</v>
      </c>
    </row>
    <row r="45" spans="2:10" x14ac:dyDescent="0.2">
      <c r="B45">
        <v>0.95</v>
      </c>
      <c r="C45">
        <v>-335.49930325333298</v>
      </c>
      <c r="D45">
        <v>9.6778200000000005</v>
      </c>
      <c r="E45">
        <v>6534.82</v>
      </c>
      <c r="F45">
        <f>E45^(1/3)</f>
        <v>18.695821079983006</v>
      </c>
      <c r="G45">
        <f>E45*(10^-24)</f>
        <v>6.53482E-21</v>
      </c>
      <c r="H45" s="6">
        <f>$J$15/G45</f>
        <v>1.730504492902462</v>
      </c>
    </row>
    <row r="46" spans="2:10" x14ac:dyDescent="0.2">
      <c r="B46">
        <v>0.97499999999999998</v>
      </c>
      <c r="C46">
        <v>-332.89603913666701</v>
      </c>
      <c r="D46">
        <v>2.8396233333333298</v>
      </c>
      <c r="E46">
        <f>E$27*(B46/B$27)^3</f>
        <v>7064.4224300189544</v>
      </c>
      <c r="F46">
        <f>E46^(1/3)</f>
        <v>19.187816371561514</v>
      </c>
      <c r="G46">
        <f t="shared" ref="G46:G49" si="6">E46*(10^-24)</f>
        <v>7.0644224300189545E-21</v>
      </c>
      <c r="H46" s="6">
        <f t="shared" ref="H46:H48" si="7">$J$15/G46</f>
        <v>1.6007728136776391</v>
      </c>
      <c r="I46">
        <f>(H46-H47)/(D46-D47)*(0-D47)+H47</f>
        <v>1.496674618536227</v>
      </c>
    </row>
    <row r="47" spans="2:10" x14ac:dyDescent="0.2">
      <c r="B47">
        <v>1</v>
      </c>
      <c r="C47">
        <v>-328.78719476666703</v>
      </c>
      <c r="D47">
        <v>-0.354163333333333</v>
      </c>
      <c r="E47">
        <f t="shared" ref="E47:E49" si="8">E$27*(B47/B$27)^3</f>
        <v>7621.8924041405426</v>
      </c>
      <c r="F47">
        <f>E47^(1/3)</f>
        <v>19.679811663140015</v>
      </c>
      <c r="G47">
        <f t="shared" si="6"/>
        <v>7.621892404140543E-21</v>
      </c>
      <c r="H47" s="6">
        <f t="shared" si="7"/>
        <v>1.4836912896022487</v>
      </c>
    </row>
    <row r="48" spans="2:10" x14ac:dyDescent="0.2">
      <c r="B48">
        <v>1.0249999999999999</v>
      </c>
      <c r="C48">
        <v>-324.62328045999999</v>
      </c>
      <c r="D48">
        <v>-2.55928666666667</v>
      </c>
      <c r="E48">
        <f t="shared" si="8"/>
        <v>8207.9444747776652</v>
      </c>
      <c r="F48">
        <f>E48^(1/3)</f>
        <v>20.171806954718512</v>
      </c>
      <c r="G48">
        <f t="shared" si="6"/>
        <v>8.2079444747776668E-21</v>
      </c>
      <c r="H48" s="6">
        <f t="shared" si="7"/>
        <v>1.3777548575114096</v>
      </c>
    </row>
    <row r="49" spans="2:8" x14ac:dyDescent="0.2">
      <c r="B49">
        <v>1.05</v>
      </c>
      <c r="C49">
        <v>-321.06564201999998</v>
      </c>
      <c r="D49">
        <v>-3.49112333333334</v>
      </c>
      <c r="E49">
        <f t="shared" si="8"/>
        <v>8823.2931943432013</v>
      </c>
      <c r="F49">
        <f>E49^(1/3)</f>
        <v>20.663802246297021</v>
      </c>
      <c r="G49">
        <f t="shared" si="6"/>
        <v>8.8232931943432015E-21</v>
      </c>
      <c r="H49" s="6">
        <f>$J$15/G49</f>
        <v>1.2816683205720747</v>
      </c>
    </row>
    <row r="54" spans="2:8" x14ac:dyDescent="0.2">
      <c r="H54" s="6"/>
    </row>
    <row r="55" spans="2:8" x14ac:dyDescent="0.2">
      <c r="H55" s="6"/>
    </row>
    <row r="56" spans="2:8" x14ac:dyDescent="0.2">
      <c r="H56" s="6"/>
    </row>
    <row r="57" spans="2:8" x14ac:dyDescent="0.2">
      <c r="H57" s="6"/>
    </row>
    <row r="58" spans="2:8" x14ac:dyDescent="0.2">
      <c r="H58" s="6"/>
    </row>
    <row r="63" spans="2:8" x14ac:dyDescent="0.2">
      <c r="H63" s="6"/>
    </row>
    <row r="64" spans="2:8" x14ac:dyDescent="0.2">
      <c r="H64" s="6"/>
    </row>
    <row r="65" spans="8:8" x14ac:dyDescent="0.2">
      <c r="H65" s="6"/>
    </row>
    <row r="66" spans="8:8" x14ac:dyDescent="0.2">
      <c r="H66" s="6"/>
    </row>
    <row r="67" spans="8:8" x14ac:dyDescent="0.2">
      <c r="H6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684B-92AA-DC4A-8F1A-8A191A5E14F8}">
  <dimension ref="B10:J50"/>
  <sheetViews>
    <sheetView topLeftCell="A5" workbookViewId="0">
      <selection activeCell="I48" activeCellId="2" sqref="I31 I39 I48"/>
    </sheetView>
  </sheetViews>
  <sheetFormatPr baseColWidth="10" defaultRowHeight="16" x14ac:dyDescent="0.2"/>
  <cols>
    <col min="7" max="7" width="12.1640625" bestFit="1" customWidth="1"/>
    <col min="10" max="10" width="12.1640625" bestFit="1" customWidth="1"/>
  </cols>
  <sheetData>
    <row r="10" spans="9:10" x14ac:dyDescent="0.2">
      <c r="I10" t="s">
        <v>15</v>
      </c>
    </row>
    <row r="11" spans="9:10" x14ac:dyDescent="0.2">
      <c r="I11">
        <v>72.209999999999994</v>
      </c>
      <c r="J11" t="s">
        <v>16</v>
      </c>
    </row>
    <row r="13" spans="9:10" x14ac:dyDescent="0.2">
      <c r="I13" t="s">
        <v>17</v>
      </c>
    </row>
    <row r="14" spans="9:10" x14ac:dyDescent="0.2">
      <c r="I14" t="s">
        <v>19</v>
      </c>
      <c r="J14">
        <f>100/(6.022E+23)</f>
        <v>1.6605778811026237E-22</v>
      </c>
    </row>
    <row r="15" spans="9:10" x14ac:dyDescent="0.2">
      <c r="I15" t="s">
        <v>20</v>
      </c>
      <c r="J15">
        <f>J14*I11</f>
        <v>1.1991032879442045E-20</v>
      </c>
    </row>
    <row r="24" spans="2:10" x14ac:dyDescent="0.2">
      <c r="I24" s="5"/>
      <c r="J24" s="5"/>
    </row>
    <row r="25" spans="2:10" x14ac:dyDescent="0.2">
      <c r="B25" t="s">
        <v>25</v>
      </c>
    </row>
    <row r="27" spans="2:10" x14ac:dyDescent="0.2">
      <c r="B27" t="s">
        <v>9</v>
      </c>
      <c r="E27" t="s">
        <v>1</v>
      </c>
      <c r="F27" t="s">
        <v>4</v>
      </c>
      <c r="G27" t="s">
        <v>18</v>
      </c>
      <c r="H27" t="s">
        <v>21</v>
      </c>
    </row>
    <row r="28" spans="2:10" x14ac:dyDescent="0.2">
      <c r="B28">
        <v>0.95</v>
      </c>
      <c r="C28">
        <v>-303.171167986667</v>
      </c>
      <c r="D28">
        <v>17.988863333333299</v>
      </c>
      <c r="E28">
        <f>E$30*(B28/B$30)^3</f>
        <v>6534.8205144032891</v>
      </c>
      <c r="F28">
        <f>E28^(1/3)</f>
        <v>18.695821570544428</v>
      </c>
      <c r="G28">
        <f>E28*(10^-24)</f>
        <v>6.5348205144032899E-21</v>
      </c>
      <c r="H28">
        <f>$J$15/G28</f>
        <v>1.8349444874595726</v>
      </c>
    </row>
    <row r="29" spans="2:10" x14ac:dyDescent="0.2">
      <c r="B29">
        <v>0.97499999999999998</v>
      </c>
      <c r="C29">
        <v>-302.7383835</v>
      </c>
      <c r="D29">
        <v>9.4149633333333291</v>
      </c>
      <c r="E29">
        <f>E$30*(B29/B$30)^3</f>
        <v>7064.422986111108</v>
      </c>
      <c r="F29">
        <f>E29^(1/3)</f>
        <v>19.187816875032439</v>
      </c>
      <c r="G29">
        <f t="shared" ref="G29:G32" si="0">E29*(10^-24)</f>
        <v>7.064422986111109E-21</v>
      </c>
      <c r="H29">
        <f t="shared" ref="H29:H31" si="1">$J$15/G29</f>
        <v>1.6973831978941261</v>
      </c>
    </row>
    <row r="30" spans="2:10" x14ac:dyDescent="0.2">
      <c r="B30">
        <v>1</v>
      </c>
      <c r="C30">
        <v>-298.96497975</v>
      </c>
      <c r="D30">
        <v>4.4832433333333297</v>
      </c>
      <c r="E30">
        <v>7621.8930041152234</v>
      </c>
      <c r="F30">
        <f>E30^(1/3)</f>
        <v>19.679812179520443</v>
      </c>
      <c r="G30">
        <f t="shared" si="0"/>
        <v>7.6218930041152249E-21</v>
      </c>
      <c r="H30">
        <f t="shared" si="1"/>
        <v>1.5732355299356506</v>
      </c>
    </row>
    <row r="31" spans="2:10" x14ac:dyDescent="0.2">
      <c r="B31">
        <v>1.0249999999999999</v>
      </c>
      <c r="C31">
        <v>-294.98643733333301</v>
      </c>
      <c r="D31">
        <v>0.801603333333333</v>
      </c>
      <c r="E31">
        <f>E$30*(B31/B$30)^3</f>
        <v>8207.9451208847695</v>
      </c>
      <c r="F31">
        <f>E31^(1/3)</f>
        <v>20.171807484008465</v>
      </c>
      <c r="G31">
        <f t="shared" si="0"/>
        <v>8.2079451208847701E-21</v>
      </c>
      <c r="H31">
        <f t="shared" si="1"/>
        <v>1.4609055863362643</v>
      </c>
      <c r="I31">
        <f>(H31-H32)/(D31-D32)*(0-D32)+H32</f>
        <v>1.4224550193725412</v>
      </c>
    </row>
    <row r="32" spans="2:10" x14ac:dyDescent="0.2">
      <c r="B32">
        <v>1.05</v>
      </c>
      <c r="C32">
        <v>-291.526575976667</v>
      </c>
      <c r="D32">
        <v>-1.32247</v>
      </c>
      <c r="E32">
        <f>E$30*(B32/B$30)^3</f>
        <v>8823.2938888888857</v>
      </c>
      <c r="F32">
        <f>E32^(1/3)</f>
        <v>20.663802788496469</v>
      </c>
      <c r="G32">
        <f t="shared" si="0"/>
        <v>8.8232938888888874E-21</v>
      </c>
      <c r="H32">
        <f>$J$15/G32</f>
        <v>1.3590200021040066</v>
      </c>
    </row>
    <row r="34" spans="2:9" x14ac:dyDescent="0.2">
      <c r="B34" t="s">
        <v>11</v>
      </c>
    </row>
    <row r="36" spans="2:9" x14ac:dyDescent="0.2">
      <c r="B36" t="s">
        <v>9</v>
      </c>
      <c r="E36" t="s">
        <v>1</v>
      </c>
      <c r="F36" t="s">
        <v>4</v>
      </c>
      <c r="G36" t="s">
        <v>18</v>
      </c>
      <c r="H36" t="s">
        <v>21</v>
      </c>
    </row>
    <row r="37" spans="2:9" x14ac:dyDescent="0.2">
      <c r="B37">
        <v>0.95</v>
      </c>
      <c r="C37">
        <v>-306.89342385666703</v>
      </c>
      <c r="D37">
        <v>15.9757266666667</v>
      </c>
      <c r="E37">
        <f>E$30*(B37/B$30)^3</f>
        <v>6534.8205144032891</v>
      </c>
      <c r="F37">
        <f>E37^(1/3)</f>
        <v>18.695821570544428</v>
      </c>
      <c r="G37">
        <f>E37*(10^-24)</f>
        <v>6.5348205144032899E-21</v>
      </c>
      <c r="H37">
        <f>$J$15/G37</f>
        <v>1.8349444874595726</v>
      </c>
    </row>
    <row r="38" spans="2:9" x14ac:dyDescent="0.2">
      <c r="B38">
        <v>0.97499999999999998</v>
      </c>
      <c r="C38">
        <v>-304.82283418333299</v>
      </c>
      <c r="D38">
        <v>7.8421333333333303</v>
      </c>
      <c r="E38">
        <f>E$30*(B38/B$30)^3</f>
        <v>7064.422986111108</v>
      </c>
      <c r="F38">
        <f>E38^(1/3)</f>
        <v>19.187816875032439</v>
      </c>
      <c r="G38">
        <f t="shared" ref="G38:G41" si="2">E38*(10^-24)</f>
        <v>7.064422986111109E-21</v>
      </c>
      <c r="H38">
        <f t="shared" ref="H38:H40" si="3">$J$15/G38</f>
        <v>1.6973831978941261</v>
      </c>
    </row>
    <row r="39" spans="2:9" x14ac:dyDescent="0.2">
      <c r="B39">
        <v>1</v>
      </c>
      <c r="C39">
        <v>-301.46877830333301</v>
      </c>
      <c r="D39">
        <v>3.4730133333333302</v>
      </c>
      <c r="E39">
        <v>7621.8930041152234</v>
      </c>
      <c r="F39">
        <f>E39^(1/3)</f>
        <v>19.679812179520443</v>
      </c>
      <c r="G39">
        <f t="shared" si="2"/>
        <v>7.6218930041152249E-21</v>
      </c>
      <c r="H39">
        <f t="shared" si="3"/>
        <v>1.5732355299356506</v>
      </c>
      <c r="I39">
        <f>(H39-H40)/(D39-D40)*(0-D40)+H40</f>
        <v>1.473298361518808</v>
      </c>
    </row>
    <row r="40" spans="2:9" x14ac:dyDescent="0.2">
      <c r="B40">
        <v>1.0249999999999999</v>
      </c>
      <c r="C40">
        <v>-297.80766187</v>
      </c>
      <c r="D40">
        <v>-0.43067333333333402</v>
      </c>
      <c r="E40">
        <f>E$30*(B40/B$30)^3</f>
        <v>8207.9451208847695</v>
      </c>
      <c r="F40">
        <f>E40^(1/3)</f>
        <v>20.171807484008465</v>
      </c>
      <c r="G40">
        <f t="shared" si="2"/>
        <v>8.2079451208847701E-21</v>
      </c>
      <c r="H40">
        <f t="shared" si="3"/>
        <v>1.4609055863362643</v>
      </c>
    </row>
    <row r="41" spans="2:9" x14ac:dyDescent="0.2">
      <c r="B41">
        <v>1.05</v>
      </c>
      <c r="E41">
        <f>E$30*(B41/B$30)^3</f>
        <v>8823.2938888888857</v>
      </c>
      <c r="F41">
        <f>E41^(1/3)</f>
        <v>20.663802788496469</v>
      </c>
      <c r="G41">
        <f t="shared" si="2"/>
        <v>8.8232938888888874E-21</v>
      </c>
      <c r="H41">
        <f>$J$15/G41</f>
        <v>1.3590200021040066</v>
      </c>
    </row>
    <row r="43" spans="2:9" x14ac:dyDescent="0.2">
      <c r="B43" t="s">
        <v>8</v>
      </c>
    </row>
    <row r="45" spans="2:9" x14ac:dyDescent="0.2">
      <c r="B45" t="s">
        <v>9</v>
      </c>
      <c r="E45" t="s">
        <v>1</v>
      </c>
      <c r="F45" t="s">
        <v>4</v>
      </c>
      <c r="G45" t="s">
        <v>18</v>
      </c>
      <c r="H45" t="s">
        <v>21</v>
      </c>
    </row>
    <row r="46" spans="2:9" x14ac:dyDescent="0.2">
      <c r="B46">
        <v>0.95</v>
      </c>
      <c r="C46">
        <v>-310.20191817333398</v>
      </c>
      <c r="D46">
        <v>14.4112666666667</v>
      </c>
      <c r="E46">
        <f>E$30*(B46/B$30)^3</f>
        <v>6534.8205144032891</v>
      </c>
      <c r="F46">
        <f>E46^(1/3)</f>
        <v>18.695821570544428</v>
      </c>
      <c r="G46">
        <f>E46*(10^-24)</f>
        <v>6.5348205144032899E-21</v>
      </c>
      <c r="H46">
        <f>$J$15/G46</f>
        <v>1.8349444874595726</v>
      </c>
    </row>
    <row r="47" spans="2:9" x14ac:dyDescent="0.2">
      <c r="B47">
        <v>0.97499999999999998</v>
      </c>
      <c r="C47">
        <v>-307.88084639666698</v>
      </c>
      <c r="D47">
        <v>6.3301866666666697</v>
      </c>
      <c r="E47">
        <f>E$30*(B47/B$30)^3</f>
        <v>7064.422986111108</v>
      </c>
      <c r="F47">
        <f>E47^(1/3)</f>
        <v>19.187816875032439</v>
      </c>
      <c r="G47">
        <f t="shared" ref="G47:G50" si="4">E47*(10^-24)</f>
        <v>7.064422986111109E-21</v>
      </c>
      <c r="H47">
        <f t="shared" ref="H47:H49" si="5">$J$15/G47</f>
        <v>1.6973831978941261</v>
      </c>
    </row>
    <row r="48" spans="2:9" x14ac:dyDescent="0.2">
      <c r="B48">
        <v>1</v>
      </c>
      <c r="C48">
        <v>-304.76500555333303</v>
      </c>
      <c r="D48">
        <v>1.7968200000000001</v>
      </c>
      <c r="E48">
        <v>7621.8930041152234</v>
      </c>
      <c r="F48">
        <f>E48^(1/3)</f>
        <v>19.679812179520443</v>
      </c>
      <c r="G48">
        <f t="shared" si="4"/>
        <v>7.6218930041152249E-21</v>
      </c>
      <c r="H48">
        <f t="shared" si="5"/>
        <v>1.5732355299356506</v>
      </c>
      <c r="I48">
        <f>(H48-H49)/(D48-D49)*(0-D49)+H49</f>
        <v>1.5033295674458682</v>
      </c>
    </row>
    <row r="49" spans="2:8" x14ac:dyDescent="0.2">
      <c r="B49">
        <v>1.0249999999999999</v>
      </c>
      <c r="C49">
        <v>-301.66645860333301</v>
      </c>
      <c r="D49">
        <v>-1.0904400000000001</v>
      </c>
      <c r="E49">
        <f>E$30*(B49/B$30)^3</f>
        <v>8207.9451208847695</v>
      </c>
      <c r="F49">
        <f>E49^(1/3)</f>
        <v>20.171807484008465</v>
      </c>
      <c r="G49">
        <f t="shared" si="4"/>
        <v>8.2079451208847701E-21</v>
      </c>
      <c r="H49">
        <f t="shared" si="5"/>
        <v>1.4609055863362643</v>
      </c>
    </row>
    <row r="50" spans="2:8" x14ac:dyDescent="0.2">
      <c r="B50">
        <v>1.05</v>
      </c>
      <c r="E50">
        <f>E$30*(B50/B$30)^3</f>
        <v>8823.2938888888857</v>
      </c>
      <c r="F50">
        <f>E50^(1/3)</f>
        <v>20.663802788496469</v>
      </c>
      <c r="G50">
        <f t="shared" si="4"/>
        <v>8.8232938888888874E-21</v>
      </c>
      <c r="H50">
        <f>$J$15/G50</f>
        <v>1.3590200021040066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5D53-7F5B-9F45-9859-7896F0131034}">
  <dimension ref="B16:J52"/>
  <sheetViews>
    <sheetView topLeftCell="A8" workbookViewId="0">
      <selection activeCell="I41" activeCellId="1" sqref="I32 I41"/>
    </sheetView>
  </sheetViews>
  <sheetFormatPr baseColWidth="10" defaultRowHeight="16" x14ac:dyDescent="0.2"/>
  <cols>
    <col min="9" max="9" width="12.1640625" bestFit="1" customWidth="1"/>
  </cols>
  <sheetData>
    <row r="16" spans="8:8" x14ac:dyDescent="0.2">
      <c r="H16" t="s">
        <v>46</v>
      </c>
    </row>
    <row r="17" spans="2:10" x14ac:dyDescent="0.2">
      <c r="H17">
        <v>74.5</v>
      </c>
      <c r="I17" t="s">
        <v>16</v>
      </c>
    </row>
    <row r="19" spans="2:10" x14ac:dyDescent="0.2">
      <c r="H19" t="s">
        <v>17</v>
      </c>
    </row>
    <row r="20" spans="2:10" x14ac:dyDescent="0.2">
      <c r="H20" t="s">
        <v>19</v>
      </c>
      <c r="I20">
        <f>100/(6.022E+23)</f>
        <v>1.6605778811026237E-22</v>
      </c>
    </row>
    <row r="21" spans="2:10" x14ac:dyDescent="0.2">
      <c r="H21" t="s">
        <v>20</v>
      </c>
      <c r="I21">
        <f>I20*H17</f>
        <v>1.2371305214214546E-20</v>
      </c>
    </row>
    <row r="27" spans="2:10" x14ac:dyDescent="0.2">
      <c r="B27" t="s">
        <v>25</v>
      </c>
    </row>
    <row r="29" spans="2:10" x14ac:dyDescent="0.2">
      <c r="B29" t="s">
        <v>9</v>
      </c>
      <c r="E29" t="s">
        <v>1</v>
      </c>
      <c r="F29" t="s">
        <v>4</v>
      </c>
      <c r="G29" t="s">
        <v>18</v>
      </c>
      <c r="H29" t="s">
        <v>21</v>
      </c>
      <c r="J29" t="s">
        <v>22</v>
      </c>
    </row>
    <row r="30" spans="2:10" x14ac:dyDescent="0.2">
      <c r="B30">
        <v>0.95</v>
      </c>
      <c r="C30">
        <v>-289.45963068666703</v>
      </c>
      <c r="D30">
        <v>14.816276666666701</v>
      </c>
      <c r="E30">
        <v>6859.28</v>
      </c>
      <c r="F30">
        <f>E30^(1/3)</f>
        <v>19.000258537571561</v>
      </c>
      <c r="G30">
        <f>E30*(10^-24)</f>
        <v>6.8592800000000002E-21</v>
      </c>
      <c r="H30">
        <f>I$21/G30</f>
        <v>1.8035865592619846</v>
      </c>
      <c r="J30">
        <f>(0.000003067)*E30^2-(0.05433)*E30+238</f>
        <v>9.6368153371327878</v>
      </c>
    </row>
    <row r="31" spans="2:10" x14ac:dyDescent="0.2">
      <c r="B31">
        <v>0.97499999999999998</v>
      </c>
      <c r="C31">
        <v>-286.72807476333401</v>
      </c>
      <c r="D31">
        <v>8.0577233333333407</v>
      </c>
      <c r="E31">
        <f>E$30*(B31/B$30)^3</f>
        <v>7415.1776920833954</v>
      </c>
      <c r="F31">
        <f>E31^(1/3)</f>
        <v>19.500265341191874</v>
      </c>
      <c r="G31">
        <f t="shared" ref="G31:G34" si="0">E31*(10^-24)</f>
        <v>7.4151776920833956E-21</v>
      </c>
      <c r="H31">
        <f t="shared" ref="H31:H34" si="1">I$21/G31</f>
        <v>1.6683760966945431</v>
      </c>
    </row>
    <row r="32" spans="2:10" x14ac:dyDescent="0.2">
      <c r="B32">
        <v>1</v>
      </c>
      <c r="C32">
        <v>-282.9820891</v>
      </c>
      <c r="D32">
        <v>2.9418933333333301</v>
      </c>
      <c r="E32">
        <f>E$30*(B32/B$30)^3</f>
        <v>8000.3265782183971</v>
      </c>
      <c r="F32">
        <f>E32^(1/3)</f>
        <v>20.000272144812172</v>
      </c>
      <c r="G32">
        <f t="shared" si="0"/>
        <v>8.0003265782183986E-21</v>
      </c>
      <c r="H32">
        <f t="shared" si="1"/>
        <v>1.5463500262472443</v>
      </c>
      <c r="I32">
        <f>(H32-H33)/(D32-D33)*(0-D33)+H33</f>
        <v>1.4400596196160746</v>
      </c>
    </row>
    <row r="33" spans="2:10" x14ac:dyDescent="0.2">
      <c r="B33">
        <v>1.0249999999999999</v>
      </c>
      <c r="C33">
        <f>-279.63723744</f>
        <v>-279.63723743999998</v>
      </c>
      <c r="D33">
        <v>-0.11403000000000001</v>
      </c>
      <c r="E33">
        <f>E$30*(B33/B$30)^3</f>
        <v>8615.4766890217234</v>
      </c>
      <c r="F33">
        <f>E33^(1/3)</f>
        <v>20.50027894843247</v>
      </c>
      <c r="G33">
        <f t="shared" si="0"/>
        <v>8.6154766890217247E-21</v>
      </c>
      <c r="H33">
        <f t="shared" si="1"/>
        <v>1.4359397234489286</v>
      </c>
    </row>
    <row r="34" spans="2:10" x14ac:dyDescent="0.2">
      <c r="B34">
        <v>1.05</v>
      </c>
      <c r="E34">
        <f>E$30*(B34/B$30)^3</f>
        <v>9261.3780551100772</v>
      </c>
      <c r="F34">
        <f>E34^(1/3)</f>
        <v>21.000285752052783</v>
      </c>
      <c r="G34">
        <f t="shared" si="0"/>
        <v>9.2613780551100787E-21</v>
      </c>
      <c r="H34">
        <f t="shared" si="1"/>
        <v>1.3357952931625037</v>
      </c>
    </row>
    <row r="36" spans="2:10" x14ac:dyDescent="0.2">
      <c r="B36" t="s">
        <v>11</v>
      </c>
    </row>
    <row r="38" spans="2:10" x14ac:dyDescent="0.2">
      <c r="B38" t="s">
        <v>9</v>
      </c>
      <c r="E38" t="s">
        <v>1</v>
      </c>
      <c r="F38" t="s">
        <v>4</v>
      </c>
      <c r="G38" t="s">
        <v>18</v>
      </c>
      <c r="H38" t="s">
        <v>21</v>
      </c>
      <c r="J38" t="s">
        <v>22</v>
      </c>
    </row>
    <row r="39" spans="2:10" x14ac:dyDescent="0.2">
      <c r="B39">
        <v>0.95</v>
      </c>
      <c r="C39">
        <v>-292.869035306667</v>
      </c>
      <c r="D39">
        <v>13.254293333333299</v>
      </c>
      <c r="E39">
        <v>6859.28</v>
      </c>
      <c r="F39">
        <f>E39^(1/3)</f>
        <v>19.000258537571561</v>
      </c>
      <c r="G39">
        <f>E39*(10^-24)</f>
        <v>6.8592800000000002E-21</v>
      </c>
      <c r="H39">
        <f>I$21/G39</f>
        <v>1.8035865592619846</v>
      </c>
      <c r="J39">
        <f>(0.000003067)*E39^2-(0.05433)*E39+238</f>
        <v>9.6368153371327878</v>
      </c>
    </row>
    <row r="40" spans="2:10" x14ac:dyDescent="0.2">
      <c r="B40">
        <v>0.97499999999999998</v>
      </c>
      <c r="C40">
        <v>-289.97093257</v>
      </c>
      <c r="D40">
        <v>6.6341200000000002</v>
      </c>
      <c r="E40">
        <f>E$30*(B40/B$30)^3</f>
        <v>7415.1776920833954</v>
      </c>
      <c r="F40">
        <f>E40^(1/3)</f>
        <v>19.500265341191874</v>
      </c>
      <c r="G40">
        <f t="shared" ref="G40:G43" si="2">E40*(10^-24)</f>
        <v>7.4151776920833956E-21</v>
      </c>
      <c r="H40">
        <f t="shared" ref="H40:H43" si="3">I$21/G40</f>
        <v>1.6683760966945431</v>
      </c>
    </row>
    <row r="41" spans="2:10" x14ac:dyDescent="0.2">
      <c r="B41">
        <v>1</v>
      </c>
      <c r="C41">
        <v>-286.718066103333</v>
      </c>
      <c r="D41">
        <v>1.8130866666666701</v>
      </c>
      <c r="E41">
        <f>E$30*(B41/B$30)^3</f>
        <v>8000.3265782183971</v>
      </c>
      <c r="F41">
        <f>E41^(1/3)</f>
        <v>20.000272144812172</v>
      </c>
      <c r="G41">
        <f t="shared" si="2"/>
        <v>8.0003265782183986E-21</v>
      </c>
      <c r="H41">
        <f t="shared" si="3"/>
        <v>1.5463500262472443</v>
      </c>
      <c r="I41">
        <f>(H41-H42)/(D41-D42)*(0-D42)+H42</f>
        <v>1.4735406007813858</v>
      </c>
    </row>
    <row r="42" spans="2:10" x14ac:dyDescent="0.2">
      <c r="B42">
        <v>1.0249999999999999</v>
      </c>
      <c r="C42">
        <v>-282.17955045000002</v>
      </c>
      <c r="D42">
        <v>-0.93633</v>
      </c>
      <c r="E42">
        <f>E$30*(B42/B$30)^3</f>
        <v>8615.4766890217234</v>
      </c>
      <c r="F42">
        <f>E42^(1/3)</f>
        <v>20.50027894843247</v>
      </c>
      <c r="G42">
        <f t="shared" si="2"/>
        <v>8.6154766890217247E-21</v>
      </c>
      <c r="H42">
        <f t="shared" si="3"/>
        <v>1.4359397234489286</v>
      </c>
    </row>
    <row r="43" spans="2:10" x14ac:dyDescent="0.2">
      <c r="B43">
        <v>1.05</v>
      </c>
      <c r="E43">
        <f>E$30*(B43/B$30)^3</f>
        <v>9261.3780551100772</v>
      </c>
      <c r="F43">
        <f>E43^(1/3)</f>
        <v>21.000285752052783</v>
      </c>
      <c r="G43">
        <f t="shared" si="2"/>
        <v>9.2613780551100787E-21</v>
      </c>
      <c r="H43">
        <f t="shared" si="3"/>
        <v>1.3357952931625037</v>
      </c>
    </row>
    <row r="45" spans="2:10" x14ac:dyDescent="0.2">
      <c r="B45" t="s">
        <v>8</v>
      </c>
    </row>
    <row r="47" spans="2:10" x14ac:dyDescent="0.2">
      <c r="B47" t="s">
        <v>9</v>
      </c>
      <c r="E47" t="s">
        <v>1</v>
      </c>
      <c r="F47" t="s">
        <v>4</v>
      </c>
      <c r="G47" t="s">
        <v>18</v>
      </c>
      <c r="H47" t="s">
        <v>21</v>
      </c>
      <c r="J47" t="s">
        <v>22</v>
      </c>
    </row>
    <row r="48" spans="2:10" x14ac:dyDescent="0.2">
      <c r="B48">
        <v>0.95</v>
      </c>
      <c r="E48">
        <v>6859.28</v>
      </c>
      <c r="F48">
        <f>E48^(1/3)</f>
        <v>19.000258537571561</v>
      </c>
      <c r="G48">
        <f>E48*(10^-24)</f>
        <v>6.8592800000000002E-21</v>
      </c>
      <c r="H48">
        <f>I$21/G48</f>
        <v>1.8035865592619846</v>
      </c>
      <c r="J48">
        <f>(0.000003351)*E48^2-(0.05881)*E48+256.8</f>
        <v>11.069362018758426</v>
      </c>
    </row>
    <row r="49" spans="2:9" x14ac:dyDescent="0.2">
      <c r="B49">
        <v>0.97499999999999998</v>
      </c>
      <c r="E49">
        <f>E$30*(B49/B$30)^3</f>
        <v>7415.1776920833954</v>
      </c>
      <c r="F49">
        <f>E49^(1/3)</f>
        <v>19.500265341191874</v>
      </c>
      <c r="G49">
        <f t="shared" ref="G49:G52" si="4">E49*(10^-24)</f>
        <v>7.4151776920833956E-21</v>
      </c>
      <c r="H49">
        <f t="shared" ref="H49:H52" si="5">I$21/G49</f>
        <v>1.6683760966945431</v>
      </c>
    </row>
    <row r="50" spans="2:9" x14ac:dyDescent="0.2">
      <c r="B50">
        <v>1</v>
      </c>
      <c r="E50">
        <f>E$30*(B50/B$30)^3</f>
        <v>8000.3265782183971</v>
      </c>
      <c r="F50">
        <f>E50^(1/3)</f>
        <v>20.000272144812172</v>
      </c>
      <c r="G50">
        <f t="shared" si="4"/>
        <v>8.0003265782183986E-21</v>
      </c>
      <c r="H50">
        <f t="shared" si="5"/>
        <v>1.5463500262472443</v>
      </c>
    </row>
    <row r="51" spans="2:9" x14ac:dyDescent="0.2">
      <c r="B51">
        <v>1.0249999999999999</v>
      </c>
      <c r="E51">
        <f>E$30*(B51/B$30)^3</f>
        <v>8615.4766890217234</v>
      </c>
      <c r="F51">
        <f>E51^(1/3)</f>
        <v>20.50027894843247</v>
      </c>
      <c r="G51">
        <f t="shared" si="4"/>
        <v>8.6154766890217247E-21</v>
      </c>
      <c r="H51">
        <f t="shared" si="5"/>
        <v>1.4359397234489286</v>
      </c>
      <c r="I51" t="e">
        <f>(H51-H52)/(D51-D52)*(0-D52)+H52</f>
        <v>#DIV/0!</v>
      </c>
    </row>
    <row r="52" spans="2:9" x14ac:dyDescent="0.2">
      <c r="B52">
        <v>1.05</v>
      </c>
      <c r="E52">
        <f>E$30*(B52/B$30)^3</f>
        <v>9261.3780551100772</v>
      </c>
      <c r="F52">
        <f>E52^(1/3)</f>
        <v>21.000285752052783</v>
      </c>
      <c r="G52">
        <f t="shared" si="4"/>
        <v>9.2613780551100787E-21</v>
      </c>
      <c r="H52">
        <f t="shared" si="5"/>
        <v>1.3357952931625037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3EC0-8E03-3A4A-B5E1-98F719C3F3EE}">
  <dimension ref="B1:T59"/>
  <sheetViews>
    <sheetView workbookViewId="0">
      <selection activeCell="M33" sqref="M33"/>
    </sheetView>
  </sheetViews>
  <sheetFormatPr baseColWidth="10" defaultRowHeight="16" x14ac:dyDescent="0.2"/>
  <sheetData>
    <row r="1" spans="2:15" x14ac:dyDescent="0.2">
      <c r="B1" t="s">
        <v>13</v>
      </c>
      <c r="E1" t="s">
        <v>41</v>
      </c>
      <c r="F1" t="s">
        <v>42</v>
      </c>
    </row>
    <row r="2" spans="2:15" x14ac:dyDescent="0.2">
      <c r="F2" t="s">
        <v>43</v>
      </c>
    </row>
    <row r="3" spans="2:15" x14ac:dyDescent="0.2">
      <c r="B3" t="s">
        <v>31</v>
      </c>
      <c r="C3">
        <v>880</v>
      </c>
    </row>
    <row r="4" spans="2:15" x14ac:dyDescent="0.2">
      <c r="B4" t="s">
        <v>32</v>
      </c>
      <c r="C4" s="4">
        <v>1047</v>
      </c>
    </row>
    <row r="5" spans="2:15" x14ac:dyDescent="0.2">
      <c r="B5" t="s">
        <v>33</v>
      </c>
      <c r="C5" s="4">
        <v>625</v>
      </c>
    </row>
    <row r="7" spans="2:15" x14ac:dyDescent="0.2">
      <c r="B7" t="s">
        <v>28</v>
      </c>
      <c r="G7" t="s">
        <v>23</v>
      </c>
      <c r="L7" t="s">
        <v>34</v>
      </c>
    </row>
    <row r="8" spans="2:15" x14ac:dyDescent="0.2">
      <c r="C8" s="2"/>
    </row>
    <row r="9" spans="2:15" x14ac:dyDescent="0.2">
      <c r="B9" t="s">
        <v>27</v>
      </c>
      <c r="C9" s="2"/>
      <c r="D9" t="s">
        <v>29</v>
      </c>
      <c r="E9" t="s">
        <v>30</v>
      </c>
      <c r="G9" t="s">
        <v>27</v>
      </c>
      <c r="H9" s="2"/>
      <c r="I9" t="s">
        <v>29</v>
      </c>
      <c r="J9" t="s">
        <v>30</v>
      </c>
      <c r="L9" t="s">
        <v>27</v>
      </c>
      <c r="M9" s="2"/>
      <c r="N9" t="s">
        <v>29</v>
      </c>
      <c r="O9" t="s">
        <v>30</v>
      </c>
    </row>
    <row r="10" spans="2:15" x14ac:dyDescent="0.2">
      <c r="C10" s="2"/>
    </row>
    <row r="11" spans="2:15" x14ac:dyDescent="0.2">
      <c r="B11">
        <v>620</v>
      </c>
      <c r="C11" s="3">
        <v>1.4975000000000001</v>
      </c>
      <c r="D11">
        <f>B11+273</f>
        <v>893</v>
      </c>
      <c r="E11" s="3">
        <f>(-0.000432)*D11+1.88</f>
        <v>1.494224</v>
      </c>
      <c r="G11">
        <v>779.5</v>
      </c>
      <c r="H11">
        <v>1.5219</v>
      </c>
      <c r="I11">
        <f>G11+273</f>
        <v>1052.5</v>
      </c>
      <c r="J11">
        <f>(-0.000582)*I11+2.13</f>
        <v>1.5174449999999999</v>
      </c>
      <c r="L11">
        <v>585</v>
      </c>
      <c r="M11">
        <v>1.5958000000000001</v>
      </c>
      <c r="N11">
        <f>L11+273</f>
        <v>858</v>
      </c>
      <c r="O11">
        <f>(-0.000561)*N11+2.08</f>
        <v>1.598662</v>
      </c>
    </row>
    <row r="12" spans="2:15" x14ac:dyDescent="0.2">
      <c r="B12">
        <v>638</v>
      </c>
      <c r="C12" s="3">
        <v>1.4899</v>
      </c>
      <c r="D12">
        <f t="shared" ref="D12:D15" si="0">B12+273</f>
        <v>911</v>
      </c>
      <c r="E12" s="3">
        <f t="shared" ref="E12:E18" si="1">(-0.000432)*D12+1.88</f>
        <v>1.4864479999999998</v>
      </c>
      <c r="G12">
        <v>827.4</v>
      </c>
      <c r="H12">
        <v>1.4943</v>
      </c>
      <c r="I12">
        <f t="shared" ref="I12" si="2">G12+273</f>
        <v>1100.4000000000001</v>
      </c>
      <c r="J12">
        <f t="shared" ref="J12:J13" si="3">(-0.000582)*I12+2.13</f>
        <v>1.4895671999999998</v>
      </c>
      <c r="L12">
        <v>645.4</v>
      </c>
      <c r="M12">
        <v>1.5609999999999999</v>
      </c>
      <c r="N12">
        <f t="shared" ref="N12" si="4">L12+273</f>
        <v>918.4</v>
      </c>
      <c r="O12">
        <f t="shared" ref="O12:O13" si="5">(-0.000561)*N12+2.08</f>
        <v>1.5647776000000002</v>
      </c>
    </row>
    <row r="13" spans="2:15" x14ac:dyDescent="0.2">
      <c r="B13">
        <v>656</v>
      </c>
      <c r="C13" s="3">
        <v>1.4821</v>
      </c>
      <c r="D13">
        <f t="shared" si="0"/>
        <v>929</v>
      </c>
      <c r="E13" s="3">
        <f t="shared" si="1"/>
        <v>1.478672</v>
      </c>
      <c r="G13">
        <v>939</v>
      </c>
      <c r="H13">
        <v>1.4292</v>
      </c>
      <c r="I13">
        <f>G13+273</f>
        <v>1212</v>
      </c>
      <c r="J13">
        <f t="shared" si="3"/>
        <v>1.4246159999999999</v>
      </c>
      <c r="L13">
        <v>746</v>
      </c>
      <c r="M13">
        <v>1.5054000000000001</v>
      </c>
      <c r="N13">
        <f>L13+273</f>
        <v>1019</v>
      </c>
      <c r="O13">
        <f t="shared" si="5"/>
        <v>1.5083410000000002</v>
      </c>
    </row>
    <row r="14" spans="2:15" x14ac:dyDescent="0.2">
      <c r="B14">
        <v>686</v>
      </c>
      <c r="C14" s="3">
        <v>1.4689000000000001</v>
      </c>
      <c r="D14">
        <f t="shared" si="0"/>
        <v>959</v>
      </c>
      <c r="E14" s="3">
        <f t="shared" si="1"/>
        <v>1.4657119999999999</v>
      </c>
    </row>
    <row r="15" spans="2:15" x14ac:dyDescent="0.2">
      <c r="B15">
        <v>780.5</v>
      </c>
      <c r="C15" s="3">
        <v>1.4281999999999999</v>
      </c>
      <c r="D15">
        <f t="shared" si="0"/>
        <v>1053.5</v>
      </c>
      <c r="E15" s="3">
        <f t="shared" si="1"/>
        <v>1.4248879999999999</v>
      </c>
    </row>
    <row r="17" spans="2:20" x14ac:dyDescent="0.2">
      <c r="C17" s="3">
        <v>0</v>
      </c>
      <c r="D17">
        <v>1050</v>
      </c>
      <c r="E17" s="3">
        <f t="shared" si="1"/>
        <v>1.4263999999999999</v>
      </c>
      <c r="H17">
        <v>1</v>
      </c>
      <c r="I17">
        <v>1050</v>
      </c>
      <c r="J17">
        <f t="shared" ref="J17:J18" si="6">(-0.000582)*I17+2.13</f>
        <v>1.5188999999999999</v>
      </c>
      <c r="M17">
        <v>0.4</v>
      </c>
      <c r="N17">
        <v>1050</v>
      </c>
      <c r="O17">
        <f t="shared" ref="O17:O18" si="7">(-0.000561)*N17+2.08</f>
        <v>1.4909500000000002</v>
      </c>
    </row>
    <row r="18" spans="2:20" x14ac:dyDescent="0.2">
      <c r="D18">
        <v>1000</v>
      </c>
      <c r="E18" s="3">
        <f t="shared" si="1"/>
        <v>1.448</v>
      </c>
      <c r="I18">
        <v>1000</v>
      </c>
      <c r="J18">
        <f t="shared" si="6"/>
        <v>1.5479999999999998</v>
      </c>
      <c r="N18">
        <v>1000</v>
      </c>
      <c r="O18">
        <f t="shared" si="7"/>
        <v>1.5190000000000001</v>
      </c>
    </row>
    <row r="19" spans="2:20" x14ac:dyDescent="0.2">
      <c r="B19" t="s">
        <v>38</v>
      </c>
      <c r="G19" t="s">
        <v>35</v>
      </c>
      <c r="L19" t="s">
        <v>39</v>
      </c>
      <c r="Q19" t="s">
        <v>40</v>
      </c>
    </row>
    <row r="21" spans="2:20" x14ac:dyDescent="0.2">
      <c r="B21" t="s">
        <v>27</v>
      </c>
      <c r="C21" s="2"/>
      <c r="D21" t="s">
        <v>29</v>
      </c>
      <c r="E21" t="s">
        <v>30</v>
      </c>
      <c r="G21" t="s">
        <v>27</v>
      </c>
      <c r="H21" s="2"/>
      <c r="I21" t="s">
        <v>29</v>
      </c>
      <c r="J21" t="s">
        <v>30</v>
      </c>
      <c r="L21" t="s">
        <v>27</v>
      </c>
      <c r="M21" s="2"/>
      <c r="N21" t="s">
        <v>29</v>
      </c>
      <c r="O21" t="s">
        <v>30</v>
      </c>
      <c r="Q21" t="s">
        <v>27</v>
      </c>
      <c r="R21" s="2"/>
      <c r="S21" t="s">
        <v>29</v>
      </c>
      <c r="T21" t="s">
        <v>30</v>
      </c>
    </row>
    <row r="23" spans="2:20" x14ac:dyDescent="0.2">
      <c r="B23">
        <v>395</v>
      </c>
      <c r="C23">
        <v>1.6766000000000001</v>
      </c>
      <c r="D23">
        <f>B23+273</f>
        <v>668</v>
      </c>
      <c r="E23">
        <f>(-0.000527)*D23+2.03</f>
        <v>1.6779639999999998</v>
      </c>
      <c r="G23">
        <v>455.9</v>
      </c>
      <c r="H23">
        <v>1.6245000000000001</v>
      </c>
      <c r="I23">
        <f>G23+273</f>
        <v>728.9</v>
      </c>
      <c r="J23">
        <f>(-0.000507)*I23+1.99</f>
        <v>1.6204477000000002</v>
      </c>
      <c r="L23">
        <v>532.6</v>
      </c>
      <c r="M23">
        <v>1.5750999999999999</v>
      </c>
      <c r="N23">
        <f>L23+273</f>
        <v>805.6</v>
      </c>
      <c r="O23">
        <f>(-0.000492)*N23+1.97</f>
        <v>1.5736447999999998</v>
      </c>
      <c r="Q23">
        <v>690</v>
      </c>
      <c r="R23">
        <v>1.5613999999999999</v>
      </c>
      <c r="S23">
        <f>Q23+273</f>
        <v>963</v>
      </c>
      <c r="T23">
        <f>(-0.000579)*S23+2.12</f>
        <v>1.5624230000000001</v>
      </c>
    </row>
    <row r="24" spans="2:20" x14ac:dyDescent="0.2">
      <c r="B24">
        <v>482.7</v>
      </c>
      <c r="C24">
        <v>1.6308</v>
      </c>
      <c r="D24">
        <f t="shared" ref="D24" si="8">B24+273</f>
        <v>755.7</v>
      </c>
      <c r="E24">
        <f t="shared" ref="E24:E28" si="9">(-0.000527)*D24+2.03</f>
        <v>1.6317460999999998</v>
      </c>
      <c r="G24">
        <v>516.4</v>
      </c>
      <c r="H24">
        <v>1.5942000000000001</v>
      </c>
      <c r="I24">
        <f t="shared" ref="I24" si="10">G24+273</f>
        <v>789.4</v>
      </c>
      <c r="J24">
        <f t="shared" ref="J24:J28" si="11">(-0.000507)*I24+1.99</f>
        <v>1.5897741999999999</v>
      </c>
      <c r="L24">
        <v>605.79999999999995</v>
      </c>
      <c r="M24">
        <v>1.5389999999999999</v>
      </c>
      <c r="N24">
        <f t="shared" ref="N24" si="12">L24+273</f>
        <v>878.8</v>
      </c>
      <c r="O24">
        <f t="shared" ref="O24:O28" si="13">(-0.000492)*N24+1.97</f>
        <v>1.5376303999999998</v>
      </c>
      <c r="Q24">
        <v>795.8</v>
      </c>
      <c r="R24">
        <v>1.4994000000000001</v>
      </c>
      <c r="S24">
        <f t="shared" ref="S24" si="14">Q24+273</f>
        <v>1068.8</v>
      </c>
      <c r="T24">
        <f t="shared" ref="T24:T25" si="15">(-0.000579)*S24+2.12</f>
        <v>1.5011648000000002</v>
      </c>
    </row>
    <row r="25" spans="2:20" x14ac:dyDescent="0.2">
      <c r="B25">
        <v>593</v>
      </c>
      <c r="C25">
        <v>1.5722</v>
      </c>
      <c r="D25">
        <f>B25+273</f>
        <v>866</v>
      </c>
      <c r="E25">
        <f t="shared" si="9"/>
        <v>1.5736179999999997</v>
      </c>
      <c r="G25">
        <v>602.1</v>
      </c>
      <c r="H25">
        <v>1.5504</v>
      </c>
      <c r="I25">
        <f>G25+273</f>
        <v>875.1</v>
      </c>
      <c r="J25">
        <f t="shared" si="11"/>
        <v>1.5463243</v>
      </c>
      <c r="L25">
        <v>660.6</v>
      </c>
      <c r="M25">
        <v>1.5122</v>
      </c>
      <c r="N25">
        <f>L25+273</f>
        <v>933.6</v>
      </c>
      <c r="O25">
        <f t="shared" si="13"/>
        <v>1.5106687999999999</v>
      </c>
      <c r="Q25">
        <v>853.3</v>
      </c>
      <c r="R25">
        <v>1.4670000000000001</v>
      </c>
      <c r="S25">
        <f>Q25+273</f>
        <v>1126.3</v>
      </c>
      <c r="T25">
        <f t="shared" si="15"/>
        <v>1.4678723000000002</v>
      </c>
    </row>
    <row r="27" spans="2:20" x14ac:dyDescent="0.2">
      <c r="D27">
        <v>1050</v>
      </c>
      <c r="E27">
        <f t="shared" si="9"/>
        <v>1.4766499999999998</v>
      </c>
      <c r="I27">
        <v>1050</v>
      </c>
      <c r="J27">
        <f t="shared" si="11"/>
        <v>1.4576500000000001</v>
      </c>
      <c r="N27">
        <v>1050</v>
      </c>
      <c r="O27">
        <f t="shared" si="13"/>
        <v>1.4533999999999998</v>
      </c>
      <c r="S27">
        <v>1050</v>
      </c>
      <c r="T27">
        <f>(-0.000579)*S27+2.12</f>
        <v>1.5120500000000001</v>
      </c>
    </row>
    <row r="28" spans="2:20" x14ac:dyDescent="0.2">
      <c r="D28">
        <v>1000</v>
      </c>
      <c r="E28">
        <f t="shared" si="9"/>
        <v>1.5029999999999997</v>
      </c>
      <c r="I28">
        <v>1000</v>
      </c>
      <c r="J28">
        <f t="shared" si="11"/>
        <v>1.4830000000000001</v>
      </c>
      <c r="N28">
        <v>1000</v>
      </c>
      <c r="O28">
        <f t="shared" si="13"/>
        <v>1.478</v>
      </c>
      <c r="S28">
        <v>1000</v>
      </c>
      <c r="T28">
        <f>(-0.000579)*S28+2.12</f>
        <v>1.5410000000000001</v>
      </c>
    </row>
    <row r="36" spans="8:12" x14ac:dyDescent="0.2">
      <c r="H36" t="s">
        <v>36</v>
      </c>
      <c r="I36" t="s">
        <v>24</v>
      </c>
      <c r="J36" t="s">
        <v>37</v>
      </c>
      <c r="K36" t="s">
        <v>24</v>
      </c>
      <c r="L36" t="s">
        <v>37</v>
      </c>
    </row>
    <row r="38" spans="8:12" x14ac:dyDescent="0.2">
      <c r="H38" s="3">
        <v>0</v>
      </c>
      <c r="I38">
        <v>1050</v>
      </c>
      <c r="J38" s="3">
        <v>1.4263999999999999</v>
      </c>
      <c r="K38">
        <v>1000</v>
      </c>
      <c r="L38">
        <v>1.448</v>
      </c>
    </row>
    <row r="39" spans="8:12" x14ac:dyDescent="0.2">
      <c r="H39" s="3">
        <v>0.18</v>
      </c>
      <c r="I39">
        <v>1050</v>
      </c>
      <c r="J39" s="3">
        <v>1.4533999999999998</v>
      </c>
      <c r="K39">
        <v>1000</v>
      </c>
      <c r="L39">
        <v>1.478</v>
      </c>
    </row>
    <row r="40" spans="8:12" x14ac:dyDescent="0.2">
      <c r="H40">
        <v>0.3</v>
      </c>
      <c r="I40">
        <v>1050</v>
      </c>
      <c r="J40">
        <v>1.4576500000000001</v>
      </c>
      <c r="K40">
        <v>1000</v>
      </c>
      <c r="L40">
        <v>1.4830000000000001</v>
      </c>
    </row>
    <row r="41" spans="8:12" x14ac:dyDescent="0.2">
      <c r="H41">
        <v>0.41</v>
      </c>
      <c r="I41">
        <v>1050</v>
      </c>
      <c r="J41">
        <v>1.4766499999999998</v>
      </c>
      <c r="K41">
        <v>1000</v>
      </c>
      <c r="L41">
        <v>1.5029999999999997</v>
      </c>
    </row>
    <row r="42" spans="8:12" x14ac:dyDescent="0.2">
      <c r="H42">
        <v>0.6</v>
      </c>
      <c r="I42">
        <v>1050</v>
      </c>
      <c r="J42">
        <v>1.4909500000000002</v>
      </c>
      <c r="K42">
        <v>1000</v>
      </c>
      <c r="L42">
        <v>1.5190000000000001</v>
      </c>
    </row>
    <row r="43" spans="8:12" x14ac:dyDescent="0.2">
      <c r="H43">
        <v>0.8</v>
      </c>
      <c r="I43">
        <v>1050</v>
      </c>
      <c r="J43">
        <v>1.5120500000000001</v>
      </c>
      <c r="K43">
        <v>1000</v>
      </c>
      <c r="L43">
        <v>1.5410000000000001</v>
      </c>
    </row>
    <row r="44" spans="8:12" x14ac:dyDescent="0.2">
      <c r="H44">
        <v>1</v>
      </c>
      <c r="I44">
        <v>1050</v>
      </c>
      <c r="J44">
        <v>1.5188999999999999</v>
      </c>
      <c r="K44">
        <v>1000</v>
      </c>
      <c r="L44">
        <v>1.5479999999999998</v>
      </c>
    </row>
    <row r="45" spans="8:12" x14ac:dyDescent="0.2">
      <c r="H45" t="s">
        <v>44</v>
      </c>
      <c r="K45" t="s">
        <v>56</v>
      </c>
    </row>
    <row r="46" spans="8:12" x14ac:dyDescent="0.2">
      <c r="H46" t="s">
        <v>36</v>
      </c>
      <c r="I46" t="s">
        <v>26</v>
      </c>
      <c r="K46" t="s">
        <v>36</v>
      </c>
      <c r="L46" t="s">
        <v>26</v>
      </c>
    </row>
    <row r="47" spans="8:12" x14ac:dyDescent="0.2">
      <c r="H47" s="5">
        <v>0</v>
      </c>
      <c r="I47" s="5">
        <f>(-0.0401)*H47^2+0.134*H47+1.4267</f>
        <v>1.4267000000000001</v>
      </c>
      <c r="K47" s="5">
        <v>0</v>
      </c>
      <c r="L47" s="5">
        <f>(-0.0476)*K47^2+0.1489*K47+1.4484</f>
        <v>1.4483999999999999</v>
      </c>
    </row>
    <row r="48" spans="8:12" x14ac:dyDescent="0.2">
      <c r="H48" s="5">
        <v>7.0000000000000007E-2</v>
      </c>
      <c r="I48" s="5">
        <f t="shared" ref="I48:I59" si="16">(-0.0401)*H48^2+0.134*H48+1.4267</f>
        <v>1.43588351</v>
      </c>
      <c r="K48" s="5">
        <v>7.0000000000000007E-2</v>
      </c>
      <c r="L48" s="5">
        <f t="shared" ref="L48:L59" si="17">(-0.0476)*K48^2+0.1489*K48+1.4484</f>
        <v>1.45858976</v>
      </c>
    </row>
    <row r="49" spans="8:12" x14ac:dyDescent="0.2">
      <c r="H49">
        <v>0.1</v>
      </c>
      <c r="I49">
        <f t="shared" si="16"/>
        <v>1.4396990000000001</v>
      </c>
      <c r="K49">
        <v>0.1</v>
      </c>
      <c r="L49" s="5">
        <f t="shared" si="17"/>
        <v>1.4628139999999998</v>
      </c>
    </row>
    <row r="50" spans="8:12" x14ac:dyDescent="0.2">
      <c r="H50">
        <v>0.2</v>
      </c>
      <c r="I50">
        <f t="shared" si="16"/>
        <v>1.4518960000000001</v>
      </c>
      <c r="K50">
        <v>0.2</v>
      </c>
      <c r="L50" s="5">
        <f t="shared" si="17"/>
        <v>1.4762759999999999</v>
      </c>
    </row>
    <row r="51" spans="8:12" x14ac:dyDescent="0.2">
      <c r="H51">
        <v>0.3</v>
      </c>
      <c r="I51">
        <f t="shared" si="16"/>
        <v>1.4632910000000001</v>
      </c>
      <c r="K51">
        <v>0.3</v>
      </c>
      <c r="L51" s="5">
        <f t="shared" si="17"/>
        <v>1.4887859999999999</v>
      </c>
    </row>
    <row r="52" spans="8:12" x14ac:dyDescent="0.2">
      <c r="H52">
        <v>0.4</v>
      </c>
      <c r="I52">
        <f t="shared" si="16"/>
        <v>1.4738840000000002</v>
      </c>
      <c r="K52">
        <v>0.4</v>
      </c>
      <c r="L52" s="5">
        <f t="shared" si="17"/>
        <v>1.5003439999999999</v>
      </c>
    </row>
    <row r="53" spans="8:12" x14ac:dyDescent="0.2">
      <c r="H53">
        <v>0.5</v>
      </c>
      <c r="I53">
        <f t="shared" si="16"/>
        <v>1.4836750000000001</v>
      </c>
      <c r="K53">
        <v>0.5</v>
      </c>
      <c r="L53" s="5">
        <f t="shared" si="17"/>
        <v>1.5109499999999998</v>
      </c>
    </row>
    <row r="54" spans="8:12" x14ac:dyDescent="0.2">
      <c r="H54">
        <v>0.6</v>
      </c>
      <c r="I54">
        <f t="shared" si="16"/>
        <v>1.492664</v>
      </c>
      <c r="K54">
        <v>0.6</v>
      </c>
      <c r="L54" s="5">
        <f t="shared" si="17"/>
        <v>1.5206039999999998</v>
      </c>
    </row>
    <row r="55" spans="8:12" x14ac:dyDescent="0.2">
      <c r="H55">
        <v>0.7</v>
      </c>
      <c r="I55">
        <f t="shared" si="16"/>
        <v>1.5008510000000002</v>
      </c>
      <c r="K55">
        <v>0.7</v>
      </c>
      <c r="L55" s="5">
        <f t="shared" si="17"/>
        <v>1.5293059999999998</v>
      </c>
    </row>
    <row r="56" spans="8:12" x14ac:dyDescent="0.2">
      <c r="H56" s="5">
        <v>0.8</v>
      </c>
      <c r="I56" s="5">
        <f t="shared" si="16"/>
        <v>1.5082360000000001</v>
      </c>
      <c r="K56" s="5">
        <v>0.8</v>
      </c>
      <c r="L56" s="5">
        <f t="shared" si="17"/>
        <v>1.537056</v>
      </c>
    </row>
    <row r="57" spans="8:12" x14ac:dyDescent="0.2">
      <c r="H57">
        <v>0.9</v>
      </c>
      <c r="I57">
        <f t="shared" si="16"/>
        <v>1.5148190000000001</v>
      </c>
      <c r="K57">
        <v>0.9</v>
      </c>
      <c r="L57" s="5">
        <f t="shared" si="17"/>
        <v>1.5438539999999998</v>
      </c>
    </row>
    <row r="58" spans="8:12" x14ac:dyDescent="0.2">
      <c r="H58" s="5">
        <v>0.93</v>
      </c>
      <c r="I58" s="5">
        <f t="shared" si="16"/>
        <v>1.51663751</v>
      </c>
      <c r="K58" s="5">
        <v>0.93</v>
      </c>
      <c r="L58" s="5">
        <f t="shared" si="17"/>
        <v>1.54570776</v>
      </c>
    </row>
    <row r="59" spans="8:12" x14ac:dyDescent="0.2">
      <c r="H59" s="5">
        <v>1</v>
      </c>
      <c r="I59" s="5">
        <f t="shared" si="16"/>
        <v>1.5206000000000002</v>
      </c>
      <c r="K59" s="5">
        <v>1</v>
      </c>
      <c r="L59" s="5">
        <f t="shared" si="17"/>
        <v>1.5496999999999999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9727-B6A9-F74A-8682-2C2A763BF0A3}">
  <dimension ref="B4:I16"/>
  <sheetViews>
    <sheetView workbookViewId="0">
      <selection activeCell="C5" activeCellId="1" sqref="C9:I9 C5:I5"/>
    </sheetView>
  </sheetViews>
  <sheetFormatPr baseColWidth="10" defaultRowHeight="16" x14ac:dyDescent="0.2"/>
  <sheetData>
    <row r="4" spans="2:9" x14ac:dyDescent="0.2">
      <c r="C4" t="s">
        <v>57</v>
      </c>
    </row>
    <row r="5" spans="2:9" x14ac:dyDescent="0.2">
      <c r="C5" t="s">
        <v>28</v>
      </c>
      <c r="D5" t="s">
        <v>58</v>
      </c>
      <c r="E5" t="s">
        <v>59</v>
      </c>
      <c r="F5" t="s">
        <v>60</v>
      </c>
      <c r="G5" t="s">
        <v>61</v>
      </c>
      <c r="H5" t="s">
        <v>14</v>
      </c>
      <c r="I5" t="s">
        <v>23</v>
      </c>
    </row>
    <row r="6" spans="2:9" x14ac:dyDescent="0.2">
      <c r="B6">
        <v>1200</v>
      </c>
      <c r="C6">
        <f>1.8842-(0.0004328)*B6</f>
        <v>1.3648400000000001</v>
      </c>
      <c r="D6">
        <f>1.9689-(0.00048908)*B6</f>
        <v>1.382004</v>
      </c>
      <c r="E6">
        <f>1.9945-(0.00050738)*B6</f>
        <v>1.3856440000000001</v>
      </c>
      <c r="F6">
        <f>2.0285-(0.00052676)*B6</f>
        <v>1.3963880000000002</v>
      </c>
      <c r="G6">
        <f>2.0768-(0.0005612)*B6</f>
        <v>1.4033600000000002</v>
      </c>
      <c r="H6">
        <f>2.1172-(0.00057764)*B6</f>
        <v>1.424032</v>
      </c>
      <c r="I6">
        <f>2.1359-(0.0005831)*B6</f>
        <v>1.4361799999999998</v>
      </c>
    </row>
    <row r="7" spans="2:9" x14ac:dyDescent="0.2">
      <c r="B7">
        <v>1150</v>
      </c>
      <c r="C7">
        <f t="shared" ref="C7:C12" si="0">1.8842-(0.0004328)*B7</f>
        <v>1.3864800000000002</v>
      </c>
      <c r="D7">
        <f t="shared" ref="D7:D14" si="1">1.9689-(0.00048908)*B7</f>
        <v>1.4064580000000002</v>
      </c>
      <c r="E7">
        <f t="shared" ref="E7:E14" si="2">1.9945-(0.00050738)*B7</f>
        <v>1.4110130000000001</v>
      </c>
      <c r="F7">
        <f t="shared" ref="F7:F16" si="3">2.0285-(0.00052676)*B7</f>
        <v>1.4227260000000002</v>
      </c>
      <c r="G7">
        <f t="shared" ref="G7:G13" si="4">2.0768-(0.0005612)*B7</f>
        <v>1.4314200000000001</v>
      </c>
      <c r="H7">
        <f t="shared" ref="H7:H10" si="5">2.1172-(0.00057764)*B7</f>
        <v>1.4529139999999998</v>
      </c>
      <c r="I7">
        <f t="shared" ref="I7:I10" si="6">2.1359-(0.0005831)*B7</f>
        <v>1.4653349999999998</v>
      </c>
    </row>
    <row r="8" spans="2:9" x14ac:dyDescent="0.2">
      <c r="B8">
        <v>1100</v>
      </c>
      <c r="C8">
        <f t="shared" si="0"/>
        <v>1.40812</v>
      </c>
      <c r="D8">
        <f t="shared" si="1"/>
        <v>1.4309120000000002</v>
      </c>
      <c r="E8">
        <f t="shared" si="2"/>
        <v>1.436382</v>
      </c>
      <c r="F8">
        <f t="shared" si="3"/>
        <v>1.4490640000000001</v>
      </c>
      <c r="G8">
        <f t="shared" si="4"/>
        <v>1.4594800000000001</v>
      </c>
      <c r="H8">
        <f t="shared" si="5"/>
        <v>1.4817959999999999</v>
      </c>
      <c r="I8">
        <f t="shared" si="6"/>
        <v>1.4944899999999999</v>
      </c>
    </row>
    <row r="9" spans="2:9" x14ac:dyDescent="0.2">
      <c r="B9">
        <v>1050</v>
      </c>
      <c r="C9">
        <f t="shared" si="0"/>
        <v>1.4297600000000001</v>
      </c>
      <c r="D9">
        <f t="shared" si="1"/>
        <v>1.4553660000000002</v>
      </c>
      <c r="E9">
        <f t="shared" si="2"/>
        <v>1.461751</v>
      </c>
      <c r="F9">
        <f t="shared" si="3"/>
        <v>1.4754020000000003</v>
      </c>
      <c r="G9">
        <f t="shared" si="4"/>
        <v>1.4875400000000001</v>
      </c>
      <c r="H9">
        <f t="shared" si="5"/>
        <v>1.510678</v>
      </c>
      <c r="I9">
        <f t="shared" si="6"/>
        <v>1.5236449999999999</v>
      </c>
    </row>
    <row r="10" spans="2:9" x14ac:dyDescent="0.2">
      <c r="B10">
        <v>1000</v>
      </c>
      <c r="C10">
        <f t="shared" si="0"/>
        <v>1.4514</v>
      </c>
      <c r="D10">
        <f t="shared" si="1"/>
        <v>1.4798200000000001</v>
      </c>
      <c r="E10">
        <f t="shared" si="2"/>
        <v>1.48712</v>
      </c>
      <c r="F10">
        <f t="shared" si="3"/>
        <v>1.5017400000000003</v>
      </c>
      <c r="G10">
        <f t="shared" si="4"/>
        <v>1.5156000000000001</v>
      </c>
      <c r="H10">
        <f t="shared" si="5"/>
        <v>1.5395599999999998</v>
      </c>
      <c r="I10">
        <f t="shared" si="6"/>
        <v>1.5528</v>
      </c>
    </row>
    <row r="11" spans="2:9" x14ac:dyDescent="0.2">
      <c r="B11">
        <v>950</v>
      </c>
      <c r="C11">
        <f t="shared" si="0"/>
        <v>1.4730400000000001</v>
      </c>
      <c r="D11">
        <f t="shared" si="1"/>
        <v>1.5042740000000001</v>
      </c>
      <c r="E11">
        <f t="shared" si="2"/>
        <v>1.512489</v>
      </c>
      <c r="F11">
        <f t="shared" si="3"/>
        <v>1.5280780000000003</v>
      </c>
      <c r="G11">
        <f t="shared" si="4"/>
        <v>1.54366</v>
      </c>
      <c r="H11">
        <f>2.1172-(0.00057764)*B11</f>
        <v>1.5684419999999999</v>
      </c>
    </row>
    <row r="12" spans="2:9" x14ac:dyDescent="0.2">
      <c r="B12">
        <v>900</v>
      </c>
      <c r="C12">
        <f t="shared" si="0"/>
        <v>1.4946800000000002</v>
      </c>
      <c r="D12">
        <f t="shared" si="1"/>
        <v>1.5287280000000001</v>
      </c>
      <c r="E12">
        <f t="shared" si="2"/>
        <v>1.5378579999999999</v>
      </c>
      <c r="F12">
        <f t="shared" si="3"/>
        <v>1.5544160000000002</v>
      </c>
      <c r="G12">
        <f t="shared" si="4"/>
        <v>1.57172</v>
      </c>
    </row>
    <row r="13" spans="2:9" x14ac:dyDescent="0.2">
      <c r="B13">
        <v>850</v>
      </c>
      <c r="D13">
        <f t="shared" si="1"/>
        <v>1.5531820000000001</v>
      </c>
      <c r="E13">
        <f t="shared" si="2"/>
        <v>1.5632269999999999</v>
      </c>
      <c r="F13">
        <f t="shared" si="3"/>
        <v>1.5807540000000002</v>
      </c>
      <c r="G13">
        <f t="shared" si="4"/>
        <v>1.59978</v>
      </c>
    </row>
    <row r="14" spans="2:9" x14ac:dyDescent="0.2">
      <c r="B14">
        <v>800</v>
      </c>
      <c r="D14">
        <f t="shared" si="1"/>
        <v>1.577636</v>
      </c>
      <c r="E14">
        <f t="shared" si="2"/>
        <v>1.5885959999999999</v>
      </c>
      <c r="F14">
        <f t="shared" si="3"/>
        <v>1.6070920000000002</v>
      </c>
    </row>
    <row r="15" spans="2:9" x14ac:dyDescent="0.2">
      <c r="B15">
        <v>750</v>
      </c>
      <c r="E15">
        <f>1.9945-(0.00050738)*B15</f>
        <v>1.6139649999999999</v>
      </c>
      <c r="F15">
        <f t="shared" si="3"/>
        <v>1.6334300000000002</v>
      </c>
    </row>
    <row r="16" spans="2:9" x14ac:dyDescent="0.2">
      <c r="B16">
        <v>700</v>
      </c>
      <c r="F16">
        <f t="shared" si="3"/>
        <v>1.6597680000000001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9CE-C830-3243-88F0-C40220DE029D}">
  <dimension ref="B3:M28"/>
  <sheetViews>
    <sheetView tabSelected="1" workbookViewId="0">
      <selection activeCell="H33" sqref="H33"/>
    </sheetView>
  </sheetViews>
  <sheetFormatPr baseColWidth="10" defaultRowHeight="16" x14ac:dyDescent="0.2"/>
  <sheetData>
    <row r="3" spans="2:6" x14ac:dyDescent="0.2">
      <c r="B3" t="s">
        <v>44</v>
      </c>
      <c r="E3" t="s">
        <v>45</v>
      </c>
    </row>
    <row r="4" spans="2:6" x14ac:dyDescent="0.2">
      <c r="B4" t="s">
        <v>36</v>
      </c>
      <c r="C4" t="s">
        <v>26</v>
      </c>
      <c r="E4" t="s">
        <v>36</v>
      </c>
      <c r="F4" t="s">
        <v>26</v>
      </c>
    </row>
    <row r="5" spans="2:6" x14ac:dyDescent="0.2">
      <c r="B5" s="5">
        <v>0</v>
      </c>
      <c r="C5">
        <v>1.4297600000000001</v>
      </c>
      <c r="E5">
        <v>0</v>
      </c>
      <c r="F5">
        <v>1.3963871898364497</v>
      </c>
    </row>
    <row r="6" spans="2:6" x14ac:dyDescent="0.2">
      <c r="B6" s="8">
        <v>0.18</v>
      </c>
      <c r="C6">
        <v>1.4553660000000002</v>
      </c>
      <c r="E6">
        <v>7.0000000000000007E-2</v>
      </c>
      <c r="F6">
        <v>1.40997416830744</v>
      </c>
    </row>
    <row r="7" spans="2:6" x14ac:dyDescent="0.2">
      <c r="B7">
        <v>0.3</v>
      </c>
      <c r="C7">
        <v>1.461751</v>
      </c>
      <c r="E7">
        <v>0.2</v>
      </c>
      <c r="F7">
        <v>1.4212708005587906</v>
      </c>
    </row>
    <row r="8" spans="2:6" x14ac:dyDescent="0.2">
      <c r="B8">
        <v>0.41</v>
      </c>
      <c r="C8">
        <v>1.4754020000000003</v>
      </c>
      <c r="E8">
        <v>0.43</v>
      </c>
    </row>
    <row r="9" spans="2:6" x14ac:dyDescent="0.2">
      <c r="B9">
        <v>0.6</v>
      </c>
      <c r="C9">
        <v>1.4875400000000001</v>
      </c>
      <c r="E9">
        <v>0.6</v>
      </c>
    </row>
    <row r="10" spans="2:6" x14ac:dyDescent="0.2">
      <c r="B10">
        <v>0.8</v>
      </c>
      <c r="C10">
        <v>1.510678</v>
      </c>
      <c r="E10">
        <v>0.8</v>
      </c>
      <c r="F10">
        <v>1.4790417303313075</v>
      </c>
    </row>
    <row r="11" spans="2:6" x14ac:dyDescent="0.2">
      <c r="B11">
        <v>1</v>
      </c>
      <c r="C11">
        <v>1.5236449999999999</v>
      </c>
      <c r="E11">
        <v>0.93</v>
      </c>
      <c r="F11">
        <v>1.4883139644823382</v>
      </c>
    </row>
    <row r="12" spans="2:6" x14ac:dyDescent="0.2">
      <c r="E12">
        <v>1</v>
      </c>
    </row>
    <row r="14" spans="2:6" x14ac:dyDescent="0.2">
      <c r="B14" s="5"/>
      <c r="C14" s="5"/>
    </row>
    <row r="16" spans="2:6" x14ac:dyDescent="0.2">
      <c r="B16" s="5"/>
      <c r="C16" s="5"/>
    </row>
    <row r="17" spans="2:13" x14ac:dyDescent="0.2">
      <c r="B17" s="5"/>
      <c r="C17" s="5"/>
    </row>
    <row r="19" spans="2:13" x14ac:dyDescent="0.2">
      <c r="E19" t="s">
        <v>28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23</v>
      </c>
    </row>
    <row r="20" spans="2:13" x14ac:dyDescent="0.2">
      <c r="E20">
        <v>0</v>
      </c>
      <c r="F20">
        <v>7.0000000000000007E-2</v>
      </c>
      <c r="G20">
        <v>0.2</v>
      </c>
      <c r="H20">
        <v>0.43</v>
      </c>
      <c r="I20">
        <v>0.5</v>
      </c>
      <c r="J20">
        <v>0.6</v>
      </c>
      <c r="K20">
        <v>0.8</v>
      </c>
      <c r="L20">
        <v>0.93</v>
      </c>
      <c r="M20">
        <v>1</v>
      </c>
    </row>
    <row r="21" spans="2:13" x14ac:dyDescent="0.2">
      <c r="D21">
        <v>1200</v>
      </c>
      <c r="E21">
        <v>1.3554642191091975</v>
      </c>
      <c r="F21">
        <v>1.3569630946082625</v>
      </c>
      <c r="G21">
        <v>1.3755998181638767</v>
      </c>
      <c r="K21">
        <v>1.4121813844592011</v>
      </c>
      <c r="L21">
        <v>1.4224550193725412</v>
      </c>
      <c r="M21">
        <v>1.4400596196160746</v>
      </c>
    </row>
    <row r="22" spans="2:13" x14ac:dyDescent="0.2">
      <c r="D22">
        <v>1100</v>
      </c>
      <c r="E22">
        <v>1.3855957618998436</v>
      </c>
      <c r="F22">
        <v>1.393175292612818</v>
      </c>
      <c r="G22">
        <v>1.3960144785690516</v>
      </c>
      <c r="K22">
        <v>1.461408842126388</v>
      </c>
      <c r="L22">
        <v>1.473298361518808</v>
      </c>
      <c r="M22">
        <v>1.4735406007813858</v>
      </c>
    </row>
    <row r="23" spans="2:13" x14ac:dyDescent="0.2">
      <c r="D23">
        <v>1000</v>
      </c>
      <c r="E23">
        <v>1.4071786177730559</v>
      </c>
      <c r="F23">
        <v>1.4267730440020618</v>
      </c>
      <c r="G23">
        <v>1.4465271225485294</v>
      </c>
      <c r="K23">
        <v>1.496674618536227</v>
      </c>
      <c r="L23">
        <v>1.5033295674458682</v>
      </c>
    </row>
    <row r="24" spans="2:13" x14ac:dyDescent="0.2">
      <c r="D24">
        <v>900</v>
      </c>
      <c r="E24">
        <v>1.4412631824341864</v>
      </c>
      <c r="F24">
        <v>1.4538619366927445</v>
      </c>
      <c r="G24">
        <v>1.4796653083978575</v>
      </c>
    </row>
    <row r="25" spans="2:13" x14ac:dyDescent="0.2">
      <c r="D25">
        <v>800</v>
      </c>
      <c r="G25">
        <v>1.5212384211902188</v>
      </c>
    </row>
    <row r="26" spans="2:13" x14ac:dyDescent="0.2">
      <c r="D26">
        <v>700</v>
      </c>
    </row>
    <row r="28" spans="2:13" x14ac:dyDescent="0.2">
      <c r="D28">
        <f>AVERAGE(D22:D23)</f>
        <v>1050</v>
      </c>
      <c r="E28">
        <f t="shared" ref="E28:M28" si="0">AVERAGE(E22:E23)</f>
        <v>1.3963871898364497</v>
      </c>
      <c r="F28">
        <f t="shared" si="0"/>
        <v>1.40997416830744</v>
      </c>
      <c r="G28">
        <f t="shared" si="0"/>
        <v>1.4212708005587906</v>
      </c>
      <c r="K28">
        <f t="shared" si="0"/>
        <v>1.4790417303313075</v>
      </c>
      <c r="L28">
        <f t="shared" si="0"/>
        <v>1.4883139644823382</v>
      </c>
      <c r="M28">
        <f t="shared" si="0"/>
        <v>1.4735406007813858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LiCl</vt:lpstr>
      <vt:lpstr>LiCl7KCl</vt:lpstr>
      <vt:lpstr>LiCl_20KCl</vt:lpstr>
      <vt:lpstr>LiCl_80KCl</vt:lpstr>
      <vt:lpstr>LiCl_93KCl</vt:lpstr>
      <vt:lpstr>KCl</vt:lpstr>
      <vt:lpstr>old_EXPT data</vt:lpstr>
      <vt:lpstr>Janz EXPT data</vt:lpstr>
      <vt:lpstr>Comparison to EXPT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2020-03-03T20:26:17Z</dcterms:created>
  <dcterms:modified xsi:type="dcterms:W3CDTF">2020-07-02T13:47:56Z</dcterms:modified>
</cp:coreProperties>
</file>