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3F15DA0B-F4C7-9447-8391-CBA2EECC94DC}" xr6:coauthVersionLast="47" xr6:coauthVersionMax="47" xr10:uidLastSave="{00000000-0000-0000-0000-000000000000}"/>
  <bookViews>
    <workbookView xWindow="2660" yWindow="2000" windowWidth="25380" windowHeight="15820" activeTab="6" xr2:uid="{C6F70D6C-A91D-7042-801E-C8AF04A08BB1}"/>
  </bookViews>
  <sheets>
    <sheet name="Sheet1" sheetId="1" r:id="rId1"/>
    <sheet name="KF" sheetId="2" r:id="rId2"/>
    <sheet name="KF-14ZrF4" sheetId="3" r:id="rId3"/>
    <sheet name="KF-42ZrF4" sheetId="4" r:id="rId4"/>
    <sheet name="KF-55ZrF4" sheetId="5" r:id="rId5"/>
    <sheet name="ZrF4" sheetId="6" r:id="rId6"/>
    <sheet name="summar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9" i="4" l="1"/>
  <c r="J10" i="4" l="1" a="1"/>
  <c r="J10" i="4" s="1"/>
  <c r="J6" i="4" a="1"/>
  <c r="J6" i="4" s="1"/>
  <c r="M89" i="4"/>
  <c r="J89" i="4"/>
  <c r="M78" i="4"/>
  <c r="K78" i="4"/>
  <c r="J78" i="4"/>
  <c r="M69" i="4"/>
  <c r="K69" i="4"/>
  <c r="J69" i="4"/>
  <c r="M59" i="4"/>
  <c r="K59" i="4"/>
  <c r="J59" i="4"/>
  <c r="F91" i="4" l="1"/>
  <c r="G91" i="4"/>
  <c r="H91" i="4"/>
  <c r="F86" i="4"/>
  <c r="G86" i="4"/>
  <c r="H86" i="4" s="1"/>
  <c r="F87" i="4"/>
  <c r="G87" i="4"/>
  <c r="H87" i="4" s="1"/>
  <c r="F92" i="4"/>
  <c r="G92" i="4" s="1"/>
  <c r="H92" i="4" s="1"/>
  <c r="F93" i="4"/>
  <c r="G93" i="4" s="1"/>
  <c r="H93" i="4" s="1"/>
  <c r="F80" i="4"/>
  <c r="G80" i="4" s="1"/>
  <c r="H80" i="4" s="1"/>
  <c r="F81" i="4"/>
  <c r="G81" i="4" s="1"/>
  <c r="H81" i="4" s="1"/>
  <c r="F76" i="4"/>
  <c r="G76" i="4" s="1"/>
  <c r="H76" i="4" s="1"/>
  <c r="F66" i="4"/>
  <c r="G66" i="4" s="1"/>
  <c r="H66" i="4" s="1"/>
  <c r="F70" i="4"/>
  <c r="G70" i="4" s="1"/>
  <c r="H70" i="4" s="1"/>
  <c r="F71" i="4"/>
  <c r="G71" i="4" s="1"/>
  <c r="H71" i="4" s="1"/>
  <c r="F57" i="4"/>
  <c r="G57" i="4" s="1"/>
  <c r="H57" i="4" s="1"/>
  <c r="F61" i="4"/>
  <c r="G61" i="4" s="1"/>
  <c r="H61" i="4" s="1"/>
  <c r="F90" i="4"/>
  <c r="G90" i="4" s="1"/>
  <c r="H90" i="4" s="1"/>
  <c r="F89" i="4"/>
  <c r="G89" i="4" s="1"/>
  <c r="H89" i="4" s="1"/>
  <c r="F88" i="4"/>
  <c r="G88" i="4" s="1"/>
  <c r="H88" i="4" s="1"/>
  <c r="F79" i="4"/>
  <c r="G79" i="4" s="1"/>
  <c r="H79" i="4" s="1"/>
  <c r="F78" i="4"/>
  <c r="G78" i="4" s="1"/>
  <c r="H78" i="4" s="1"/>
  <c r="F77" i="4"/>
  <c r="G77" i="4" s="1"/>
  <c r="H77" i="4" s="1"/>
  <c r="F69" i="4"/>
  <c r="G69" i="4" s="1"/>
  <c r="H69" i="4" s="1"/>
  <c r="F68" i="4"/>
  <c r="G68" i="4" s="1"/>
  <c r="H68" i="4" s="1"/>
  <c r="F67" i="4"/>
  <c r="G67" i="4" s="1"/>
  <c r="H67" i="4" s="1"/>
  <c r="F60" i="4" l="1"/>
  <c r="G60" i="4" s="1"/>
  <c r="H60" i="4" s="1"/>
  <c r="F59" i="4"/>
  <c r="G59" i="4" s="1"/>
  <c r="H59" i="4" s="1"/>
  <c r="F58" i="4"/>
  <c r="G58" i="4" s="1"/>
  <c r="H58" i="4" s="1"/>
  <c r="J10" i="6" a="1"/>
  <c r="J10" i="6" s="1"/>
  <c r="J6" i="6" a="1"/>
  <c r="J6" i="6" s="1"/>
  <c r="F28" i="6"/>
  <c r="F29" i="6"/>
  <c r="F30" i="6"/>
  <c r="F31" i="6"/>
  <c r="F32" i="6"/>
  <c r="F33" i="6"/>
  <c r="F27" i="6"/>
  <c r="T14" i="7" l="1"/>
  <c r="U14" i="7"/>
  <c r="Q13" i="7"/>
  <c r="R13" i="7"/>
  <c r="S13" i="7"/>
  <c r="T13" i="7"/>
  <c r="U13" i="7"/>
  <c r="Q14" i="7"/>
  <c r="R14" i="7"/>
  <c r="S14" i="7"/>
  <c r="R12" i="7"/>
  <c r="S12" i="7"/>
  <c r="T12" i="7"/>
  <c r="U12" i="7"/>
  <c r="Q12" i="7"/>
  <c r="J10" i="5" a="1"/>
  <c r="J10" i="5" s="1"/>
  <c r="J6" i="5" a="1"/>
  <c r="J6" i="5" s="1"/>
  <c r="F31" i="5"/>
  <c r="G31" i="5"/>
  <c r="H31" i="5"/>
  <c r="F40" i="6"/>
  <c r="G40" i="6" s="1"/>
  <c r="H40" i="6" s="1"/>
  <c r="F15" i="6"/>
  <c r="G15" i="6" s="1"/>
  <c r="H15" i="6" s="1"/>
  <c r="M46" i="5" l="1"/>
  <c r="K46" i="5"/>
  <c r="J46" i="5"/>
  <c r="M33" i="5"/>
  <c r="K33" i="5"/>
  <c r="J33" i="5"/>
  <c r="K19" i="5"/>
  <c r="M19" i="5"/>
  <c r="J19" i="5"/>
  <c r="F37" i="5"/>
  <c r="G37" i="5" s="1"/>
  <c r="H37" i="5" s="1"/>
  <c r="F47" i="6"/>
  <c r="G47" i="6"/>
  <c r="H47" i="6" s="1"/>
  <c r="F41" i="6"/>
  <c r="G41" i="6" s="1"/>
  <c r="H41" i="6" s="1"/>
  <c r="F42" i="6"/>
  <c r="G42" i="6" s="1"/>
  <c r="H42" i="6" s="1"/>
  <c r="F43" i="6"/>
  <c r="G43" i="6" s="1"/>
  <c r="H43" i="6" s="1"/>
  <c r="F44" i="6"/>
  <c r="G44" i="6" s="1"/>
  <c r="H44" i="6" s="1"/>
  <c r="F45" i="6"/>
  <c r="G45" i="6" s="1"/>
  <c r="H45" i="6" s="1"/>
  <c r="F49" i="5"/>
  <c r="G49" i="5" s="1"/>
  <c r="H49" i="5" s="1"/>
  <c r="F47" i="5"/>
  <c r="G47" i="5" s="1"/>
  <c r="H47" i="5" s="1"/>
  <c r="F35" i="5"/>
  <c r="G35" i="5" s="1"/>
  <c r="H35" i="5" s="1"/>
  <c r="F33" i="5"/>
  <c r="G33" i="5" s="1"/>
  <c r="H33" i="5" s="1"/>
  <c r="F16" i="6"/>
  <c r="G16" i="6" s="1"/>
  <c r="H16" i="6" s="1"/>
  <c r="F17" i="6"/>
  <c r="G17" i="6" s="1"/>
  <c r="H17" i="6" s="1"/>
  <c r="F18" i="6"/>
  <c r="G18" i="6" s="1"/>
  <c r="H18" i="6" s="1"/>
  <c r="F19" i="6"/>
  <c r="G19" i="6" s="1"/>
  <c r="H19" i="6" s="1"/>
  <c r="F20" i="6"/>
  <c r="G20" i="6" s="1"/>
  <c r="H20" i="6" s="1"/>
  <c r="J10" i="2" a="1"/>
  <c r="J10" i="2" s="1"/>
  <c r="J6" i="2" a="1"/>
  <c r="J6" i="2" s="1"/>
  <c r="F43" i="5"/>
  <c r="G43" i="5" s="1"/>
  <c r="H43" i="5" s="1"/>
  <c r="F44" i="5"/>
  <c r="G44" i="5" s="1"/>
  <c r="H44" i="5" s="1"/>
  <c r="F45" i="5"/>
  <c r="G45" i="5" s="1"/>
  <c r="H45" i="5" s="1"/>
  <c r="F46" i="5"/>
  <c r="G46" i="5"/>
  <c r="H46" i="5" s="1"/>
  <c r="F48" i="5"/>
  <c r="G48" i="5" s="1"/>
  <c r="H48" i="5" s="1"/>
  <c r="F28" i="5"/>
  <c r="G28" i="5" s="1"/>
  <c r="H28" i="5" s="1"/>
  <c r="F29" i="5"/>
  <c r="G29" i="5" s="1"/>
  <c r="H29" i="5" s="1"/>
  <c r="F30" i="5"/>
  <c r="G30" i="5" s="1"/>
  <c r="H30" i="5" s="1"/>
  <c r="F32" i="5"/>
  <c r="G32" i="5" s="1"/>
  <c r="H32" i="5" s="1"/>
  <c r="F34" i="5"/>
  <c r="G34" i="5" s="1"/>
  <c r="H34" i="5" s="1"/>
  <c r="F46" i="6"/>
  <c r="G46" i="6" s="1"/>
  <c r="H46" i="6" s="1"/>
  <c r="F21" i="6"/>
  <c r="G21" i="6" s="1"/>
  <c r="F22" i="6"/>
  <c r="G22" i="6" s="1"/>
  <c r="G28" i="6"/>
  <c r="H28" i="6" s="1"/>
  <c r="G29" i="6"/>
  <c r="H29" i="6" s="1"/>
  <c r="G30" i="6"/>
  <c r="H30" i="6" s="1"/>
  <c r="G31" i="6"/>
  <c r="H31" i="6" s="1"/>
  <c r="G32" i="6"/>
  <c r="H32" i="6" s="1"/>
  <c r="G33" i="6"/>
  <c r="H33" i="6" s="1"/>
  <c r="F16" i="5"/>
  <c r="G16" i="5" s="1"/>
  <c r="H16" i="5" s="1"/>
  <c r="F17" i="5"/>
  <c r="G17" i="5" s="1"/>
  <c r="H17" i="5" s="1"/>
  <c r="F18" i="5"/>
  <c r="G18" i="5" s="1"/>
  <c r="H18" i="5" s="1"/>
  <c r="F19" i="5"/>
  <c r="G19" i="5" s="1"/>
  <c r="H19" i="5" s="1"/>
  <c r="F20" i="5"/>
  <c r="G20" i="5" s="1"/>
  <c r="H20" i="5" s="1"/>
  <c r="F21" i="5"/>
  <c r="G21" i="5" s="1"/>
  <c r="H21" i="5" s="1"/>
  <c r="F22" i="5"/>
  <c r="G22" i="5" s="1"/>
  <c r="H22" i="5" s="1"/>
  <c r="F32" i="4"/>
  <c r="G32" i="4"/>
  <c r="H32" i="4"/>
  <c r="F34" i="4"/>
  <c r="G34" i="4"/>
  <c r="H34" i="4"/>
  <c r="F18" i="4"/>
  <c r="G18" i="4" s="1"/>
  <c r="H18" i="4" s="1"/>
  <c r="F20" i="4"/>
  <c r="G20" i="4" s="1"/>
  <c r="H20" i="4" s="1"/>
  <c r="K19" i="4"/>
  <c r="K32" i="4"/>
  <c r="K47" i="4"/>
  <c r="M47" i="4"/>
  <c r="J47" i="4"/>
  <c r="G27" i="6"/>
  <c r="H27" i="6" s="1"/>
  <c r="M44" i="6"/>
  <c r="K44" i="6"/>
  <c r="J44" i="6"/>
  <c r="M30" i="6"/>
  <c r="K30" i="6"/>
  <c r="J30" i="6"/>
  <c r="F50" i="5"/>
  <c r="G50" i="5" s="1"/>
  <c r="H50" i="5" s="1"/>
  <c r="F36" i="5"/>
  <c r="G36" i="5" s="1"/>
  <c r="H36" i="5" s="1"/>
  <c r="F46" i="4"/>
  <c r="G46" i="4" s="1"/>
  <c r="H46" i="4" s="1"/>
  <c r="F48" i="4"/>
  <c r="G48" i="4" s="1"/>
  <c r="H48" i="4" s="1"/>
  <c r="F49" i="4"/>
  <c r="G49" i="4" s="1"/>
  <c r="H49" i="4" s="1"/>
  <c r="F50" i="4"/>
  <c r="G50" i="4" s="1"/>
  <c r="H50" i="4" s="1"/>
  <c r="F43" i="4"/>
  <c r="G43" i="4"/>
  <c r="H43" i="4" s="1"/>
  <c r="F45" i="4"/>
  <c r="G45" i="4" s="1"/>
  <c r="H45" i="4" s="1"/>
  <c r="F47" i="4"/>
  <c r="G47" i="4" s="1"/>
  <c r="H47" i="4" s="1"/>
  <c r="F51" i="4"/>
  <c r="G51" i="4" s="1"/>
  <c r="H51" i="4" s="1"/>
  <c r="F16" i="4"/>
  <c r="G16" i="4" s="1"/>
  <c r="H16" i="4" s="1"/>
  <c r="F30" i="4"/>
  <c r="G30" i="4" s="1"/>
  <c r="H30" i="4" s="1"/>
  <c r="F37" i="2"/>
  <c r="G37" i="2" s="1"/>
  <c r="H37" i="2" s="1"/>
  <c r="F44" i="2"/>
  <c r="G44" i="2"/>
  <c r="H44" i="2"/>
  <c r="F43" i="2"/>
  <c r="G43" i="2" s="1"/>
  <c r="H43" i="2" s="1"/>
  <c r="F42" i="2"/>
  <c r="G42" i="2" s="1"/>
  <c r="H42" i="2" s="1"/>
  <c r="F41" i="2"/>
  <c r="G41" i="2" s="1"/>
  <c r="H41" i="2" s="1"/>
  <c r="M39" i="2"/>
  <c r="K39" i="2"/>
  <c r="J39" i="2"/>
  <c r="F40" i="2"/>
  <c r="G40" i="2" s="1"/>
  <c r="H40" i="2" s="1"/>
  <c r="F39" i="2"/>
  <c r="G39" i="2" s="1"/>
  <c r="H39" i="2" s="1"/>
  <c r="G38" i="2"/>
  <c r="H38" i="2" s="1"/>
  <c r="F38" i="2"/>
  <c r="F29" i="2"/>
  <c r="G29" i="2"/>
  <c r="H29" i="2"/>
  <c r="F30" i="2"/>
  <c r="G30" i="2" s="1"/>
  <c r="H30" i="2" s="1"/>
  <c r="F31" i="2"/>
  <c r="G31" i="2"/>
  <c r="H31" i="2" s="1"/>
  <c r="F32" i="2"/>
  <c r="G32" i="2" s="1"/>
  <c r="H32" i="2" s="1"/>
  <c r="M29" i="2"/>
  <c r="K29" i="2"/>
  <c r="J29" i="2"/>
  <c r="F28" i="2"/>
  <c r="G28" i="2" s="1"/>
  <c r="H28" i="2" s="1"/>
  <c r="F27" i="2"/>
  <c r="G27" i="2" s="1"/>
  <c r="H27" i="2" s="1"/>
  <c r="F44" i="4"/>
  <c r="G44" i="4" s="1"/>
  <c r="H44" i="4" s="1"/>
  <c r="F36" i="4"/>
  <c r="G36" i="4" s="1"/>
  <c r="H36" i="4" s="1"/>
  <c r="M32" i="4"/>
  <c r="J32" i="4"/>
  <c r="F35" i="4"/>
  <c r="G35" i="4" s="1"/>
  <c r="H35" i="4" s="1"/>
  <c r="F33" i="4"/>
  <c r="G33" i="4" s="1"/>
  <c r="H33" i="4" s="1"/>
  <c r="F31" i="4"/>
  <c r="G31" i="4" s="1"/>
  <c r="H31" i="4" s="1"/>
  <c r="F29" i="4"/>
  <c r="G29" i="4" s="1"/>
  <c r="H29" i="4" s="1"/>
  <c r="K32" i="3"/>
  <c r="K19" i="3"/>
  <c r="J10" i="3" a="1"/>
  <c r="J10" i="3" s="1"/>
  <c r="K18" i="2"/>
  <c r="F21" i="2" l="1"/>
  <c r="G21" i="2"/>
  <c r="H21" i="2" s="1"/>
  <c r="K11" i="2"/>
  <c r="F21" i="3" l="1"/>
  <c r="G21" i="3"/>
  <c r="H21" i="3" s="1"/>
  <c r="F19" i="3"/>
  <c r="G19" i="3"/>
  <c r="H19" i="3" s="1"/>
  <c r="M32" i="3"/>
  <c r="F30" i="3"/>
  <c r="G30" i="3"/>
  <c r="H30" i="3" s="1"/>
  <c r="F34" i="3"/>
  <c r="G34" i="3"/>
  <c r="H34" i="3" s="1"/>
  <c r="F32" i="3"/>
  <c r="G32" i="3" s="1"/>
  <c r="H32" i="3" s="1"/>
  <c r="K44" i="3"/>
  <c r="F22" i="2" l="1"/>
  <c r="G22" i="2" s="1"/>
  <c r="H22" i="2" s="1"/>
  <c r="F20" i="2"/>
  <c r="G20" i="2" s="1"/>
  <c r="H20" i="2" s="1"/>
  <c r="F16" i="2"/>
  <c r="G16" i="2"/>
  <c r="H16" i="2" s="1"/>
  <c r="F17" i="2"/>
  <c r="G17" i="2" s="1"/>
  <c r="H17" i="2" s="1"/>
  <c r="F18" i="2"/>
  <c r="G18" i="2" s="1"/>
  <c r="H18" i="2" s="1"/>
  <c r="F19" i="2"/>
  <c r="G19" i="2" s="1"/>
  <c r="H19" i="2" s="1"/>
  <c r="F28" i="3"/>
  <c r="G28" i="3" s="1"/>
  <c r="H28" i="3" s="1"/>
  <c r="F29" i="3"/>
  <c r="G29" i="3" s="1"/>
  <c r="H29" i="3" s="1"/>
  <c r="F31" i="3"/>
  <c r="G31" i="3" s="1"/>
  <c r="H31" i="3" s="1"/>
  <c r="F33" i="3"/>
  <c r="G33" i="3"/>
  <c r="H33" i="3" s="1"/>
  <c r="F16" i="3"/>
  <c r="G16" i="3" s="1"/>
  <c r="H16" i="3" s="1"/>
  <c r="F17" i="3"/>
  <c r="G17" i="3" s="1"/>
  <c r="H17" i="3" s="1"/>
  <c r="F18" i="3"/>
  <c r="G18" i="3" s="1"/>
  <c r="H18" i="3" s="1"/>
  <c r="F20" i="3"/>
  <c r="G20" i="3" s="1"/>
  <c r="H20" i="3" s="1"/>
  <c r="F22" i="3"/>
  <c r="G22" i="3"/>
  <c r="H22" i="3" s="1"/>
  <c r="F46" i="3"/>
  <c r="G46" i="3" s="1"/>
  <c r="H46" i="3" s="1"/>
  <c r="F44" i="3"/>
  <c r="G44" i="3" s="1"/>
  <c r="H44" i="3" s="1"/>
  <c r="F42" i="3"/>
  <c r="G42" i="3" s="1"/>
  <c r="H42" i="3" s="1"/>
  <c r="F43" i="3"/>
  <c r="G43" i="3" s="1"/>
  <c r="H43" i="3" s="1"/>
  <c r="F45" i="3"/>
  <c r="G45" i="3" s="1"/>
  <c r="H45" i="3" s="1"/>
  <c r="F47" i="3"/>
  <c r="G47" i="3" s="1"/>
  <c r="H47" i="3" s="1"/>
  <c r="F40" i="3"/>
  <c r="G40" i="3" s="1"/>
  <c r="M19" i="3"/>
  <c r="J19" i="3"/>
  <c r="F15" i="3"/>
  <c r="G15" i="3" s="1"/>
  <c r="J32" i="3"/>
  <c r="F35" i="3"/>
  <c r="G35" i="3" s="1"/>
  <c r="H35" i="3" s="1"/>
  <c r="F27" i="3"/>
  <c r="G27" i="3" s="1"/>
  <c r="H27" i="3" s="1"/>
  <c r="H15" i="3" l="1"/>
  <c r="J6" i="3" a="1"/>
  <c r="J6" i="3" s="1"/>
  <c r="H40" i="3"/>
  <c r="G28" i="1"/>
  <c r="H28" i="1" s="1"/>
  <c r="F26" i="1"/>
  <c r="H26" i="1" s="1"/>
  <c r="D28" i="1"/>
  <c r="M18" i="6"/>
  <c r="K18" i="6"/>
  <c r="J18" i="6"/>
  <c r="H22" i="6"/>
  <c r="H21" i="6"/>
  <c r="F15" i="5"/>
  <c r="G15" i="5" s="1"/>
  <c r="H15" i="5" s="1"/>
  <c r="F22" i="4"/>
  <c r="G22" i="4" s="1"/>
  <c r="H22" i="4" s="1"/>
  <c r="M19" i="4"/>
  <c r="J19" i="4"/>
  <c r="F21" i="4"/>
  <c r="G21" i="4" s="1"/>
  <c r="H21" i="4" s="1"/>
  <c r="F19" i="4"/>
  <c r="G19" i="4" s="1"/>
  <c r="H19" i="4" s="1"/>
  <c r="F17" i="4"/>
  <c r="G17" i="4" s="1"/>
  <c r="H17" i="4" s="1"/>
  <c r="F15" i="4"/>
  <c r="G15" i="4" s="1"/>
  <c r="H15" i="4" s="1"/>
  <c r="M44" i="3"/>
  <c r="J44" i="3"/>
  <c r="F48" i="3"/>
  <c r="G48" i="3" s="1"/>
  <c r="H48" i="3" s="1"/>
  <c r="F41" i="3"/>
  <c r="G41" i="3" s="1"/>
  <c r="H41" i="3" s="1"/>
  <c r="F15" i="2"/>
  <c r="G15" i="2" s="1"/>
  <c r="M18" i="2"/>
  <c r="J18" i="2"/>
  <c r="H15" i="2" l="1"/>
  <c r="I26" i="1"/>
  <c r="L11" i="6"/>
  <c r="K11" i="6"/>
  <c r="L11" i="5"/>
  <c r="K11" i="5"/>
  <c r="L11" i="4"/>
  <c r="K11" i="4"/>
  <c r="L11" i="3"/>
  <c r="K11" i="3"/>
  <c r="L11" i="2"/>
  <c r="F33" i="1" l="1"/>
  <c r="G23" i="1" l="1"/>
  <c r="H23" i="1" s="1"/>
  <c r="D22" i="1"/>
  <c r="D21" i="1"/>
  <c r="D23" i="1" s="1"/>
  <c r="D17" i="1"/>
  <c r="D16" i="1"/>
  <c r="D7" i="1"/>
  <c r="D6" i="1"/>
  <c r="D8" i="1" s="1"/>
  <c r="G18" i="1"/>
  <c r="H18" i="1" s="1"/>
  <c r="G8" i="1"/>
  <c r="H8" i="1" s="1"/>
  <c r="E3" i="1"/>
  <c r="E2" i="1"/>
  <c r="F16" i="1" s="1"/>
  <c r="F21" i="1" l="1"/>
  <c r="I21" i="1" s="1"/>
  <c r="H21" i="1"/>
  <c r="F6" i="1"/>
  <c r="F11" i="1"/>
  <c r="D18" i="1"/>
  <c r="I16" i="1"/>
  <c r="F34" i="1" s="1"/>
  <c r="H16" i="1" l="1"/>
  <c r="H6" i="1"/>
  <c r="I6" i="1"/>
  <c r="D11" i="1" l="1"/>
  <c r="D12" i="1"/>
  <c r="G13" i="1"/>
  <c r="H13" i="1" l="1"/>
  <c r="H11" i="1"/>
  <c r="D13" i="1"/>
  <c r="I11" i="1"/>
  <c r="L7" i="2" l="1"/>
  <c r="K7" i="2"/>
  <c r="L7" i="3" l="1"/>
  <c r="K7" i="3"/>
  <c r="L7" i="5" l="1"/>
  <c r="K7" i="5"/>
  <c r="L7" i="6"/>
  <c r="K7" i="6"/>
  <c r="K7" i="4" l="1"/>
  <c r="L7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<sst xmlns="http://schemas.openxmlformats.org/spreadsheetml/2006/main" count="421" uniqueCount="46">
  <si>
    <t>KF-ZrF4</t>
  </si>
  <si>
    <t>eutectic1</t>
  </si>
  <si>
    <t>KF</t>
  </si>
  <si>
    <t>ZrF4</t>
  </si>
  <si>
    <t>eutectic2</t>
  </si>
  <si>
    <t>eutectic3</t>
  </si>
  <si>
    <t>#atoms</t>
  </si>
  <si>
    <t>mass</t>
  </si>
  <si>
    <t>molecules</t>
  </si>
  <si>
    <t>mass/molecule</t>
  </si>
  <si>
    <t>2.5 g/cc</t>
  </si>
  <si>
    <t>density of eutectic 1</t>
  </si>
  <si>
    <t>approx</t>
  </si>
  <si>
    <t>vol</t>
  </si>
  <si>
    <t>cc</t>
  </si>
  <si>
    <t>pure ZrF4</t>
  </si>
  <si>
    <t>Mass</t>
  </si>
  <si>
    <t>K</t>
  </si>
  <si>
    <t>Vol</t>
  </si>
  <si>
    <t>a</t>
  </si>
  <si>
    <t>b</t>
  </si>
  <si>
    <t>c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</si>
  <si>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</si>
  <si>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</si>
  <si>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</si>
  <si>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</si>
  <si>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</si>
  <si>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</si>
  <si>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</si>
  <si>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</si>
  <si>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</si>
  <si>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</si>
  <si>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</si>
  <si>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</si>
  <si>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</si>
  <si>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</si>
  <si>
    <t>g</t>
  </si>
  <si>
    <t>Tmelt</t>
  </si>
  <si>
    <t>pure KF</t>
  </si>
  <si>
    <t>Lx0_1300/1100</t>
  </si>
  <si>
    <t>KCl</t>
  </si>
  <si>
    <t>KCl-14ZrF4</t>
  </si>
  <si>
    <t>KCl-42ZrF4</t>
  </si>
  <si>
    <t>KCl-55ZrF4</t>
  </si>
  <si>
    <t>T</t>
  </si>
  <si>
    <t>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</si>
</sst>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KF!$C$15:$C$20</c:f>
              <c:numCache>
                <c:formatCode>General</c:formatCode>
                <c:ptCount val="6"/>
                <c:pt idx="0">
                  <c:v>-445.19777370666702</c:v>
                </c:pt>
                <c:pt idx="1">
                  <c:v>-443.31618056888902</c:v>
                </c:pt>
                <c:pt idx="2">
                  <c:v>-441.73150932888899</c:v>
                </c:pt>
                <c:pt idx="3">
                  <c:v>-439.02563223333402</c:v>
                </c:pt>
                <c:pt idx="4">
                  <c:v>-438.58167227777801</c:v>
                </c:pt>
                <c:pt idx="5">
                  <c:v>-436.90976323555498</c:v>
                </c:pt>
              </c:numCache>
            </c:numRef>
          </c:xVal>
          <c:yVal>
            <c:numRef>
              <c:f>KF!$E$15:$E$20</c:f>
              <c:numCache>
                <c:formatCode>General</c:formatCode>
                <c:ptCount val="6"/>
                <c:pt idx="0">
                  <c:v>13.54782</c:v>
                </c:pt>
                <c:pt idx="1">
                  <c:v>6.3224555555555497</c:v>
                </c:pt>
                <c:pt idx="2">
                  <c:v>4.8583911111111098</c:v>
                </c:pt>
                <c:pt idx="3">
                  <c:v>2.8638355555555601</c:v>
                </c:pt>
                <c:pt idx="4">
                  <c:v>0.26592666666666698</c:v>
                </c:pt>
                <c:pt idx="5">
                  <c:v>-0.41933111111111199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5C-8440-8F30-EF27C1AE8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97695"/>
        <c:axId val="577833151"/>
      </c:scatterChart>
      <c:valAx>
        <c:axId val="57799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33151"/>
        <c:crosses val="autoZero"/>
        <c:crossBetween val="midCat"/>
      </c:valAx>
      <c:valAx>
        <c:axId val="57783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97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'KF-14ZrF4'!$G$40:$G$47</c:f>
              <c:numCache>
                <c:formatCode>General</c:formatCode>
                <c:ptCount val="8"/>
                <c:pt idx="0">
                  <c:v>3511.8079999999995</c:v>
                </c:pt>
                <c:pt idx="1">
                  <c:v>3623.8786559999999</c:v>
                </c:pt>
                <c:pt idx="2">
                  <c:v>3738.3086079999998</c:v>
                </c:pt>
                <c:pt idx="3">
                  <c:v>3855.1224319999997</c:v>
                </c:pt>
                <c:pt idx="4">
                  <c:v>3914.4309760000001</c:v>
                </c:pt>
                <c:pt idx="5">
                  <c:v>3974.3447039999996</c:v>
                </c:pt>
                <c:pt idx="6">
                  <c:v>4034.8666880000001</c:v>
                </c:pt>
                <c:pt idx="7">
                  <c:v>4096</c:v>
                </c:pt>
              </c:numCache>
            </c:numRef>
          </c:xVal>
          <c:yVal>
            <c:numRef>
              <c:f>'KF-14ZrF4'!$E$40:$E$47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11-D94E-861C-403D261E1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  <c:min val="3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'KF-14ZrF4'!$C$40:$C$47</c:f>
              <c:numCache>
                <c:formatCode>General</c:formatCode>
                <c:ptCount val="8"/>
                <c:pt idx="0">
                  <c:v>-528.25467925555597</c:v>
                </c:pt>
                <c:pt idx="1">
                  <c:v>-527.84212601333297</c:v>
                </c:pt>
                <c:pt idx="2">
                  <c:v>-527.18377083111102</c:v>
                </c:pt>
                <c:pt idx="3">
                  <c:v>-525.92149071333301</c:v>
                </c:pt>
                <c:pt idx="4">
                  <c:v>-525.56425348222206</c:v>
                </c:pt>
                <c:pt idx="5">
                  <c:v>-525.34512331333406</c:v>
                </c:pt>
                <c:pt idx="6">
                  <c:v>-524.15501022222304</c:v>
                </c:pt>
                <c:pt idx="7">
                  <c:v>-523.81104607333305</c:v>
                </c:pt>
              </c:numCache>
            </c:numRef>
          </c:xVal>
          <c:yVal>
            <c:numRef>
              <c:f>'KF-14ZrF4'!$E$40:$E$47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7-0548-A230-33D79D30C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'KF-42ZrF4'!$G$43:$G$51</c:f>
              <c:numCache>
                <c:formatCode>General</c:formatCode>
                <c:ptCount val="9"/>
                <c:pt idx="0">
                  <c:v>3398.6801678750003</c:v>
                </c:pt>
                <c:pt idx="1">
                  <c:v>3504.881359</c:v>
                </c:pt>
                <c:pt idx="2">
                  <c:v>3613.2721886250006</c:v>
                </c:pt>
                <c:pt idx="3">
                  <c:v>3668.2957001406244</c:v>
                </c:pt>
                <c:pt idx="4">
                  <c:v>3723.875</c:v>
                </c:pt>
                <c:pt idx="5">
                  <c:v>3780.0128811093741</c:v>
                </c:pt>
                <c:pt idx="6">
                  <c:v>3836.7121363749993</c:v>
                </c:pt>
                <c:pt idx="7">
                  <c:v>3893.9755587031236</c:v>
                </c:pt>
                <c:pt idx="8">
                  <c:v>3951.8059410000005</c:v>
                </c:pt>
              </c:numCache>
            </c:numRef>
          </c:xVal>
          <c:yVal>
            <c:numRef>
              <c:f>'KF-42ZrF4'!$E$43:$E$51</c:f>
              <c:numCache>
                <c:formatCode>General</c:formatCode>
                <c:ptCount val="9"/>
                <c:pt idx="0">
                  <c:v>10.993124444444399</c:v>
                </c:pt>
                <c:pt idx="1">
                  <c:v>8.1363844444444506</c:v>
                </c:pt>
                <c:pt idx="2">
                  <c:v>5.2090377777777697</c:v>
                </c:pt>
                <c:pt idx="3">
                  <c:v>3.26867111111111</c:v>
                </c:pt>
                <c:pt idx="4">
                  <c:v>1.27230222222222</c:v>
                </c:pt>
                <c:pt idx="5">
                  <c:v>0.70165333333333402</c:v>
                </c:pt>
                <c:pt idx="6">
                  <c:v>6.3646666666666907E-2</c:v>
                </c:pt>
                <c:pt idx="7">
                  <c:v>0.16219111111111301</c:v>
                </c:pt>
                <c:pt idx="8">
                  <c:v>-2.2028888888888898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68-3045-9514-3F6A44FA1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299087"/>
        <c:axId val="1781731023"/>
      </c:scatterChart>
      <c:valAx>
        <c:axId val="169629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31023"/>
        <c:crosses val="autoZero"/>
        <c:crossBetween val="midCat"/>
      </c:valAx>
      <c:valAx>
        <c:axId val="17817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29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'KF-42ZrF4'!$C$15:$C$23</c:f>
              <c:numCache>
                <c:formatCode>General</c:formatCode>
                <c:ptCount val="9"/>
                <c:pt idx="0">
                  <c:v>-737.83342256888898</c:v>
                </c:pt>
                <c:pt idx="1">
                  <c:v>-737.64876905999995</c:v>
                </c:pt>
                <c:pt idx="2">
                  <c:v>-737.17077008000001</c:v>
                </c:pt>
                <c:pt idx="3">
                  <c:v>-736.51976630444506</c:v>
                </c:pt>
                <c:pt idx="4">
                  <c:v>-736.083428924445</c:v>
                </c:pt>
                <c:pt idx="5">
                  <c:v>-735.31271843555601</c:v>
                </c:pt>
                <c:pt idx="6">
                  <c:v>-734.85377556444496</c:v>
                </c:pt>
                <c:pt idx="7">
                  <c:v>-734.62908651999999</c:v>
                </c:pt>
              </c:numCache>
            </c:numRef>
          </c:xVal>
          <c:yVal>
            <c:numRef>
              <c:f>'KF-42ZrF4'!$E$15:$E$23</c:f>
              <c:numCache>
                <c:formatCode>General</c:formatCode>
                <c:ptCount val="9"/>
                <c:pt idx="0">
                  <c:v>11.2255133333333</c:v>
                </c:pt>
                <c:pt idx="1">
                  <c:v>9.0144844444444505</c:v>
                </c:pt>
                <c:pt idx="2">
                  <c:v>4.7506311111111099</c:v>
                </c:pt>
                <c:pt idx="3">
                  <c:v>2.3620533333333298</c:v>
                </c:pt>
                <c:pt idx="4">
                  <c:v>2.0604977777777802</c:v>
                </c:pt>
                <c:pt idx="5">
                  <c:v>-0.75654666666667003</c:v>
                </c:pt>
                <c:pt idx="6">
                  <c:v>-0.71365555555555504</c:v>
                </c:pt>
                <c:pt idx="7">
                  <c:v>-2.0962755555555499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10-8548-B4FA-DD3ADA7D9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299087"/>
        <c:axId val="1781731023"/>
      </c:scatterChart>
      <c:valAx>
        <c:axId val="169629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31023"/>
        <c:crosses val="autoZero"/>
        <c:crossBetween val="midCat"/>
      </c:valAx>
      <c:valAx>
        <c:axId val="17817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29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'KF-42ZrF4'!$G$86:$G$91</c:f>
              <c:numCache>
                <c:formatCode>General</c:formatCode>
                <c:ptCount val="6"/>
                <c:pt idx="0">
                  <c:v>3192.7573281249997</c:v>
                </c:pt>
                <c:pt idx="1">
                  <c:v>3294.6462719999995</c:v>
                </c:pt>
                <c:pt idx="2">
                  <c:v>3398.6801678750003</c:v>
                </c:pt>
                <c:pt idx="3">
                  <c:v>3504.881359</c:v>
                </c:pt>
                <c:pt idx="4">
                  <c:v>3613.2721886250006</c:v>
                </c:pt>
                <c:pt idx="5">
                  <c:v>3668.2957001406244</c:v>
                </c:pt>
              </c:numCache>
            </c:numRef>
          </c:xVal>
          <c:yVal>
            <c:numRef>
              <c:f>'KF-42ZrF4'!$E$86:$E$91</c:f>
              <c:numCache>
                <c:formatCode>General</c:formatCode>
                <c:ptCount val="6"/>
                <c:pt idx="0">
                  <c:v>15.183960000000001</c:v>
                </c:pt>
                <c:pt idx="1">
                  <c:v>11.508380000000001</c:v>
                </c:pt>
                <c:pt idx="2">
                  <c:v>6.9991533333333296</c:v>
                </c:pt>
                <c:pt idx="3">
                  <c:v>3.7130200000000002</c:v>
                </c:pt>
                <c:pt idx="4">
                  <c:v>1.3913866666666701</c:v>
                </c:pt>
                <c:pt idx="5">
                  <c:v>-0.22086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60-4C4F-A0BD-EA9E3AAA8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603360"/>
        <c:axId val="1426392720"/>
      </c:scatterChart>
      <c:valAx>
        <c:axId val="1426603360"/>
        <c:scaling>
          <c:orientation val="minMax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392720"/>
        <c:crosses val="autoZero"/>
        <c:crossBetween val="midCat"/>
      </c:valAx>
      <c:valAx>
        <c:axId val="142639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0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ZrF4!$C$27:$C$33</c:f>
              <c:numCache>
                <c:formatCode>General</c:formatCode>
                <c:ptCount val="7"/>
                <c:pt idx="0">
                  <c:v>-710.25096301333394</c:v>
                </c:pt>
                <c:pt idx="1">
                  <c:v>-709.34758202444505</c:v>
                </c:pt>
                <c:pt idx="2">
                  <c:v>-708.34932585111096</c:v>
                </c:pt>
                <c:pt idx="3">
                  <c:v>-708.56763322889003</c:v>
                </c:pt>
                <c:pt idx="4">
                  <c:v>-707.09132987999999</c:v>
                </c:pt>
                <c:pt idx="5">
                  <c:v>-708.15924559555594</c:v>
                </c:pt>
                <c:pt idx="6">
                  <c:v>-707.50244896888898</c:v>
                </c:pt>
              </c:numCache>
            </c:numRef>
          </c:xVal>
          <c:yVal>
            <c:numRef>
              <c:f>ZrF4!$E$27:$E$33</c:f>
              <c:numCache>
                <c:formatCode>General</c:formatCode>
                <c:ptCount val="7"/>
                <c:pt idx="0">
                  <c:v>7.6219977777777803</c:v>
                </c:pt>
                <c:pt idx="1">
                  <c:v>3.3334977777777799</c:v>
                </c:pt>
                <c:pt idx="2">
                  <c:v>2.22586888888888</c:v>
                </c:pt>
                <c:pt idx="3">
                  <c:v>1.5317400000000001</c:v>
                </c:pt>
                <c:pt idx="4">
                  <c:v>0.90448444444444598</c:v>
                </c:pt>
                <c:pt idx="5">
                  <c:v>-1.01864</c:v>
                </c:pt>
                <c:pt idx="6">
                  <c:v>-2.4867444444444402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76-DE43-9274-53F0F23A6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ZrF4!$G$40:$G$47</c:f>
              <c:numCache>
                <c:formatCode>General</c:formatCode>
                <c:ptCount val="8"/>
                <c:pt idx="0">
                  <c:v>2245.5178323749997</c:v>
                </c:pt>
                <c:pt idx="1">
                  <c:v>2280.4216347656252</c:v>
                </c:pt>
                <c:pt idx="2">
                  <c:v>2315.6852670000003</c:v>
                </c:pt>
                <c:pt idx="3">
                  <c:v>2351.3105743593746</c:v>
                </c:pt>
                <c:pt idx="4">
                  <c:v>2387.2994021250001</c:v>
                </c:pt>
                <c:pt idx="5">
                  <c:v>2423.6535955781246</c:v>
                </c:pt>
                <c:pt idx="6">
                  <c:v>2460.375</c:v>
                </c:pt>
                <c:pt idx="7">
                  <c:v>2497.4654606718746</c:v>
                </c:pt>
              </c:numCache>
            </c:numRef>
          </c:xVal>
          <c:yVal>
            <c:numRef>
              <c:f>ZrF4!$E$40:$E$47</c:f>
              <c:numCache>
                <c:formatCode>General</c:formatCode>
                <c:ptCount val="8"/>
                <c:pt idx="0">
                  <c:v>14.038931111111101</c:v>
                </c:pt>
                <c:pt idx="1">
                  <c:v>8.6153600000000097</c:v>
                </c:pt>
                <c:pt idx="2">
                  <c:v>5.2820044444444401</c:v>
                </c:pt>
                <c:pt idx="3">
                  <c:v>2.1431177777777801</c:v>
                </c:pt>
                <c:pt idx="4">
                  <c:v>2.1819288888888901</c:v>
                </c:pt>
                <c:pt idx="5">
                  <c:v>-0.55344222222221895</c:v>
                </c:pt>
                <c:pt idx="6">
                  <c:v>-0.18817555555555299</c:v>
                </c:pt>
                <c:pt idx="7">
                  <c:v>-4.7398177777777803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21-3645-90D1-32C01B38D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ZrF4!$G$15:$G$22</c:f>
              <c:numCache>
                <c:formatCode>General</c:formatCode>
                <c:ptCount val="8"/>
                <c:pt idx="0">
                  <c:v>2315.6852670000003</c:v>
                </c:pt>
                <c:pt idx="1">
                  <c:v>2351.3105743593746</c:v>
                </c:pt>
                <c:pt idx="2">
                  <c:v>2387.2994021250001</c:v>
                </c:pt>
                <c:pt idx="3">
                  <c:v>2423.6535955781246</c:v>
                </c:pt>
                <c:pt idx="4">
                  <c:v>2460.375</c:v>
                </c:pt>
                <c:pt idx="5">
                  <c:v>2497.4654606718746</c:v>
                </c:pt>
                <c:pt idx="6">
                  <c:v>2534.9268228749997</c:v>
                </c:pt>
                <c:pt idx="7">
                  <c:v>2572.7609318906243</c:v>
                </c:pt>
              </c:numCache>
            </c:numRef>
          </c:xVal>
          <c:yVal>
            <c:numRef>
              <c:f>ZrF4!$E$15:$E$22</c:f>
              <c:numCache>
                <c:formatCode>General</c:formatCode>
                <c:ptCount val="8"/>
                <c:pt idx="0">
                  <c:v>7.0149822222222102</c:v>
                </c:pt>
                <c:pt idx="1">
                  <c:v>4.16085333333334</c:v>
                </c:pt>
                <c:pt idx="2">
                  <c:v>4.8853488888888901</c:v>
                </c:pt>
                <c:pt idx="3">
                  <c:v>2.8688066666666701</c:v>
                </c:pt>
                <c:pt idx="4">
                  <c:v>1.69804231700895</c:v>
                </c:pt>
                <c:pt idx="5">
                  <c:v>1.76227333333333</c:v>
                </c:pt>
                <c:pt idx="6">
                  <c:v>-0.80159777777777697</c:v>
                </c:pt>
                <c:pt idx="7">
                  <c:v>-1.75290888888889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73-1549-8257-58747F69D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summary!$J$6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summary!$J$7:$J$9</c:f>
              <c:numCache>
                <c:formatCode>General</c:formatCode>
                <c:ptCount val="3"/>
                <c:pt idx="0">
                  <c:v>1.7525527055969974</c:v>
                </c:pt>
                <c:pt idx="1">
                  <c:v>1.8043151656857856</c:v>
                </c:pt>
                <c:pt idx="2">
                  <c:v>1.8534134446766684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48-6242-9FE1-EC0773766C1A}"/>
            </c:ext>
          </c:extLst>
        </c:ser>
        <c:ser>
          <c:idx val="1"/>
          <c:order val="1"/>
          <c:tx>
            <c:strRef>
              <c:f>summary!$K$6</c:f>
              <c:strCache>
                <c:ptCount val="1"/>
                <c:pt idx="0">
                  <c:v>0.14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summary!$K$7:$K$9</c:f>
              <c:numCache>
                <c:formatCode>General</c:formatCode>
                <c:ptCount val="3"/>
                <c:pt idx="0">
                  <c:v>2.1372820970563007</c:v>
                </c:pt>
                <c:pt idx="1">
                  <c:v>2.1725903779491365</c:v>
                </c:pt>
                <c:pt idx="2">
                  <c:v>2.2201025806921408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48-6242-9FE1-EC0773766C1A}"/>
            </c:ext>
          </c:extLst>
        </c:ser>
        <c:ser>
          <c:idx val="2"/>
          <c:order val="2"/>
          <c:tx>
            <c:strRef>
              <c:f>summary!$L$6</c:f>
              <c:strCache>
                <c:ptCount val="1"/>
                <c:pt idx="0">
                  <c:v>0.42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summary!$L$7:$L$9</c:f>
              <c:numCache>
                <c:formatCode>General</c:formatCode>
                <c:ptCount val="3"/>
                <c:pt idx="0">
                  <c:v>2.6211362176344863</c:v>
                </c:pt>
                <c:pt idx="1">
                  <c:v>2.6831495714253357</c:v>
                </c:pt>
                <c:pt idx="2">
                  <c:v>2.7374781174791809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48-6242-9FE1-EC0773766C1A}"/>
            </c:ext>
          </c:extLst>
        </c:ser>
        <c:ser>
          <c:idx val="3"/>
          <c:order val="3"/>
          <c:tx>
            <c:strRef>
              <c:f>summary!$M$6</c:f>
              <c:strCache>
                <c:ptCount val="1"/>
                <c:pt idx="0">
                  <c:v>0.55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summary!$M$7:$M$9</c:f>
              <c:numCache>
                <c:formatCode>General</c:formatCode>
                <c:ptCount val="3"/>
                <c:pt idx="0">
                  <c:v>2.856243793770803</c:v>
                </c:pt>
                <c:pt idx="1">
                  <c:v>2.9132421169951779</c:v>
                </c:pt>
                <c:pt idx="2">
                  <c:v>2.9497771163247695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48-6242-9FE1-EC0773766C1A}"/>
            </c:ext>
          </c:extLst>
        </c:ser>
        <c:ser>
          <c:idx val="4"/>
          <c:order val="4"/>
          <c:tx>
            <c:strRef>
              <c:f>summary!$N$6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summary!$N$7:$N$9</c:f>
              <c:numCache>
                <c:formatCode>General</c:formatCode>
                <c:ptCount val="3"/>
                <c:pt idx="0">
                  <c:v>3.6764003882127736</c:v>
                </c:pt>
                <c:pt idx="1">
                  <c:v>3.7721571527072446</c:v>
                </c:pt>
                <c:pt idx="2">
                  <c:v>3.8371778703684787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48-6242-9FE1-EC0773766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735072"/>
        <c:axId val="1711071728"/>
      </c:scatterChart>
      <c:valAx>
        <c:axId val="174173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71728"/>
        <c:crosses val="autoZero"/>
        <c:crossBetween val="midCat"/>
      </c:valAx>
      <c:valAx>
        <c:axId val="1711071728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3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summary!$I$7</c:f>
              <c:strCache>
                <c:ptCount val="1"/>
                <c:pt idx="0">
                  <c:v>1300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summary!$J$7:$N$7</c:f>
              <c:numCache>
                <c:formatCode>General</c:formatCode>
                <c:ptCount val="5"/>
                <c:pt idx="0">
                  <c:v>1.7525527055969974</c:v>
                </c:pt>
                <c:pt idx="1">
                  <c:v>2.1372820970563007</c:v>
                </c:pt>
                <c:pt idx="2">
                  <c:v>2.6211362176344863</c:v>
                </c:pt>
                <c:pt idx="3">
                  <c:v>2.856243793770803</c:v>
                </c:pt>
                <c:pt idx="4">
                  <c:v>3.6764003882127736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62E-2146-9058-E7047A8963DC}"/>
            </c:ext>
          </c:extLst>
        </c:ser>
        <c:ser>
          <c:idx val="1"/>
          <c:order val="1"/>
          <c:tx>
            <c:strRef>
              <c:f>summary!$I$8</c:f>
              <c:strCache>
                <c:ptCount val="1"/>
                <c:pt idx="0">
                  <c:v>1200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summary!$J$8:$N$8</c:f>
              <c:numCache>
                <c:formatCode>General</c:formatCode>
                <c:ptCount val="5"/>
                <c:pt idx="0">
                  <c:v>1.8043151656857856</c:v>
                </c:pt>
                <c:pt idx="1">
                  <c:v>2.1725903779491365</c:v>
                </c:pt>
                <c:pt idx="2">
                  <c:v>2.6831495714253357</c:v>
                </c:pt>
                <c:pt idx="3">
                  <c:v>2.9132421169951779</c:v>
                </c:pt>
                <c:pt idx="4">
                  <c:v>3.7721571527072446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62E-2146-9058-E7047A8963DC}"/>
            </c:ext>
          </c:extLst>
        </c:ser>
        <c:ser>
          <c:idx val="2"/>
          <c:order val="2"/>
          <c:tx>
            <c:strRef>
              <c:f>summary!$I$9</c:f>
              <c:strCache>
                <c:ptCount val="1"/>
                <c:pt idx="0">
                  <c:v>1100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summary!$J$9:$N$9</c:f>
              <c:numCache>
                <c:formatCode>General</c:formatCode>
                <c:ptCount val="5"/>
                <c:pt idx="0">
                  <c:v>1.8534134446766684</c:v>
                </c:pt>
                <c:pt idx="1">
                  <c:v>2.2201025806921408</c:v>
                </c:pt>
                <c:pt idx="2">
                  <c:v>2.7374781174791809</c:v>
                </c:pt>
                <c:pt idx="3">
                  <c:v>2.9497771163247695</c:v>
                </c:pt>
                <c:pt idx="4">
                  <c:v>3.8371778703684787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62E-2146-9058-E7047A896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735072"/>
        <c:axId val="1711071728"/>
      </c:scatterChart>
      <c:valAx>
        <c:axId val="17417350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71728"/>
        <c:crosses val="autoZero"/>
        <c:crossBetween val="midCat"/>
      </c:valAx>
      <c:valAx>
        <c:axId val="1711071728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3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summary!$B$19:$B$25</c:f>
              <c:numCache>
                <c:formatCode>General</c:formatCode>
                <c:ptCount val="7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  <c:pt idx="3">
                  <c:v>1000</c:v>
                </c:pt>
                <c:pt idx="4">
                  <c:v>900</c:v>
                </c:pt>
                <c:pt idx="5">
                  <c:v>800</c:v>
                </c:pt>
                <c:pt idx="6">
                  <c:v>700</c:v>
                </c:pt>
              </c:numCache>
            </c:numRef>
          </c:xVal>
          <c:yVal>
            <c:numRef>
              <c:f>summary!$E$19:$E$25</c:f>
              <c:numCache>
                <c:formatCode>General</c:formatCode>
                <c:ptCount val="7"/>
                <c:pt idx="0">
                  <c:v>2.6211362176344863</c:v>
                </c:pt>
                <c:pt idx="1">
                  <c:v>2.6831495714253357</c:v>
                </c:pt>
                <c:pt idx="2">
                  <c:v>2.7374781174791809</c:v>
                </c:pt>
                <c:pt idx="3">
                  <c:v>2.8064027310632902</c:v>
                </c:pt>
                <c:pt idx="4">
                  <c:v>2.8549079131219095</c:v>
                </c:pt>
                <c:pt idx="5">
                  <c:v>2.8534206059510985</c:v>
                </c:pt>
                <c:pt idx="6">
                  <c:v>2.8659497928848854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90-6540-A053-0F64A0CFE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654272"/>
        <c:axId val="1543217664"/>
      </c:scatterChart>
      <c:valAx>
        <c:axId val="154265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217664"/>
        <c:crosses val="autoZero"/>
        <c:crossBetween val="midCat"/>
      </c:valAx>
      <c:valAx>
        <c:axId val="154321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5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120650</xdr:colOff>
      <xdr:row>4</xdr:row>
      <xdr:rowOff>190500</xdr:rowOff>
    </xdr:from>
    <xdr:to>
      <xdr:col>18</xdr:col>
      <xdr:colOff>565150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4EFAF-BD5F-5B93-9805-AD8D36CD03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508000</xdr:colOff>
      <xdr:row>3</xdr:row>
      <xdr:rowOff>177800</xdr:rowOff>
    </xdr:from>
    <xdr:to>
      <xdr:col>17</xdr:col>
      <xdr:colOff>762000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B219E8-C6BC-9C59-135E-32CB3CF71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520700</xdr:colOff>
      <xdr:row>17</xdr:row>
      <xdr:rowOff>177800</xdr:rowOff>
    </xdr:from>
    <xdr:to>
      <xdr:col>17</xdr:col>
      <xdr:colOff>787400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1ACDBC-142C-2241-B7ED-2E0C74DB4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742950</xdr:colOff>
      <xdr:row>22</xdr:row>
      <xdr:rowOff>38100</xdr:rowOff>
    </xdr:from>
    <xdr:to>
      <xdr:col>18</xdr:col>
      <xdr:colOff>457200</xdr:colOff>
      <xdr:row>35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32E152-881D-7C82-AFCB-A1A330119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762000</xdr:colOff>
      <xdr:row>37</xdr:row>
      <xdr:rowOff>12700</xdr:rowOff>
    </xdr:from>
    <xdr:to>
      <xdr:col>18</xdr:col>
      <xdr:colOff>476250</xdr:colOff>
      <xdr:row>50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8294DC-7566-DB4F-B3FF-704FABD778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292100</xdr:colOff>
      <xdr:row>82</xdr:row>
      <xdr:rowOff>114300</xdr:rowOff>
    </xdr:from>
    <xdr:to>
      <xdr:col>18</xdr:col>
      <xdr:colOff>736600</xdr:colOff>
      <xdr:row>96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C12C38-B14A-AB74-6B8E-F0C853C90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495300</xdr:colOff>
      <xdr:row>26</xdr:row>
      <xdr:rowOff>25400</xdr:rowOff>
    </xdr:from>
    <xdr:to>
      <xdr:col>19</xdr:col>
      <xdr:colOff>114300</xdr:colOff>
      <xdr:row>40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2DD51D-CA6E-F146-36D0-967874201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45</xdr:row>
      <xdr:rowOff>0</xdr:rowOff>
    </xdr:from>
    <xdr:to>
      <xdr:col>19</xdr:col>
      <xdr:colOff>444500</xdr:colOff>
      <xdr:row>60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E3EB16-8A7F-FA4C-B894-248A4A5906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11</xdr:row>
      <xdr:rowOff>0</xdr:rowOff>
    </xdr:from>
    <xdr:to>
      <xdr:col>19</xdr:col>
      <xdr:colOff>444500</xdr:colOff>
      <xdr:row>25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905BBC-1D0C-4B4D-A3A4-8F100AB272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546100</xdr:colOff>
      <xdr:row>11</xdr:row>
      <xdr:rowOff>165100</xdr:rowOff>
    </xdr:from>
    <xdr:to>
      <xdr:col>13</xdr:col>
      <xdr:colOff>800100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B72F53-6BB8-F802-7358-B9E4F5002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673100</xdr:colOff>
      <xdr:row>29</xdr:row>
      <xdr:rowOff>50800</xdr:rowOff>
    </xdr:from>
    <xdr:to>
      <xdr:col>14</xdr:col>
      <xdr:colOff>101600</xdr:colOff>
      <xdr:row>45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00D43E-132E-5949-BCBF-D3E40631AC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304800</xdr:colOff>
      <xdr:row>17</xdr:row>
      <xdr:rowOff>63500</xdr:rowOff>
    </xdr:from>
    <xdr:to>
      <xdr:col>19</xdr:col>
      <xdr:colOff>749300</xdr:colOff>
      <xdr:row>30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A6BE90-C682-EA0C-5B02-95E9A6D28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85E8-79FA-4D42-BF2D-9644AD06AAA6}">
  <dimension ref="A1:I34"/>
  <sheetViews>
    <sheetView workbookViewId="0">
      <selection activeCell="C7" sqref="C7"/>
    </sheetView>
  </sheetViews>
  <sheetFormatPr baseColWidth="10" defaultRowHeight="16" x14ac:dyDescent="0.2"/>
  <cols>
    <col min="6" max="6" width="11.1640625" bestFit="1" customWidth="1"/>
    <col min="9" max="9" width="12.1640625" bestFit="1" customWidth="1"/>
  </cols>
  <sheetData>
    <row r="1" spans="1:9" x14ac:dyDescent="0.2">
      <c r="A1" t="s">
        <v>0</v>
      </c>
      <c r="D1" t="s">
        <v>6</v>
      </c>
      <c r="E1" t="s">
        <v>7</v>
      </c>
    </row>
    <row r="2" spans="1:9" x14ac:dyDescent="0.2">
      <c r="C2" t="s">
        <v>2</v>
      </c>
      <c r="D2">
        <v>2</v>
      </c>
      <c r="E2">
        <f>19+39</f>
        <v>58</v>
      </c>
    </row>
    <row r="3" spans="1:9" x14ac:dyDescent="0.2">
      <c r="C3" t="s">
        <v>3</v>
      </c>
      <c r="D3">
        <v>5</v>
      </c>
      <c r="E3">
        <f>91.2+5*19</f>
        <v>186.2</v>
      </c>
    </row>
    <row r="5" spans="1:9" x14ac:dyDescent="0.2">
      <c r="B5" t="s">
        <v>1</v>
      </c>
      <c r="F5" t="s">
        <v>7</v>
      </c>
      <c r="G5" t="s">
        <v>8</v>
      </c>
      <c r="H5" t="s">
        <v>9</v>
      </c>
      <c r="I5" t="s">
        <v>36</v>
      </c>
    </row>
    <row r="6" spans="1:9" x14ac:dyDescent="0.2">
      <c r="B6" t="s">
        <v>2</v>
      </c>
      <c r="C6">
        <v>0.57999999999999996</v>
      </c>
      <c r="D6">
        <f>G6*2</f>
        <v>64</v>
      </c>
      <c r="F6">
        <f>G6*E$2+G7*E$3</f>
        <v>6324.7999999999993</v>
      </c>
      <c r="G6">
        <v>32</v>
      </c>
      <c r="H6">
        <f>F6/G8</f>
        <v>112.94285714285714</v>
      </c>
      <c r="I6">
        <f>F6*(1.66E-24)</f>
        <v>1.0499167999999999E-20</v>
      </c>
    </row>
    <row r="7" spans="1:9" x14ac:dyDescent="0.2">
      <c r="B7" t="s">
        <v>3</v>
      </c>
      <c r="C7">
        <v>0.42</v>
      </c>
      <c r="D7">
        <f>G7*5</f>
        <v>120</v>
      </c>
      <c r="G7">
        <v>24</v>
      </c>
    </row>
    <row r="8" spans="1:9" x14ac:dyDescent="0.2">
      <c r="D8">
        <f>SUM(D6:D7)</f>
        <v>184</v>
      </c>
      <c r="G8">
        <f>SUM(G6:G7)</f>
        <v>56</v>
      </c>
      <c r="H8">
        <f>G7/G8</f>
        <v>0.42857142857142855</v>
      </c>
    </row>
    <row r="10" spans="1:9" x14ac:dyDescent="0.2">
      <c r="B10" t="s">
        <v>4</v>
      </c>
      <c r="F10" t="s">
        <v>7</v>
      </c>
      <c r="G10" t="s">
        <v>8</v>
      </c>
      <c r="H10" t="s">
        <v>9</v>
      </c>
      <c r="I10" t="s">
        <v>36</v>
      </c>
    </row>
    <row r="11" spans="1:9" x14ac:dyDescent="0.2">
      <c r="B11" t="s">
        <v>2</v>
      </c>
      <c r="C11">
        <v>0.45</v>
      </c>
      <c r="D11">
        <f>G11*2</f>
        <v>40</v>
      </c>
      <c r="F11">
        <f>G11*E$2+G12*E$3</f>
        <v>5815</v>
      </c>
      <c r="G11">
        <v>20</v>
      </c>
      <c r="H11">
        <f>F11/G13</f>
        <v>129.22222222222223</v>
      </c>
      <c r="I11">
        <f>F11*(1.66E-24)</f>
        <v>9.6529000000000012E-21</v>
      </c>
    </row>
    <row r="12" spans="1:9" x14ac:dyDescent="0.2">
      <c r="B12" t="s">
        <v>3</v>
      </c>
      <c r="C12">
        <v>0.55000000000000004</v>
      </c>
      <c r="D12">
        <f>G12*5</f>
        <v>125</v>
      </c>
      <c r="G12">
        <v>25</v>
      </c>
    </row>
    <row r="13" spans="1:9" x14ac:dyDescent="0.2">
      <c r="D13">
        <f>SUM(D11:D12)</f>
        <v>165</v>
      </c>
      <c r="G13">
        <f>SUM(G11:G12)</f>
        <v>45</v>
      </c>
      <c r="H13">
        <f>G12/G13</f>
        <v>0.55555555555555558</v>
      </c>
    </row>
    <row r="15" spans="1:9" x14ac:dyDescent="0.2">
      <c r="B15" t="s">
        <v>5</v>
      </c>
      <c r="F15" t="s">
        <v>7</v>
      </c>
      <c r="G15" t="s">
        <v>8</v>
      </c>
      <c r="H15" t="s">
        <v>9</v>
      </c>
      <c r="I15" t="s">
        <v>36</v>
      </c>
    </row>
    <row r="16" spans="1:9" x14ac:dyDescent="0.2">
      <c r="B16" t="s">
        <v>2</v>
      </c>
      <c r="C16">
        <v>0.86</v>
      </c>
      <c r="D16">
        <f>G16*2</f>
        <v>120</v>
      </c>
      <c r="F16">
        <f>G16*E$2+G17*E$3</f>
        <v>5342</v>
      </c>
      <c r="G16">
        <v>60</v>
      </c>
      <c r="H16">
        <f>F16/G18</f>
        <v>76.314285714285717</v>
      </c>
      <c r="I16">
        <f>F16*(1.66E-24)</f>
        <v>8.8677199999999999E-21</v>
      </c>
    </row>
    <row r="17" spans="2:9" x14ac:dyDescent="0.2">
      <c r="B17" t="s">
        <v>3</v>
      </c>
      <c r="C17">
        <v>0.14000000000000001</v>
      </c>
      <c r="D17">
        <f>G17*5</f>
        <v>50</v>
      </c>
      <c r="G17">
        <v>10</v>
      </c>
    </row>
    <row r="18" spans="2:9" x14ac:dyDescent="0.2">
      <c r="D18">
        <f>SUM(D16:D17)</f>
        <v>170</v>
      </c>
      <c r="G18">
        <f>SUM(G16:G17)</f>
        <v>70</v>
      </c>
      <c r="H18">
        <f>G17/G18</f>
        <v>0.14285714285714285</v>
      </c>
    </row>
    <row r="20" spans="2:9" x14ac:dyDescent="0.2">
      <c r="B20" t="s">
        <v>15</v>
      </c>
      <c r="F20" t="s">
        <v>7</v>
      </c>
      <c r="G20" t="s">
        <v>8</v>
      </c>
      <c r="H20" t="s">
        <v>9</v>
      </c>
      <c r="I20" t="s">
        <v>36</v>
      </c>
    </row>
    <row r="21" spans="2:9" x14ac:dyDescent="0.2">
      <c r="B21" t="s">
        <v>2</v>
      </c>
      <c r="C21">
        <v>0.86</v>
      </c>
      <c r="D21">
        <f>G21*2</f>
        <v>0</v>
      </c>
      <c r="F21">
        <f>G21*E$2+G22*E$3</f>
        <v>5586</v>
      </c>
      <c r="G21">
        <v>0</v>
      </c>
      <c r="H21">
        <f>F21/G23</f>
        <v>186.2</v>
      </c>
      <c r="I21">
        <f>F21*(1.66E-24)</f>
        <v>9.2727600000000011E-21</v>
      </c>
    </row>
    <row r="22" spans="2:9" x14ac:dyDescent="0.2">
      <c r="B22" t="s">
        <v>3</v>
      </c>
      <c r="C22">
        <v>0.14000000000000001</v>
      </c>
      <c r="D22">
        <f>G22*5</f>
        <v>150</v>
      </c>
      <c r="G22">
        <v>30</v>
      </c>
    </row>
    <row r="23" spans="2:9" x14ac:dyDescent="0.2">
      <c r="D23">
        <f>SUM(D21:D22)</f>
        <v>150</v>
      </c>
      <c r="G23">
        <f>SUM(G21:G22)</f>
        <v>30</v>
      </c>
      <c r="H23">
        <f>G22/G23</f>
        <v>1</v>
      </c>
    </row>
    <row r="25" spans="2:9" x14ac:dyDescent="0.2">
      <c r="B25" t="s">
        <v>38</v>
      </c>
      <c r="F25" t="s">
        <v>7</v>
      </c>
      <c r="G25" t="s">
        <v>8</v>
      </c>
      <c r="H25" t="s">
        <v>9</v>
      </c>
      <c r="I25" t="s">
        <v>36</v>
      </c>
    </row>
    <row r="26" spans="2:9" x14ac:dyDescent="0.2">
      <c r="B26" t="s">
        <v>2</v>
      </c>
      <c r="C26">
        <v>0.86</v>
      </c>
      <c r="D26">
        <v>100</v>
      </c>
      <c r="F26">
        <f>G26*E$2+G27*E$3</f>
        <v>5800</v>
      </c>
      <c r="G26">
        <v>100</v>
      </c>
      <c r="H26">
        <f>F26/G28</f>
        <v>58</v>
      </c>
      <c r="I26">
        <f>F26*(1.66E-24)</f>
        <v>9.628E-21</v>
      </c>
    </row>
    <row r="27" spans="2:9" x14ac:dyDescent="0.2">
      <c r="B27" t="s">
        <v>3</v>
      </c>
      <c r="C27">
        <v>0.14000000000000001</v>
      </c>
      <c r="D27">
        <v>0</v>
      </c>
      <c r="G27">
        <v>0</v>
      </c>
    </row>
    <row r="28" spans="2:9" x14ac:dyDescent="0.2">
      <c r="D28">
        <f>SUM(D26:D27)</f>
        <v>100</v>
      </c>
      <c r="G28">
        <f>SUM(G26:G27)</f>
        <v>100</v>
      </c>
      <c r="H28">
        <f>G27/G28</f>
        <v>0</v>
      </c>
    </row>
    <row r="30" spans="2:9" x14ac:dyDescent="0.2">
      <c r="F30" t="s">
        <v>11</v>
      </c>
    </row>
    <row r="31" spans="2:9" x14ac:dyDescent="0.2">
      <c r="E31" t="s">
        <v>12</v>
      </c>
      <c r="F31" t="s">
        <v>10</v>
      </c>
    </row>
    <row r="33" spans="5:7" x14ac:dyDescent="0.2">
      <c r="E33" t="s">
        <v>13</v>
      </c>
      <c r="F33">
        <f>(0.00000015)^3</f>
        <v>3.3749999999999996E-21</v>
      </c>
      <c r="G33" t="s">
        <v>14</v>
      </c>
    </row>
    <row r="34" spans="5:7" x14ac:dyDescent="0.2">
      <c r="F34">
        <f>I16/F33</f>
        <v>2.6274725925925928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D377-E366-D449-B80C-FF0A92CA22BC}">
  <dimension ref="B2:M44"/>
  <sheetViews>
    <sheetView topLeftCell="A11" workbookViewId="0">
      <selection activeCell="J43" sqref="J43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1130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LINEST(E37:E43,G37:G43^{1,2})</f>
        <v>1.1488136938258255E-5</v>
      </c>
      <c r="K6">
        <v>-0.1318257126103019</v>
      </c>
      <c r="L6">
        <v>374.78920226580379</v>
      </c>
    </row>
    <row r="7" spans="2:13" x14ac:dyDescent="0.2">
      <c r="B7" t="s">
        <v>36</v>
      </c>
      <c r="J7" t="s">
        <v>23</v>
      </c>
      <c r="K7">
        <f>(-K6+SQRT(K6^2-4*J6*L6))/(2*J6)</f>
        <v>6280.2031743666766</v>
      </c>
      <c r="L7">
        <f>(-K6-SQRT(K6^2-4*J6*L6))/(2*J6)</f>
        <v>5194.7394833318594</v>
      </c>
    </row>
    <row r="8" spans="2:13" x14ac:dyDescent="0.2">
      <c r="B8">
        <v>9.628E-21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16.75</v>
      </c>
      <c r="I10" t="s">
        <v>22</v>
      </c>
      <c r="J10" cm="1">
        <f t="array" ref="J10:L10">LINEST(E37:E43,C37:C43^{1,2})</f>
        <v>0.13089400773182092</v>
      </c>
      <c r="K10">
        <v>115.82201220267497</v>
      </c>
      <c r="L10">
        <v>25618.714197990226</v>
      </c>
    </row>
    <row r="11" spans="2:13" x14ac:dyDescent="0.2">
      <c r="J11" t="s">
        <v>23</v>
      </c>
      <c r="K11">
        <f>(-K10+SQRT(K10^2-4*J10*L10))/(2*J10)</f>
        <v>-437.9169659065949</v>
      </c>
      <c r="L11">
        <f>(-K10-SQRT(K10^2-4*J10*L10))/(2*J10)</f>
        <v>-446.93646787300298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1</v>
      </c>
      <c r="C15">
        <v>-445.19777370666702</v>
      </c>
      <c r="D15">
        <v>33.800981999999998</v>
      </c>
      <c r="E15">
        <v>13.54782</v>
      </c>
      <c r="F15">
        <f>$F$10*B15</f>
        <v>16.75</v>
      </c>
      <c r="G15">
        <f t="shared" ref="G15" si="0">F15^3</f>
        <v>4699.421875</v>
      </c>
      <c r="H15">
        <f>$B$8/G15/(1E-24)</f>
        <v>2.0487626470011273</v>
      </c>
    </row>
    <row r="16" spans="2:13" x14ac:dyDescent="0.2">
      <c r="B16">
        <v>1.02</v>
      </c>
      <c r="C16">
        <v>-443.31618056888902</v>
      </c>
      <c r="D16">
        <v>33.267946444444398</v>
      </c>
      <c r="E16">
        <v>6.3224555555555497</v>
      </c>
      <c r="F16">
        <f t="shared" ref="F16:F19" si="1">$F$10*B16</f>
        <v>17.085000000000001</v>
      </c>
      <c r="G16">
        <f t="shared" ref="G16:G22" si="2">F16^3</f>
        <v>4987.0640891250014</v>
      </c>
      <c r="H16">
        <f t="shared" ref="H16:H22" si="3">$B$8/G16/(1E-24)</f>
        <v>1.9305948004548843</v>
      </c>
    </row>
    <row r="17" spans="2:13" x14ac:dyDescent="0.2">
      <c r="B17">
        <v>1.03</v>
      </c>
      <c r="C17">
        <v>-441.73150932888899</v>
      </c>
      <c r="D17">
        <v>33.530259999999998</v>
      </c>
      <c r="E17">
        <v>4.8583911111111098</v>
      </c>
      <c r="F17">
        <f t="shared" si="1"/>
        <v>17.252500000000001</v>
      </c>
      <c r="G17">
        <f t="shared" si="2"/>
        <v>5135.1851672031253</v>
      </c>
      <c r="H17">
        <f t="shared" si="3"/>
        <v>1.874908048397383</v>
      </c>
    </row>
    <row r="18" spans="2:13" x14ac:dyDescent="0.2">
      <c r="B18">
        <v>1.04</v>
      </c>
      <c r="C18">
        <v>-439.02563223333402</v>
      </c>
      <c r="D18">
        <v>33.7999333333333</v>
      </c>
      <c r="E18">
        <v>2.8638355555555601</v>
      </c>
      <c r="F18">
        <f t="shared" si="1"/>
        <v>17.420000000000002</v>
      </c>
      <c r="G18">
        <f t="shared" si="2"/>
        <v>5286.2104880000024</v>
      </c>
      <c r="H18">
        <f t="shared" si="3"/>
        <v>1.8213425329649864</v>
      </c>
      <c r="I18">
        <v>5493.7006854354622</v>
      </c>
      <c r="J18">
        <f>I18^(1/3)</f>
        <v>17.645000079558272</v>
      </c>
      <c r="K18">
        <f>$B$8/(I18*(10^-24))</f>
        <v>1.7525527055969974</v>
      </c>
      <c r="L18">
        <v>-437.90349390114346</v>
      </c>
      <c r="M18">
        <f>L18/L20</f>
        <v>-4.3790349390114347</v>
      </c>
    </row>
    <row r="19" spans="2:13" x14ac:dyDescent="0.2">
      <c r="B19">
        <v>1.05</v>
      </c>
      <c r="C19">
        <v>-438.58167227777801</v>
      </c>
      <c r="D19">
        <v>33.121001555555601</v>
      </c>
      <c r="E19">
        <v>0.26592666666666698</v>
      </c>
      <c r="F19">
        <f t="shared" si="1"/>
        <v>17.587500000000002</v>
      </c>
      <c r="G19">
        <f t="shared" si="2"/>
        <v>5440.1682480468771</v>
      </c>
      <c r="H19">
        <f t="shared" si="3"/>
        <v>1.7697982049464434</v>
      </c>
    </row>
    <row r="20" spans="2:13" x14ac:dyDescent="0.2">
      <c r="B20">
        <v>1.06</v>
      </c>
      <c r="C20">
        <v>-436.90976323555498</v>
      </c>
      <c r="D20">
        <v>33.502898000000002</v>
      </c>
      <c r="E20">
        <v>-0.41933111111111199</v>
      </c>
      <c r="F20">
        <f>$F$10*B20</f>
        <v>17.755000000000003</v>
      </c>
      <c r="G20">
        <f t="shared" si="2"/>
        <v>5597.0866438750027</v>
      </c>
      <c r="H20">
        <f t="shared" si="3"/>
        <v>1.7201806247784466</v>
      </c>
      <c r="K20" t="s">
        <v>8</v>
      </c>
      <c r="L20">
        <v>100</v>
      </c>
    </row>
    <row r="21" spans="2:13" x14ac:dyDescent="0.2">
      <c r="B21">
        <v>1.07</v>
      </c>
      <c r="C21">
        <v>-435.49356181777802</v>
      </c>
      <c r="D21">
        <v>33.078903555555598</v>
      </c>
      <c r="E21">
        <v>-2.3288533333333299</v>
      </c>
      <c r="F21">
        <f>$F$10*B21</f>
        <v>17.922499999999999</v>
      </c>
      <c r="G21">
        <f t="shared" si="2"/>
        <v>5756.9938720156242</v>
      </c>
      <c r="H21">
        <f t="shared" si="3"/>
        <v>1.6724005990003024</v>
      </c>
    </row>
    <row r="22" spans="2:13" x14ac:dyDescent="0.2">
      <c r="B22">
        <v>1.1000000000000001</v>
      </c>
      <c r="C22">
        <v>-430.006449853334</v>
      </c>
      <c r="D22">
        <v>33.268334444444399</v>
      </c>
      <c r="E22">
        <v>-4.3604466666666699</v>
      </c>
      <c r="F22">
        <f>$F$10*B22</f>
        <v>18.425000000000001</v>
      </c>
      <c r="G22">
        <f t="shared" si="2"/>
        <v>6254.9305156250011</v>
      </c>
      <c r="H22">
        <f t="shared" si="3"/>
        <v>1.5392657002262411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1</v>
      </c>
      <c r="C27">
        <v>-448.52753460000002</v>
      </c>
      <c r="D27">
        <v>30.608603333333299</v>
      </c>
      <c r="E27">
        <v>10.991237777777799</v>
      </c>
      <c r="F27">
        <f>$F$10*B27</f>
        <v>16.75</v>
      </c>
      <c r="G27">
        <f t="shared" ref="G27:G28" si="4">F27^3</f>
        <v>4699.421875</v>
      </c>
      <c r="H27">
        <f>$B$8/G27/(1E-24)</f>
        <v>2.0487626470011273</v>
      </c>
    </row>
    <row r="28" spans="2:13" x14ac:dyDescent="0.2">
      <c r="B28">
        <v>1.02</v>
      </c>
      <c r="C28">
        <v>-445.83125329777801</v>
      </c>
      <c r="D28">
        <v>30.811762666666699</v>
      </c>
      <c r="E28">
        <v>4.9550755555555597</v>
      </c>
      <c r="F28">
        <f t="shared" ref="F28" si="5">$F$10*B28</f>
        <v>17.085000000000001</v>
      </c>
      <c r="G28">
        <f t="shared" si="4"/>
        <v>4987.0640891250014</v>
      </c>
      <c r="H28">
        <f t="shared" ref="H28" si="6">$B$8/G28/(1E-24)</f>
        <v>1.9305948004548843</v>
      </c>
    </row>
    <row r="29" spans="2:13" x14ac:dyDescent="0.2">
      <c r="B29">
        <v>1.03</v>
      </c>
      <c r="C29">
        <v>-444.51827753999999</v>
      </c>
      <c r="D29">
        <v>30.73066</v>
      </c>
      <c r="E29">
        <v>2.5751577777777799</v>
      </c>
      <c r="F29">
        <f t="shared" ref="F29:F32" si="7">$F$10*B29</f>
        <v>17.252500000000001</v>
      </c>
      <c r="G29">
        <f t="shared" ref="G29:G32" si="8">F29^3</f>
        <v>5135.1851672031253</v>
      </c>
      <c r="H29">
        <f t="shared" ref="H29:H32" si="9">$B$8/G29/(1E-24)</f>
        <v>1.874908048397383</v>
      </c>
      <c r="I29">
        <v>5336.0965883920726</v>
      </c>
      <c r="J29">
        <f>I29^(1/3)</f>
        <v>17.474626180807338</v>
      </c>
      <c r="K29">
        <f>$B$8/(I29*(10^-24))</f>
        <v>1.8043151656857856</v>
      </c>
      <c r="L29">
        <v>-442.33984902235039</v>
      </c>
      <c r="M29">
        <f>L29/L30</f>
        <v>-4.4233984902235042</v>
      </c>
    </row>
    <row r="30" spans="2:13" x14ac:dyDescent="0.2">
      <c r="B30">
        <v>1.04</v>
      </c>
      <c r="C30">
        <v>-442.74498203777699</v>
      </c>
      <c r="D30">
        <v>31.155173777777801</v>
      </c>
      <c r="E30">
        <v>0.69372222222222002</v>
      </c>
      <c r="F30">
        <f t="shared" si="7"/>
        <v>17.420000000000002</v>
      </c>
      <c r="G30">
        <f t="shared" si="8"/>
        <v>5286.2104880000024</v>
      </c>
      <c r="H30">
        <f t="shared" si="9"/>
        <v>1.8213425329649864</v>
      </c>
      <c r="K30" t="s">
        <v>8</v>
      </c>
      <c r="L30">
        <v>100</v>
      </c>
    </row>
    <row r="31" spans="2:13" x14ac:dyDescent="0.2">
      <c r="B31">
        <v>1.05</v>
      </c>
      <c r="C31">
        <v>-441.13919298000002</v>
      </c>
      <c r="D31">
        <v>30.7199135555556</v>
      </c>
      <c r="E31">
        <v>-0.86179111111111195</v>
      </c>
      <c r="F31">
        <f t="shared" si="7"/>
        <v>17.587500000000002</v>
      </c>
      <c r="G31">
        <f t="shared" si="8"/>
        <v>5440.1682480468771</v>
      </c>
      <c r="H31">
        <f t="shared" si="9"/>
        <v>1.7697982049464434</v>
      </c>
    </row>
    <row r="32" spans="2:13" x14ac:dyDescent="0.2">
      <c r="B32">
        <v>1.06</v>
      </c>
      <c r="C32">
        <v>-439.060457747128</v>
      </c>
      <c r="D32">
        <v>30.8636128508921</v>
      </c>
      <c r="E32">
        <v>-2.5851014613565</v>
      </c>
      <c r="F32">
        <f t="shared" si="7"/>
        <v>17.755000000000003</v>
      </c>
      <c r="G32">
        <f t="shared" si="8"/>
        <v>5597.0866438750027</v>
      </c>
      <c r="H32">
        <f t="shared" si="9"/>
        <v>1.7201806247784466</v>
      </c>
    </row>
    <row r="34" spans="2:13" x14ac:dyDescent="0.2">
      <c r="B34">
        <v>1100</v>
      </c>
    </row>
    <row r="35" spans="2:13" x14ac:dyDescent="0.2">
      <c r="H35" t="s">
        <v>26</v>
      </c>
    </row>
    <row r="36" spans="2:13" x14ac:dyDescent="0.2"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  <c r="J36" t="s">
        <v>30</v>
      </c>
      <c r="K36" t="s">
        <v>32</v>
      </c>
      <c r="L36" t="s">
        <v>34</v>
      </c>
      <c r="M36" t="s">
        <v>35</v>
      </c>
    </row>
    <row r="37" spans="2:13" x14ac:dyDescent="0.2">
      <c r="B37">
        <v>0.99</v>
      </c>
      <c r="C37">
        <v>-453.07342940888901</v>
      </c>
      <c r="D37">
        <v>28.1730924444444</v>
      </c>
      <c r="E37">
        <v>12.998519999999999</v>
      </c>
      <c r="F37">
        <f>$F$10*B37</f>
        <v>16.5825</v>
      </c>
      <c r="G37">
        <f t="shared" ref="G37" si="10">F37^3</f>
        <v>4559.8443458906249</v>
      </c>
      <c r="H37">
        <f>$B$8/G37/(1E-24)</f>
        <v>2.1114755833007428</v>
      </c>
    </row>
    <row r="38" spans="2:13" x14ac:dyDescent="0.2">
      <c r="B38">
        <v>1</v>
      </c>
      <c r="C38">
        <v>-451.985515197778</v>
      </c>
      <c r="D38">
        <v>28.2412582222222</v>
      </c>
      <c r="E38">
        <v>8.3580511111111004</v>
      </c>
      <c r="F38">
        <f>$F$10*B38</f>
        <v>16.75</v>
      </c>
      <c r="G38">
        <f t="shared" ref="G38:G43" si="11">F38^3</f>
        <v>4699.421875</v>
      </c>
      <c r="H38">
        <f>$B$8/G38/(1E-24)</f>
        <v>2.0487626470011273</v>
      </c>
    </row>
    <row r="39" spans="2:13" x14ac:dyDescent="0.2">
      <c r="B39">
        <v>1.01</v>
      </c>
      <c r="C39">
        <v>-450.565339368889</v>
      </c>
      <c r="D39">
        <v>28.11917</v>
      </c>
      <c r="E39">
        <v>5.8611399999999998</v>
      </c>
      <c r="F39">
        <f t="shared" ref="F39:F43" si="12">$F$10*B39</f>
        <v>16.9175</v>
      </c>
      <c r="G39">
        <f t="shared" si="11"/>
        <v>4841.8190572343756</v>
      </c>
      <c r="H39">
        <f t="shared" ref="H39:H43" si="13">$B$8/G39/(1E-24)</f>
        <v>1.9885088406214562</v>
      </c>
      <c r="I39">
        <v>5194.7394833318594</v>
      </c>
      <c r="J39">
        <f>I39^(1/3)</f>
        <v>17.318938000729784</v>
      </c>
      <c r="K39">
        <f>$B$8/(I39*(10^-24))</f>
        <v>1.8534134446766684</v>
      </c>
      <c r="L39">
        <v>-446.93646787300298</v>
      </c>
      <c r="M39">
        <f>L39/L40</f>
        <v>-4.4693646787300301</v>
      </c>
    </row>
    <row r="40" spans="2:13" x14ac:dyDescent="0.2">
      <c r="B40">
        <v>1.02</v>
      </c>
      <c r="C40">
        <v>-449.13218305111099</v>
      </c>
      <c r="D40">
        <v>27.914975111111101</v>
      </c>
      <c r="E40">
        <v>2.75833555555556</v>
      </c>
      <c r="F40">
        <f t="shared" si="12"/>
        <v>17.085000000000001</v>
      </c>
      <c r="G40">
        <f t="shared" si="11"/>
        <v>4987.0640891250014</v>
      </c>
      <c r="H40">
        <f t="shared" si="13"/>
        <v>1.9305948004548843</v>
      </c>
      <c r="K40" t="s">
        <v>8</v>
      </c>
      <c r="L40">
        <v>100</v>
      </c>
    </row>
    <row r="41" spans="2:13" x14ac:dyDescent="0.2">
      <c r="B41">
        <v>1.03</v>
      </c>
      <c r="C41">
        <v>-447.275019044445</v>
      </c>
      <c r="D41">
        <v>28.054451111111099</v>
      </c>
      <c r="E41">
        <v>1.33130666666667</v>
      </c>
      <c r="F41">
        <f t="shared" si="12"/>
        <v>17.252500000000001</v>
      </c>
      <c r="G41">
        <f t="shared" si="11"/>
        <v>5135.1851672031253</v>
      </c>
      <c r="H41">
        <f t="shared" si="13"/>
        <v>1.874908048397383</v>
      </c>
    </row>
    <row r="42" spans="2:13" x14ac:dyDescent="0.2">
      <c r="B42">
        <v>1.04</v>
      </c>
      <c r="C42">
        <v>-445.96492171111203</v>
      </c>
      <c r="D42">
        <v>28.052415777777799</v>
      </c>
      <c r="E42">
        <v>-0.793824444444446</v>
      </c>
      <c r="F42">
        <f t="shared" si="12"/>
        <v>17.420000000000002</v>
      </c>
      <c r="G42">
        <f t="shared" si="11"/>
        <v>5286.2104880000024</v>
      </c>
      <c r="H42">
        <f t="shared" si="13"/>
        <v>1.8213425329649864</v>
      </c>
    </row>
    <row r="43" spans="2:13" x14ac:dyDescent="0.2">
      <c r="B43">
        <v>1.05</v>
      </c>
      <c r="C43">
        <v>-444.16842651777699</v>
      </c>
      <c r="D43">
        <v>28.457812000000001</v>
      </c>
      <c r="E43">
        <v>-2.6832288888888902</v>
      </c>
      <c r="F43">
        <f t="shared" si="12"/>
        <v>17.587500000000002</v>
      </c>
      <c r="G43">
        <f t="shared" si="11"/>
        <v>5440.1682480468771</v>
      </c>
      <c r="H43">
        <f t="shared" si="13"/>
        <v>1.7697982049464434</v>
      </c>
    </row>
    <row r="44" spans="2:13" x14ac:dyDescent="0.2">
      <c r="B44">
        <v>1.06</v>
      </c>
      <c r="C44">
        <v>-442.27877759111101</v>
      </c>
      <c r="D44">
        <v>27.789007111111101</v>
      </c>
      <c r="E44">
        <v>-3.8517311111111101</v>
      </c>
      <c r="F44">
        <f t="shared" ref="F44" si="14">$F$10*B44</f>
        <v>17.755000000000003</v>
      </c>
      <c r="G44">
        <f t="shared" ref="G44" si="15">F44^3</f>
        <v>5597.0866438750027</v>
      </c>
      <c r="H44">
        <f t="shared" ref="H44" si="16">$B$8/G44/(1E-24)</f>
        <v>1.7201806247784466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48F7-BB50-F94E-9787-8E42594C48D4}">
  <dimension ref="B2:M48"/>
  <sheetViews>
    <sheetView topLeftCell="A29" workbookViewId="0">
      <selection activeCell="P39" sqref="P39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1030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LINEST(E15:E22,G15:G22^{1,2})</f>
        <v>1.3265557157005496E-5</v>
      </c>
      <c r="K6">
        <v>-0.12742722749434823</v>
      </c>
      <c r="L6">
        <v>300.34070824054487</v>
      </c>
    </row>
    <row r="7" spans="2:13" x14ac:dyDescent="0.2">
      <c r="B7" t="s">
        <v>36</v>
      </c>
      <c r="J7" t="s">
        <v>23</v>
      </c>
      <c r="K7">
        <f>(-K6+SQRT(K6^2-4*J6*L6))/(2*J6)</f>
        <v>5456.8068480435768</v>
      </c>
      <c r="L7">
        <f>(-K6-SQRT(K6^2-4*J6*L6))/(2*J6)</f>
        <v>4149.0639032692943</v>
      </c>
    </row>
    <row r="8" spans="2:13" x14ac:dyDescent="0.2">
      <c r="B8">
        <v>8.8677199999999999E-21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</v>
      </c>
      <c r="I10" t="s">
        <v>22</v>
      </c>
      <c r="J10" cm="1">
        <f t="array" ref="J10:L10">LINEST(E15:E22,C15:C22^{1,2})</f>
        <v>-6.375624473831451E-2</v>
      </c>
      <c r="K10">
        <v>-69.468790608281438</v>
      </c>
      <c r="L10">
        <v>-18881.23674964111</v>
      </c>
    </row>
    <row r="11" spans="2:13" x14ac:dyDescent="0.2">
      <c r="J11" t="s">
        <v>23</v>
      </c>
      <c r="K11">
        <f>(-K10+SQRT(K10^2-4*J10*L10))/(2*J10)</f>
        <v>-570.48393752005552</v>
      </c>
      <c r="L11">
        <f>(-K10-SQRT(K10^2-4*J10*L10))/(2*J10)</f>
        <v>-519.11584824859972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0.96</v>
      </c>
      <c r="C15">
        <v>-523.37667997999995</v>
      </c>
      <c r="D15">
        <v>28.074015111111098</v>
      </c>
      <c r="E15">
        <v>12.820624444444499</v>
      </c>
      <c r="F15">
        <f>$F$10*B15</f>
        <v>15.36</v>
      </c>
      <c r="G15">
        <f t="shared" ref="G15" si="0">F15^3</f>
        <v>3623.8786559999999</v>
      </c>
      <c r="H15">
        <f>$B$8/G15/(1E-24)</f>
        <v>2.4470245396649397</v>
      </c>
    </row>
    <row r="16" spans="2:13" x14ac:dyDescent="0.2">
      <c r="B16">
        <v>0.97</v>
      </c>
      <c r="C16">
        <v>-522.04771110888805</v>
      </c>
      <c r="D16">
        <v>28.5797197777778</v>
      </c>
      <c r="E16">
        <v>9.2870533333333292</v>
      </c>
      <c r="F16">
        <f t="shared" ref="F16:F22" si="1">$F$10*B16</f>
        <v>15.52</v>
      </c>
      <c r="G16">
        <f t="shared" ref="G16:G22" si="2">F16^3</f>
        <v>3738.3086079999998</v>
      </c>
      <c r="H16">
        <f t="shared" ref="H16:H22" si="3">$B$8/G16/(1E-24)</f>
        <v>2.3721209054338193</v>
      </c>
    </row>
    <row r="17" spans="2:13" x14ac:dyDescent="0.2">
      <c r="B17">
        <v>0.98</v>
      </c>
      <c r="C17">
        <v>-521.28418319555499</v>
      </c>
      <c r="D17">
        <v>28.730115333333298</v>
      </c>
      <c r="E17">
        <v>6.1875311111111104</v>
      </c>
      <c r="F17">
        <f t="shared" si="1"/>
        <v>15.68</v>
      </c>
      <c r="G17">
        <f t="shared" si="2"/>
        <v>3855.1224319999997</v>
      </c>
      <c r="H17">
        <f t="shared" si="3"/>
        <v>2.3002434180539151</v>
      </c>
    </row>
    <row r="18" spans="2:13" x14ac:dyDescent="0.2">
      <c r="B18">
        <v>0.99</v>
      </c>
      <c r="C18">
        <v>-519.98656403111102</v>
      </c>
      <c r="D18">
        <v>28.2896246666667</v>
      </c>
      <c r="E18">
        <v>3.53874222222223</v>
      </c>
      <c r="F18">
        <f t="shared" si="1"/>
        <v>15.84</v>
      </c>
      <c r="G18">
        <f t="shared" si="2"/>
        <v>3974.3447039999996</v>
      </c>
      <c r="H18">
        <f t="shared" si="3"/>
        <v>2.2312407857011092</v>
      </c>
    </row>
    <row r="19" spans="2:13" x14ac:dyDescent="0.2">
      <c r="B19">
        <v>0.995</v>
      </c>
      <c r="C19">
        <v>-519.84563150888903</v>
      </c>
      <c r="D19">
        <v>28.537317777777801</v>
      </c>
      <c r="E19">
        <v>2.0832044444444402</v>
      </c>
      <c r="F19">
        <f t="shared" si="1"/>
        <v>15.92</v>
      </c>
      <c r="G19">
        <f t="shared" si="2"/>
        <v>4034.8666880000001</v>
      </c>
      <c r="H19">
        <f t="shared" si="3"/>
        <v>2.1977727359303527</v>
      </c>
      <c r="I19">
        <v>4149.0639032692943</v>
      </c>
      <c r="J19">
        <f>I19^(1/3)</f>
        <v>16.068797382569095</v>
      </c>
      <c r="K19">
        <f>$B$8/(I19*(10^-24))</f>
        <v>2.1372820970563007</v>
      </c>
      <c r="L19">
        <v>-519.11584824859972</v>
      </c>
      <c r="M19">
        <f>L19/L21</f>
        <v>-7.4159406892657103</v>
      </c>
    </row>
    <row r="20" spans="2:13" x14ac:dyDescent="0.2">
      <c r="B20">
        <v>1</v>
      </c>
      <c r="C20">
        <v>-519.41449992000003</v>
      </c>
      <c r="D20">
        <v>28.180623333333301</v>
      </c>
      <c r="E20">
        <v>1.3138777777777799</v>
      </c>
      <c r="F20">
        <f t="shared" si="1"/>
        <v>16</v>
      </c>
      <c r="G20">
        <f t="shared" si="2"/>
        <v>4096</v>
      </c>
      <c r="H20">
        <f t="shared" si="3"/>
        <v>2.1649707031250003</v>
      </c>
    </row>
    <row r="21" spans="2:13" x14ac:dyDescent="0.2">
      <c r="B21">
        <v>1.0049999999999999</v>
      </c>
      <c r="C21">
        <v>-518.85688919999996</v>
      </c>
      <c r="D21">
        <v>28.029070222222199</v>
      </c>
      <c r="E21">
        <v>-0.60583111111111099</v>
      </c>
      <c r="F21">
        <f t="shared" si="1"/>
        <v>16.079999999999998</v>
      </c>
      <c r="G21">
        <f t="shared" si="2"/>
        <v>4157.7477119999985</v>
      </c>
      <c r="H21">
        <f t="shared" si="3"/>
        <v>2.132818202125681</v>
      </c>
      <c r="K21" t="s">
        <v>8</v>
      </c>
      <c r="L21">
        <v>70</v>
      </c>
    </row>
    <row r="22" spans="2:13" x14ac:dyDescent="0.2">
      <c r="B22">
        <v>1.01</v>
      </c>
      <c r="C22">
        <v>-519.01832318444497</v>
      </c>
      <c r="D22">
        <v>28.218963111111101</v>
      </c>
      <c r="E22">
        <v>-1.0133333333333301</v>
      </c>
      <c r="F22">
        <f t="shared" si="1"/>
        <v>16.16</v>
      </c>
      <c r="G22">
        <f t="shared" si="2"/>
        <v>4220.1128959999996</v>
      </c>
      <c r="H22">
        <f t="shared" si="3"/>
        <v>2.1012992350051105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0.96</v>
      </c>
      <c r="C27">
        <v>-525.45463531999997</v>
      </c>
      <c r="D27">
        <v>26.361683777777799</v>
      </c>
      <c r="E27">
        <v>10.8266288888889</v>
      </c>
      <c r="F27">
        <f>$F$10*B27</f>
        <v>15.36</v>
      </c>
      <c r="G27">
        <f t="shared" ref="G27" si="4">F27^3</f>
        <v>3623.8786559999999</v>
      </c>
      <c r="H27">
        <f>$B$8/G27/(1E-24)</f>
        <v>2.4470245396649397</v>
      </c>
    </row>
    <row r="28" spans="2:13" x14ac:dyDescent="0.2">
      <c r="B28">
        <v>0.97</v>
      </c>
      <c r="C28">
        <v>-524.46697975333302</v>
      </c>
      <c r="D28">
        <v>26.1851522222222</v>
      </c>
      <c r="E28">
        <v>6.86597777777778</v>
      </c>
      <c r="F28">
        <f t="shared" ref="F28:F34" si="5">$F$10*B28</f>
        <v>15.52</v>
      </c>
      <c r="G28">
        <f t="shared" ref="G28:G34" si="6">F28^3</f>
        <v>3738.3086079999998</v>
      </c>
      <c r="H28">
        <f t="shared" ref="H28:H34" si="7">$B$8/G28/(1E-24)</f>
        <v>2.3721209054338193</v>
      </c>
    </row>
    <row r="29" spans="2:13" x14ac:dyDescent="0.2">
      <c r="B29">
        <v>0.98</v>
      </c>
      <c r="C29">
        <v>-524.47880021555602</v>
      </c>
      <c r="D29">
        <v>26.180476444444398</v>
      </c>
      <c r="E29">
        <v>4.0373111111111104</v>
      </c>
      <c r="F29">
        <f t="shared" si="5"/>
        <v>15.68</v>
      </c>
      <c r="G29">
        <f t="shared" si="6"/>
        <v>3855.1224319999997</v>
      </c>
      <c r="H29">
        <f t="shared" si="7"/>
        <v>2.3002434180539151</v>
      </c>
    </row>
    <row r="30" spans="2:13" x14ac:dyDescent="0.2">
      <c r="B30">
        <v>0.98499999999999999</v>
      </c>
      <c r="C30">
        <v>-523.56711291111196</v>
      </c>
      <c r="D30">
        <v>26.176381111111102</v>
      </c>
      <c r="E30">
        <v>2.9937155555555601</v>
      </c>
      <c r="F30">
        <f t="shared" ref="F30" si="8">$F$10*B30</f>
        <v>15.76</v>
      </c>
      <c r="G30">
        <f t="shared" ref="G30" si="9">F30^3</f>
        <v>3914.4309760000001</v>
      </c>
      <c r="H30">
        <f t="shared" si="7"/>
        <v>2.2653918422292807</v>
      </c>
    </row>
    <row r="31" spans="2:13" x14ac:dyDescent="0.2">
      <c r="B31">
        <v>0.99</v>
      </c>
      <c r="C31">
        <v>-522.44468174666702</v>
      </c>
      <c r="D31">
        <v>26.290647111111099</v>
      </c>
      <c r="E31">
        <v>2.0696022222222199</v>
      </c>
      <c r="F31">
        <f t="shared" si="5"/>
        <v>15.84</v>
      </c>
      <c r="G31">
        <f t="shared" si="6"/>
        <v>3974.3447039999996</v>
      </c>
      <c r="H31">
        <f t="shared" si="7"/>
        <v>2.2312407857011092</v>
      </c>
    </row>
    <row r="32" spans="2:13" x14ac:dyDescent="0.2">
      <c r="B32">
        <v>0.995</v>
      </c>
      <c r="C32">
        <v>-522.14655775999995</v>
      </c>
      <c r="D32">
        <v>26.196605111111101</v>
      </c>
      <c r="E32">
        <v>0.86381333333333299</v>
      </c>
      <c r="F32">
        <f t="shared" si="5"/>
        <v>15.92</v>
      </c>
      <c r="G32">
        <f t="shared" si="6"/>
        <v>4034.8666880000001</v>
      </c>
      <c r="H32">
        <f t="shared" si="7"/>
        <v>2.1977727359303527</v>
      </c>
      <c r="I32">
        <v>4081.634573182117</v>
      </c>
      <c r="J32">
        <f>I32^(1/3)</f>
        <v>15.98127310718343</v>
      </c>
      <c r="K32">
        <f>$B$8/(I32*(10^-24))</f>
        <v>2.1725903779491365</v>
      </c>
      <c r="L32">
        <v>-521.80565933729838</v>
      </c>
      <c r="M32">
        <f>L32/L34</f>
        <v>-7.4543665619614057</v>
      </c>
    </row>
    <row r="33" spans="2:13" x14ac:dyDescent="0.2">
      <c r="B33">
        <v>1</v>
      </c>
      <c r="C33">
        <v>-521.40108918666601</v>
      </c>
      <c r="D33">
        <v>26.053430888888901</v>
      </c>
      <c r="E33">
        <v>-0.46448444444444298</v>
      </c>
      <c r="F33">
        <f t="shared" si="5"/>
        <v>16</v>
      </c>
      <c r="G33">
        <f t="shared" si="6"/>
        <v>4096</v>
      </c>
      <c r="H33">
        <f t="shared" si="7"/>
        <v>2.1649707031250003</v>
      </c>
    </row>
    <row r="34" spans="2:13" x14ac:dyDescent="0.2">
      <c r="B34">
        <v>1.0049999999999999</v>
      </c>
      <c r="C34">
        <v>-521.68680275999998</v>
      </c>
      <c r="D34">
        <v>26.075939777777801</v>
      </c>
      <c r="E34">
        <v>-0.96124666666666503</v>
      </c>
      <c r="F34">
        <f t="shared" si="5"/>
        <v>16.079999999999998</v>
      </c>
      <c r="G34">
        <f t="shared" si="6"/>
        <v>4157.7477119999985</v>
      </c>
      <c r="H34">
        <f t="shared" si="7"/>
        <v>2.132818202125681</v>
      </c>
      <c r="K34" t="s">
        <v>8</v>
      </c>
      <c r="L34">
        <v>70</v>
      </c>
    </row>
    <row r="35" spans="2:13" x14ac:dyDescent="0.2">
      <c r="B35">
        <v>1.02</v>
      </c>
      <c r="C35">
        <v>-519.23876108444495</v>
      </c>
      <c r="D35">
        <v>26.287757111111102</v>
      </c>
      <c r="E35">
        <v>-3.5029422222222202</v>
      </c>
      <c r="F35">
        <f t="shared" ref="F35" si="10">$F$10*B35</f>
        <v>16.32</v>
      </c>
      <c r="G35">
        <f t="shared" ref="G35" si="11">F35^3</f>
        <v>4346.7079679999997</v>
      </c>
      <c r="H35">
        <f t="shared" ref="H35" si="12">$B$8/G35/(1E-24)</f>
        <v>2.0401002471947067</v>
      </c>
    </row>
    <row r="37" spans="2:13" x14ac:dyDescent="0.2">
      <c r="B37">
        <v>1100</v>
      </c>
    </row>
    <row r="38" spans="2:13" x14ac:dyDescent="0.2">
      <c r="H38" t="s">
        <v>26</v>
      </c>
    </row>
    <row r="39" spans="2:13" x14ac:dyDescent="0.2"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33</v>
      </c>
      <c r="J39" t="s">
        <v>30</v>
      </c>
      <c r="K39" t="s">
        <v>32</v>
      </c>
      <c r="L39" t="s">
        <v>34</v>
      </c>
      <c r="M39" t="s">
        <v>35</v>
      </c>
    </row>
    <row r="40" spans="2:13" x14ac:dyDescent="0.2">
      <c r="B40">
        <v>0.95</v>
      </c>
      <c r="C40">
        <v>-528.25467925555597</v>
      </c>
      <c r="D40">
        <v>24.0418186666667</v>
      </c>
      <c r="E40">
        <v>14.2376111111111</v>
      </c>
      <c r="F40">
        <f>$F$10*B40</f>
        <v>15.2</v>
      </c>
      <c r="G40">
        <f t="shared" ref="G40" si="13">F40^3</f>
        <v>3511.8079999999995</v>
      </c>
      <c r="H40">
        <f>$B$8/G40/(1E-24)</f>
        <v>2.5251152682606799</v>
      </c>
    </row>
    <row r="41" spans="2:13" x14ac:dyDescent="0.2">
      <c r="B41">
        <v>0.96</v>
      </c>
      <c r="C41">
        <v>-527.84212601333297</v>
      </c>
      <c r="D41">
        <v>23.9372557777778</v>
      </c>
      <c r="E41">
        <v>8.47206444444444</v>
      </c>
      <c r="F41">
        <f>$F$10*B41</f>
        <v>15.36</v>
      </c>
      <c r="G41">
        <f t="shared" ref="G41:G48" si="14">F41^3</f>
        <v>3623.8786559999999</v>
      </c>
      <c r="H41">
        <f>$B$8/G41/(1E-24)</f>
        <v>2.4470245396649397</v>
      </c>
    </row>
    <row r="42" spans="2:13" x14ac:dyDescent="0.2">
      <c r="B42">
        <v>0.97</v>
      </c>
      <c r="C42">
        <v>-527.18377083111102</v>
      </c>
      <c r="D42">
        <v>24.066739999999999</v>
      </c>
      <c r="E42">
        <v>6.4389200000000004</v>
      </c>
      <c r="F42">
        <f t="shared" ref="F42:F47" si="15">$F$10*B42</f>
        <v>15.52</v>
      </c>
      <c r="G42">
        <f t="shared" ref="G42:G47" si="16">F42^3</f>
        <v>3738.3086079999998</v>
      </c>
      <c r="H42">
        <f t="shared" ref="H42:H47" si="17">$B$8/G42/(1E-24)</f>
        <v>2.3721209054338193</v>
      </c>
    </row>
    <row r="43" spans="2:13" x14ac:dyDescent="0.2">
      <c r="B43">
        <v>0.98</v>
      </c>
      <c r="C43">
        <v>-525.92149071333301</v>
      </c>
      <c r="D43">
        <v>23.891061333333301</v>
      </c>
      <c r="E43">
        <v>2.7732222222222198</v>
      </c>
      <c r="F43">
        <f t="shared" si="15"/>
        <v>15.68</v>
      </c>
      <c r="G43">
        <f t="shared" si="16"/>
        <v>3855.1224319999997</v>
      </c>
      <c r="H43">
        <f t="shared" si="17"/>
        <v>2.3002434180539151</v>
      </c>
    </row>
    <row r="44" spans="2:13" x14ac:dyDescent="0.2">
      <c r="B44">
        <v>0.98499999999999999</v>
      </c>
      <c r="C44">
        <v>-525.56425348222206</v>
      </c>
      <c r="D44">
        <v>24.092456666666699</v>
      </c>
      <c r="E44">
        <v>1.25029777777778</v>
      </c>
      <c r="F44">
        <f t="shared" si="15"/>
        <v>15.76</v>
      </c>
      <c r="G44">
        <f t="shared" si="16"/>
        <v>3914.4309760000001</v>
      </c>
      <c r="H44">
        <f t="shared" si="17"/>
        <v>2.2653918422292807</v>
      </c>
      <c r="I44">
        <v>3994.2839025192211</v>
      </c>
      <c r="J44">
        <f>I44^(1/3)</f>
        <v>15.866445465692877</v>
      </c>
      <c r="K44">
        <f>$B$8/(I44*(10^-24))</f>
        <v>2.2201025806921408</v>
      </c>
      <c r="L44">
        <v>-524.99364174123298</v>
      </c>
      <c r="M44">
        <f>L44/L46</f>
        <v>-7.4999091677319001</v>
      </c>
    </row>
    <row r="45" spans="2:13" x14ac:dyDescent="0.2">
      <c r="B45">
        <v>0.99</v>
      </c>
      <c r="C45">
        <v>-525.34512331333406</v>
      </c>
      <c r="D45">
        <v>24.265241777777799</v>
      </c>
      <c r="E45">
        <v>0.96986444444444497</v>
      </c>
      <c r="F45">
        <f t="shared" si="15"/>
        <v>15.84</v>
      </c>
      <c r="G45">
        <f t="shared" si="16"/>
        <v>3974.3447039999996</v>
      </c>
      <c r="H45">
        <f t="shared" si="17"/>
        <v>2.2312407857011092</v>
      </c>
    </row>
    <row r="46" spans="2:13" x14ac:dyDescent="0.2">
      <c r="B46">
        <v>0.995</v>
      </c>
      <c r="C46">
        <v>-524.15501022222304</v>
      </c>
      <c r="D46">
        <v>24.065220888888899</v>
      </c>
      <c r="E46">
        <v>-0.47470888888888901</v>
      </c>
      <c r="F46">
        <f t="shared" si="15"/>
        <v>15.92</v>
      </c>
      <c r="G46">
        <f t="shared" si="16"/>
        <v>4034.8666880000001</v>
      </c>
      <c r="H46">
        <f t="shared" si="17"/>
        <v>2.1977727359303527</v>
      </c>
      <c r="K46" t="s">
        <v>8</v>
      </c>
      <c r="L46">
        <v>70</v>
      </c>
    </row>
    <row r="47" spans="2:13" x14ac:dyDescent="0.2">
      <c r="B47">
        <v>1</v>
      </c>
      <c r="C47">
        <v>-523.81104607333305</v>
      </c>
      <c r="D47">
        <v>24.041715111111099</v>
      </c>
      <c r="E47">
        <v>-1.9249666666666601</v>
      </c>
      <c r="F47">
        <f t="shared" si="15"/>
        <v>16</v>
      </c>
      <c r="G47">
        <f t="shared" si="16"/>
        <v>4096</v>
      </c>
      <c r="H47">
        <f t="shared" si="17"/>
        <v>2.1649707031250003</v>
      </c>
    </row>
    <row r="48" spans="2:13" x14ac:dyDescent="0.2">
      <c r="B48">
        <v>1.02</v>
      </c>
      <c r="C48">
        <v>-521.49088338000001</v>
      </c>
      <c r="D48">
        <v>23.771260444444401</v>
      </c>
      <c r="E48">
        <v>-4.7992933333333303</v>
      </c>
      <c r="F48">
        <f t="shared" ref="F48" si="18">$F$10*B48</f>
        <v>16.32</v>
      </c>
      <c r="G48">
        <f t="shared" si="14"/>
        <v>4346.7079679999997</v>
      </c>
      <c r="H48">
        <f t="shared" ref="H48" si="19">$B$8/G48/(1E-24)</f>
        <v>2.0401002471947067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05FE-423C-9343-A753-0BA870EDB24F}">
  <dimension ref="B2:M93"/>
  <sheetViews>
    <sheetView topLeftCell="A69" workbookViewId="0">
      <selection activeCell="J94" sqref="J94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670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LINEST(E86:E91,G86:G91^{1,2})</f>
        <v>2.5574670072420916E-5</v>
      </c>
      <c r="K6">
        <v>-0.20797184738354535</v>
      </c>
      <c r="L6">
        <v>418.65955872961086</v>
      </c>
    </row>
    <row r="7" spans="2:13" x14ac:dyDescent="0.2">
      <c r="B7" t="s">
        <v>36</v>
      </c>
      <c r="J7" t="s">
        <v>23</v>
      </c>
      <c r="K7">
        <f>(-K6+SQRT(K6^2-4*J6*L6))/(2*J6)</f>
        <v>4468.5298612953793</v>
      </c>
      <c r="L7">
        <f>(-K6-SQRT(K6^2-4*J6*L6))/(2*J6)</f>
        <v>3663.4165839421285</v>
      </c>
    </row>
    <row r="8" spans="2:13" x14ac:dyDescent="0.2">
      <c r="B8">
        <v>1.0499167999999999E-20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15.5</v>
      </c>
      <c r="I10" t="s">
        <v>22</v>
      </c>
      <c r="J10" cm="1">
        <f t="array" ref="J10:L10">LINEST(E86:E91,C86:C91^{1,2})</f>
        <v>-7.787746765424699</v>
      </c>
      <c r="K10">
        <v>-11747.948086190143</v>
      </c>
      <c r="L10">
        <v>-4430486.2359858435</v>
      </c>
    </row>
    <row r="11" spans="2:13" x14ac:dyDescent="0.2">
      <c r="J11" t="s">
        <v>23</v>
      </c>
      <c r="K11">
        <f>(-K10+SQRT(K10^2-4*J10*L10))/(2*J10)</f>
        <v>-755.30328478608192</v>
      </c>
      <c r="L11">
        <f>(-K10-SQRT(K10^2-4*J10*L10))/(2*J10)</f>
        <v>-753.21367654444964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0.98</v>
      </c>
      <c r="C15">
        <v>-737.83342256888898</v>
      </c>
      <c r="D15">
        <v>30.614796444444401</v>
      </c>
      <c r="E15">
        <v>11.2255133333333</v>
      </c>
      <c r="F15">
        <f>$F$10*B15</f>
        <v>15.19</v>
      </c>
      <c r="G15">
        <f t="shared" ref="G15:G22" si="0">F15^3</f>
        <v>3504.881359</v>
      </c>
      <c r="H15">
        <f>$B$8/G15/(1E-24)</f>
        <v>2.9955844220061087</v>
      </c>
    </row>
    <row r="16" spans="2:13" x14ac:dyDescent="0.2">
      <c r="B16">
        <v>0.99</v>
      </c>
      <c r="C16">
        <v>-737.64876905999995</v>
      </c>
      <c r="D16">
        <v>30.836962</v>
      </c>
      <c r="E16">
        <v>9.0144844444444505</v>
      </c>
      <c r="F16">
        <f>$F$10*B16</f>
        <v>15.345000000000001</v>
      </c>
      <c r="G16">
        <f t="shared" ref="G16" si="1">F16^3</f>
        <v>3613.2721886250006</v>
      </c>
      <c r="H16">
        <f>$B$8/G16/(1E-24)</f>
        <v>2.9057229712869672</v>
      </c>
    </row>
    <row r="17" spans="2:13" x14ac:dyDescent="0.2">
      <c r="B17">
        <v>1</v>
      </c>
      <c r="C17">
        <v>-737.17077008000001</v>
      </c>
      <c r="D17">
        <v>30.794436000000001</v>
      </c>
      <c r="E17">
        <v>4.7506311111111099</v>
      </c>
      <c r="F17">
        <f t="shared" ref="F17:F22" si="2">$F$10*B17</f>
        <v>15.5</v>
      </c>
      <c r="G17">
        <f t="shared" si="0"/>
        <v>3723.875</v>
      </c>
      <c r="H17">
        <f t="shared" ref="H17:H22" si="3">$B$8/G17/(1E-24)</f>
        <v>2.8194200933167735</v>
      </c>
    </row>
    <row r="18" spans="2:13" x14ac:dyDescent="0.2">
      <c r="B18">
        <v>1.01</v>
      </c>
      <c r="C18">
        <v>-736.51976630444506</v>
      </c>
      <c r="D18">
        <v>30.911700444444499</v>
      </c>
      <c r="E18">
        <v>2.3620533333333298</v>
      </c>
      <c r="F18">
        <f t="shared" ref="F18" si="4">$F$10*B18</f>
        <v>15.654999999999999</v>
      </c>
      <c r="G18">
        <f t="shared" ref="G18" si="5">F18^3</f>
        <v>3836.7121363749993</v>
      </c>
      <c r="H18">
        <f t="shared" ref="H18" si="6">$B$8/G18/(1E-24)</f>
        <v>2.7365013654425008</v>
      </c>
    </row>
    <row r="19" spans="2:13" x14ac:dyDescent="0.2">
      <c r="B19">
        <v>1.02</v>
      </c>
      <c r="C19">
        <v>-736.083428924445</v>
      </c>
      <c r="D19">
        <v>30.3860073333333</v>
      </c>
      <c r="E19">
        <v>2.0604977777777802</v>
      </c>
      <c r="F19">
        <f t="shared" si="2"/>
        <v>15.81</v>
      </c>
      <c r="G19">
        <f t="shared" si="0"/>
        <v>3951.8059410000005</v>
      </c>
      <c r="H19">
        <f t="shared" si="3"/>
        <v>2.6568025244031075</v>
      </c>
      <c r="I19">
        <v>4005.5789277045856</v>
      </c>
      <c r="J19">
        <f>I19^(1/3)</f>
        <v>15.881387087721786</v>
      </c>
      <c r="K19">
        <f>$B$8/(I19*(10^-24))</f>
        <v>2.6211362176344863</v>
      </c>
      <c r="L19">
        <v>-735.72507573506607</v>
      </c>
      <c r="M19">
        <f>L19/L21</f>
        <v>-13.137947780983323</v>
      </c>
    </row>
    <row r="20" spans="2:13" x14ac:dyDescent="0.2">
      <c r="B20">
        <v>1.0249999999999999</v>
      </c>
      <c r="C20">
        <v>-735.31271843555601</v>
      </c>
      <c r="D20">
        <v>30.505687111111101</v>
      </c>
      <c r="E20">
        <v>-0.75654666666667003</v>
      </c>
      <c r="F20">
        <f t="shared" si="2"/>
        <v>15.887499999999999</v>
      </c>
      <c r="G20">
        <f t="shared" si="0"/>
        <v>4010.2060761718744</v>
      </c>
      <c r="H20">
        <f t="shared" si="3"/>
        <v>2.6181118377892592</v>
      </c>
    </row>
    <row r="21" spans="2:13" x14ac:dyDescent="0.2">
      <c r="B21">
        <v>1.03</v>
      </c>
      <c r="C21">
        <v>-734.85377556444496</v>
      </c>
      <c r="D21">
        <v>30.682576222222199</v>
      </c>
      <c r="E21">
        <v>-0.71365555555555504</v>
      </c>
      <c r="F21">
        <f t="shared" si="2"/>
        <v>15.965</v>
      </c>
      <c r="G21">
        <f t="shared" si="0"/>
        <v>4069.1787571250002</v>
      </c>
      <c r="H21">
        <f t="shared" si="3"/>
        <v>2.580168782611552</v>
      </c>
      <c r="K21" t="s">
        <v>8</v>
      </c>
      <c r="L21">
        <v>56</v>
      </c>
    </row>
    <row r="22" spans="2:13" x14ac:dyDescent="0.2">
      <c r="B22">
        <v>1.04</v>
      </c>
      <c r="C22">
        <v>-734.62908651999999</v>
      </c>
      <c r="D22">
        <v>30.5033173333333</v>
      </c>
      <c r="E22">
        <v>-2.0962755555555499</v>
      </c>
      <c r="F22">
        <f t="shared" si="2"/>
        <v>16.12</v>
      </c>
      <c r="G22">
        <f t="shared" si="0"/>
        <v>4188.8529280000012</v>
      </c>
      <c r="H22">
        <f t="shared" si="3"/>
        <v>2.5064541965222218</v>
      </c>
    </row>
    <row r="26" spans="2:13" x14ac:dyDescent="0.2">
      <c r="B26">
        <v>1200</v>
      </c>
    </row>
    <row r="27" spans="2:13" x14ac:dyDescent="0.2">
      <c r="H27" t="s">
        <v>26</v>
      </c>
    </row>
    <row r="28" spans="2:13" x14ac:dyDescent="0.2"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33</v>
      </c>
      <c r="J28" t="s">
        <v>30</v>
      </c>
      <c r="K28" t="s">
        <v>32</v>
      </c>
      <c r="L28" t="s">
        <v>34</v>
      </c>
      <c r="M28" t="s">
        <v>35</v>
      </c>
    </row>
    <row r="29" spans="2:13" x14ac:dyDescent="0.2">
      <c r="B29">
        <v>0.98</v>
      </c>
      <c r="C29">
        <v>-740.92391491555497</v>
      </c>
      <c r="D29">
        <v>28.2492315555555</v>
      </c>
      <c r="E29">
        <v>10.0307</v>
      </c>
      <c r="F29">
        <f>$F$10*B29</f>
        <v>15.19</v>
      </c>
      <c r="G29">
        <f t="shared" ref="G29:G36" si="7">F29^3</f>
        <v>3504.881359</v>
      </c>
      <c r="H29">
        <f>$B$8/G29/(1E-24)</f>
        <v>2.9955844220061087</v>
      </c>
    </row>
    <row r="30" spans="2:13" x14ac:dyDescent="0.2">
      <c r="B30">
        <v>0.99</v>
      </c>
      <c r="C30">
        <v>-741.35225493777705</v>
      </c>
      <c r="D30">
        <v>28.096320444444402</v>
      </c>
      <c r="E30">
        <v>6.8478755555555599</v>
      </c>
      <c r="F30">
        <f>$F$10*B30</f>
        <v>15.345000000000001</v>
      </c>
      <c r="G30">
        <f t="shared" ref="G30" si="8">F30^3</f>
        <v>3613.2721886250006</v>
      </c>
      <c r="H30">
        <f>$B$8/G30/(1E-24)</f>
        <v>2.9057229712869672</v>
      </c>
    </row>
    <row r="31" spans="2:13" x14ac:dyDescent="0.2">
      <c r="B31">
        <v>1</v>
      </c>
      <c r="C31">
        <v>-739.55277276666698</v>
      </c>
      <c r="D31">
        <v>28.546505111111099</v>
      </c>
      <c r="E31">
        <v>4.5871977777777797</v>
      </c>
      <c r="F31">
        <f t="shared" ref="F31:F36" si="9">$F$10*B31</f>
        <v>15.5</v>
      </c>
      <c r="G31">
        <f t="shared" si="7"/>
        <v>3723.875</v>
      </c>
      <c r="H31">
        <f t="shared" ref="H31:H36" si="10">$B$8/G31/(1E-24)</f>
        <v>2.8194200933167735</v>
      </c>
    </row>
    <row r="32" spans="2:13" x14ac:dyDescent="0.2">
      <c r="B32">
        <v>1.0049999999999999</v>
      </c>
      <c r="C32">
        <v>-740.16898934000005</v>
      </c>
      <c r="D32">
        <v>28.419596888888901</v>
      </c>
      <c r="E32">
        <v>2.4240622222222199</v>
      </c>
      <c r="F32">
        <f t="shared" ref="F32" si="11">$F$10*B32</f>
        <v>15.577499999999999</v>
      </c>
      <c r="G32">
        <f t="shared" ref="G32" si="12">F32^3</f>
        <v>3780.0128811093741</v>
      </c>
      <c r="H32">
        <f t="shared" ref="H32" si="13">$B$8/G32/(1E-24)</f>
        <v>2.7775482069041675</v>
      </c>
      <c r="I32">
        <v>3913.0013890439427</v>
      </c>
      <c r="J32">
        <f>I32^(1/3)</f>
        <v>15.758081199721397</v>
      </c>
      <c r="K32">
        <f>$B$8/(I32*(10^-24))</f>
        <v>2.6831495714253357</v>
      </c>
      <c r="L32">
        <v>-738.57247881816863</v>
      </c>
      <c r="M32">
        <f>L32/L34</f>
        <v>-13.188794264610154</v>
      </c>
    </row>
    <row r="33" spans="2:13" x14ac:dyDescent="0.2">
      <c r="B33">
        <v>1.01</v>
      </c>
      <c r="C33">
        <v>-740.14233880888901</v>
      </c>
      <c r="D33">
        <v>28.192646888888898</v>
      </c>
      <c r="E33">
        <v>0.52010000000000101</v>
      </c>
      <c r="F33">
        <f t="shared" si="9"/>
        <v>15.654999999999999</v>
      </c>
      <c r="G33">
        <f t="shared" si="7"/>
        <v>3836.7121363749993</v>
      </c>
      <c r="H33">
        <f t="shared" si="10"/>
        <v>2.7365013654425008</v>
      </c>
    </row>
    <row r="34" spans="2:13" x14ac:dyDescent="0.2">
      <c r="B34">
        <v>1.0149999999999999</v>
      </c>
      <c r="C34">
        <v>-738.78342870666597</v>
      </c>
      <c r="D34">
        <v>28.513510222222202</v>
      </c>
      <c r="E34">
        <v>8.5486666666666697E-2</v>
      </c>
      <c r="F34">
        <f t="shared" si="9"/>
        <v>15.732499999999998</v>
      </c>
      <c r="G34">
        <f t="shared" si="7"/>
        <v>3893.9755587031236</v>
      </c>
      <c r="H34">
        <f t="shared" si="10"/>
        <v>2.6962593477337373</v>
      </c>
      <c r="K34" t="s">
        <v>8</v>
      </c>
      <c r="L34">
        <v>56</v>
      </c>
    </row>
    <row r="35" spans="2:13" x14ac:dyDescent="0.2">
      <c r="B35">
        <v>1.02</v>
      </c>
      <c r="C35">
        <v>-738.26064061333295</v>
      </c>
      <c r="D35">
        <v>28.723782444444499</v>
      </c>
      <c r="E35">
        <v>0.35238666666666701</v>
      </c>
      <c r="F35">
        <f t="shared" si="9"/>
        <v>15.81</v>
      </c>
      <c r="G35">
        <f t="shared" si="7"/>
        <v>3951.8059410000005</v>
      </c>
      <c r="H35">
        <f t="shared" si="10"/>
        <v>2.6568025244031075</v>
      </c>
    </row>
    <row r="36" spans="2:13" x14ac:dyDescent="0.2">
      <c r="B36">
        <v>1.03</v>
      </c>
      <c r="C36">
        <v>-737.17040198444499</v>
      </c>
      <c r="D36">
        <v>28.372455777777802</v>
      </c>
      <c r="E36">
        <v>-2.5063866666666699</v>
      </c>
      <c r="F36">
        <f t="shared" si="9"/>
        <v>15.965</v>
      </c>
      <c r="G36">
        <f t="shared" si="7"/>
        <v>4069.1787571250002</v>
      </c>
      <c r="H36">
        <f t="shared" si="10"/>
        <v>2.580168782611552</v>
      </c>
    </row>
    <row r="40" spans="2:13" x14ac:dyDescent="0.2">
      <c r="B40">
        <v>1100</v>
      </c>
    </row>
    <row r="41" spans="2:13" x14ac:dyDescent="0.2">
      <c r="H41" t="s">
        <v>26</v>
      </c>
    </row>
    <row r="42" spans="2:13" x14ac:dyDescent="0.2"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30</v>
      </c>
      <c r="K42" t="s">
        <v>32</v>
      </c>
      <c r="L42" t="s">
        <v>34</v>
      </c>
      <c r="M42" t="s">
        <v>35</v>
      </c>
    </row>
    <row r="43" spans="2:13" x14ac:dyDescent="0.2">
      <c r="B43">
        <v>0.97</v>
      </c>
      <c r="C43">
        <v>-745.24667392000003</v>
      </c>
      <c r="D43">
        <v>25.795839333333401</v>
      </c>
      <c r="E43">
        <v>10.993124444444399</v>
      </c>
      <c r="F43">
        <f>$F$10*B43</f>
        <v>15.035</v>
      </c>
      <c r="G43">
        <f t="shared" ref="G43" si="14">F43^3</f>
        <v>3398.6801678750003</v>
      </c>
      <c r="H43">
        <f>$B$8/G43/(1E-24)</f>
        <v>3.0891897682047929</v>
      </c>
    </row>
    <row r="44" spans="2:13" x14ac:dyDescent="0.2">
      <c r="B44">
        <v>0.98</v>
      </c>
      <c r="C44">
        <v>-743.74325746666705</v>
      </c>
      <c r="D44">
        <v>25.8493855555556</v>
      </c>
      <c r="E44">
        <v>8.1363844444444506</v>
      </c>
      <c r="F44">
        <f>$F$10*B44</f>
        <v>15.19</v>
      </c>
      <c r="G44">
        <f t="shared" ref="G44" si="15">F44^3</f>
        <v>3504.881359</v>
      </c>
      <c r="H44">
        <f>$B$8/G44/(1E-24)</f>
        <v>2.9955844220061087</v>
      </c>
    </row>
    <row r="45" spans="2:13" x14ac:dyDescent="0.2">
      <c r="B45">
        <v>0.99</v>
      </c>
      <c r="C45">
        <v>-744.043220331111</v>
      </c>
      <c r="D45">
        <v>25.8155251111111</v>
      </c>
      <c r="E45">
        <v>5.2090377777777697</v>
      </c>
      <c r="F45">
        <f t="shared" ref="F45:F51" si="16">$F$10*B45</f>
        <v>15.345000000000001</v>
      </c>
      <c r="G45">
        <f t="shared" ref="G45:G51" si="17">F45^3</f>
        <v>3613.2721886250006</v>
      </c>
      <c r="H45">
        <f t="shared" ref="H45:H51" si="18">$B$8/G45/(1E-24)</f>
        <v>2.9057229712869672</v>
      </c>
    </row>
    <row r="46" spans="2:13" x14ac:dyDescent="0.2">
      <c r="B46">
        <v>0.995</v>
      </c>
      <c r="C46">
        <v>-743.56645185333298</v>
      </c>
      <c r="D46">
        <v>25.8650684444445</v>
      </c>
      <c r="E46">
        <v>3.26867111111111</v>
      </c>
      <c r="F46">
        <f t="shared" ref="F46" si="19">$F$10*B46</f>
        <v>15.422499999999999</v>
      </c>
      <c r="G46">
        <f t="shared" ref="G46" si="20">F46^3</f>
        <v>3668.2957001406244</v>
      </c>
      <c r="H46">
        <f t="shared" si="18"/>
        <v>2.862137858623969</v>
      </c>
    </row>
    <row r="47" spans="2:13" x14ac:dyDescent="0.2">
      <c r="B47">
        <v>1</v>
      </c>
      <c r="C47">
        <v>-742.69321425999999</v>
      </c>
      <c r="D47">
        <v>25.839372000000001</v>
      </c>
      <c r="E47">
        <v>1.27230222222222</v>
      </c>
      <c r="F47">
        <f t="shared" si="16"/>
        <v>15.5</v>
      </c>
      <c r="G47">
        <f t="shared" si="17"/>
        <v>3723.875</v>
      </c>
      <c r="H47">
        <f t="shared" si="18"/>
        <v>2.8194200933167735</v>
      </c>
      <c r="I47">
        <v>3835.3431696718744</v>
      </c>
      <c r="J47">
        <f>I47^(1/3)</f>
        <v>15.653137839343195</v>
      </c>
      <c r="K47">
        <f>$B$8/(I47*(10^-24))</f>
        <v>2.7374781174791809</v>
      </c>
      <c r="L47">
        <v>-742.01586288625015</v>
      </c>
      <c r="M47">
        <f>L47/L49</f>
        <v>-13.250283265825896</v>
      </c>
    </row>
    <row r="48" spans="2:13" x14ac:dyDescent="0.2">
      <c r="B48">
        <v>1.0049999999999999</v>
      </c>
      <c r="C48">
        <v>-742.75273983555599</v>
      </c>
      <c r="D48">
        <v>26.058108666666701</v>
      </c>
      <c r="E48">
        <v>0.70165333333333402</v>
      </c>
      <c r="F48">
        <f t="shared" ref="F48:F50" si="21">$F$10*B48</f>
        <v>15.577499999999999</v>
      </c>
      <c r="G48">
        <f t="shared" ref="G48:G50" si="22">F48^3</f>
        <v>3780.0128811093741</v>
      </c>
      <c r="H48">
        <f t="shared" si="18"/>
        <v>2.7775482069041675</v>
      </c>
    </row>
    <row r="49" spans="2:13" x14ac:dyDescent="0.2">
      <c r="B49">
        <v>1.01</v>
      </c>
      <c r="C49">
        <v>-741.28435082888802</v>
      </c>
      <c r="D49">
        <v>25.917558222222201</v>
      </c>
      <c r="E49">
        <v>6.3646666666666907E-2</v>
      </c>
      <c r="F49">
        <f t="shared" si="21"/>
        <v>15.654999999999999</v>
      </c>
      <c r="G49">
        <f t="shared" si="22"/>
        <v>3836.7121363749993</v>
      </c>
      <c r="H49">
        <f t="shared" si="18"/>
        <v>2.7365013654425008</v>
      </c>
      <c r="K49" t="s">
        <v>8</v>
      </c>
      <c r="L49">
        <v>56</v>
      </c>
    </row>
    <row r="50" spans="2:13" x14ac:dyDescent="0.2">
      <c r="B50">
        <v>1.0149999999999999</v>
      </c>
      <c r="C50">
        <v>-741.89380517555605</v>
      </c>
      <c r="D50">
        <v>26.1943784444444</v>
      </c>
      <c r="E50">
        <v>0.16219111111111301</v>
      </c>
      <c r="F50">
        <f t="shared" si="21"/>
        <v>15.732499999999998</v>
      </c>
      <c r="G50">
        <f t="shared" si="22"/>
        <v>3893.9755587031236</v>
      </c>
      <c r="H50">
        <f t="shared" si="18"/>
        <v>2.6962593477337373</v>
      </c>
    </row>
    <row r="51" spans="2:13" x14ac:dyDescent="0.2">
      <c r="B51">
        <v>1.02</v>
      </c>
      <c r="C51">
        <v>-741.62913321333394</v>
      </c>
      <c r="D51">
        <v>25.916210888888902</v>
      </c>
      <c r="E51">
        <v>-2.2028888888888898</v>
      </c>
      <c r="F51">
        <f t="shared" si="16"/>
        <v>15.81</v>
      </c>
      <c r="G51">
        <f t="shared" si="17"/>
        <v>3951.8059410000005</v>
      </c>
      <c r="H51">
        <f t="shared" si="18"/>
        <v>2.6568025244031075</v>
      </c>
    </row>
    <row r="54" spans="2:13" x14ac:dyDescent="0.2">
      <c r="B54">
        <v>1000</v>
      </c>
    </row>
    <row r="55" spans="2:13" x14ac:dyDescent="0.2">
      <c r="H55" t="s">
        <v>26</v>
      </c>
    </row>
    <row r="56" spans="2:13" x14ac:dyDescent="0.2">
      <c r="C56" t="s">
        <v>27</v>
      </c>
      <c r="D56" t="s">
        <v>28</v>
      </c>
      <c r="E56" t="s">
        <v>29</v>
      </c>
      <c r="F56" t="s">
        <v>30</v>
      </c>
      <c r="G56" t="s">
        <v>31</v>
      </c>
      <c r="H56" t="s">
        <v>32</v>
      </c>
      <c r="I56" t="s">
        <v>33</v>
      </c>
      <c r="J56" t="s">
        <v>30</v>
      </c>
      <c r="K56" t="s">
        <v>32</v>
      </c>
      <c r="L56" t="s">
        <v>34</v>
      </c>
      <c r="M56" t="s">
        <v>35</v>
      </c>
    </row>
    <row r="57" spans="2:13" x14ac:dyDescent="0.2">
      <c r="B57">
        <v>0.97</v>
      </c>
      <c r="C57">
        <v>-746.88829489777697</v>
      </c>
      <c r="D57">
        <v>23.515265777777799</v>
      </c>
      <c r="E57">
        <v>9.8436355555555597</v>
      </c>
      <c r="F57">
        <f>$F$10*B57</f>
        <v>15.035</v>
      </c>
      <c r="G57">
        <f t="shared" ref="G57" si="23">F57^3</f>
        <v>3398.6801678750003</v>
      </c>
      <c r="H57">
        <f>$B$8/G57/(1E-24)</f>
        <v>3.0891897682047929</v>
      </c>
    </row>
    <row r="58" spans="2:13" x14ac:dyDescent="0.2">
      <c r="B58">
        <v>0.98</v>
      </c>
      <c r="C58">
        <v>-746.30049722888998</v>
      </c>
      <c r="D58">
        <v>23.402425333333301</v>
      </c>
      <c r="E58">
        <v>5.1306444444444397</v>
      </c>
      <c r="F58">
        <f>$F$10*B58</f>
        <v>15.19</v>
      </c>
      <c r="G58">
        <f t="shared" ref="G58:G60" si="24">F58^3</f>
        <v>3504.881359</v>
      </c>
      <c r="H58">
        <f>$B$8/G58/(1E-24)</f>
        <v>2.9955844220061087</v>
      </c>
    </row>
    <row r="59" spans="2:13" x14ac:dyDescent="0.2">
      <c r="B59">
        <v>0.99</v>
      </c>
      <c r="C59">
        <v>-745.515851946667</v>
      </c>
      <c r="D59">
        <v>23.586255333333401</v>
      </c>
      <c r="E59">
        <v>2.7041622222222199</v>
      </c>
      <c r="F59">
        <f>$F$10*B59</f>
        <v>15.345000000000001</v>
      </c>
      <c r="G59">
        <f t="shared" si="24"/>
        <v>3613.2721886250006</v>
      </c>
      <c r="H59">
        <f>$B$8/G59/(1E-24)</f>
        <v>2.9057229712869672</v>
      </c>
      <c r="I59">
        <v>3741.1480126453807</v>
      </c>
      <c r="J59">
        <f>I59^(1/3)</f>
        <v>15.523928372637515</v>
      </c>
      <c r="K59">
        <f>$B$8/(I59*(10^-24))</f>
        <v>2.8064027310632902</v>
      </c>
      <c r="L59">
        <v>-745.16395543400563</v>
      </c>
      <c r="M59">
        <f>L59/L61</f>
        <v>-13.306499204178673</v>
      </c>
    </row>
    <row r="60" spans="2:13" x14ac:dyDescent="0.2">
      <c r="B60">
        <v>1</v>
      </c>
      <c r="C60">
        <v>-745.57003053555604</v>
      </c>
      <c r="D60">
        <v>23.618557111111102</v>
      </c>
      <c r="E60">
        <v>0.63763111111111104</v>
      </c>
      <c r="F60">
        <f t="shared" ref="F60" si="25">$F$10*B60</f>
        <v>15.5</v>
      </c>
      <c r="G60">
        <f t="shared" si="24"/>
        <v>3723.875</v>
      </c>
      <c r="H60">
        <f t="shared" ref="H60" si="26">$B$8/G60/(1E-24)</f>
        <v>2.8194200933167735</v>
      </c>
    </row>
    <row r="61" spans="2:13" x14ac:dyDescent="0.2">
      <c r="B61">
        <v>1.01</v>
      </c>
      <c r="C61">
        <v>-744.76171639111101</v>
      </c>
      <c r="D61">
        <v>23.654202444444401</v>
      </c>
      <c r="E61">
        <v>-1.33432666666667</v>
      </c>
      <c r="F61">
        <f t="shared" ref="F61" si="27">$F$10*B61</f>
        <v>15.654999999999999</v>
      </c>
      <c r="G61">
        <f t="shared" ref="G61" si="28">F61^3</f>
        <v>3836.7121363749993</v>
      </c>
      <c r="H61">
        <f t="shared" ref="H61" si="29">$B$8/G61/(1E-24)</f>
        <v>2.7365013654425008</v>
      </c>
      <c r="K61" t="s">
        <v>8</v>
      </c>
      <c r="L61">
        <v>56</v>
      </c>
    </row>
    <row r="63" spans="2:13" x14ac:dyDescent="0.2">
      <c r="B63">
        <v>900</v>
      </c>
    </row>
    <row r="64" spans="2:13" x14ac:dyDescent="0.2">
      <c r="H64" t="s">
        <v>26</v>
      </c>
    </row>
    <row r="65" spans="2:13" x14ac:dyDescent="0.2">
      <c r="C65" t="s">
        <v>27</v>
      </c>
      <c r="D65" t="s">
        <v>28</v>
      </c>
      <c r="E65" t="s">
        <v>29</v>
      </c>
      <c r="F65" t="s">
        <v>30</v>
      </c>
      <c r="G65" t="s">
        <v>31</v>
      </c>
      <c r="H65" t="s">
        <v>32</v>
      </c>
      <c r="I65" t="s">
        <v>33</v>
      </c>
      <c r="J65" t="s">
        <v>30</v>
      </c>
      <c r="K65" t="s">
        <v>32</v>
      </c>
      <c r="L65" t="s">
        <v>34</v>
      </c>
      <c r="M65" t="s">
        <v>35</v>
      </c>
    </row>
    <row r="66" spans="2:13" x14ac:dyDescent="0.2">
      <c r="B66">
        <v>0.96</v>
      </c>
      <c r="C66">
        <v>-749.69561161555396</v>
      </c>
      <c r="D66">
        <v>21.1499828888889</v>
      </c>
      <c r="E66">
        <v>13.17694</v>
      </c>
      <c r="F66">
        <f>$F$10*B66</f>
        <v>14.879999999999999</v>
      </c>
      <c r="G66">
        <f t="shared" ref="G66" si="30">F66^3</f>
        <v>3294.6462719999995</v>
      </c>
      <c r="H66">
        <f>$B$8/G66/(1E-24)</f>
        <v>3.1867360357403496</v>
      </c>
    </row>
    <row r="67" spans="2:13" x14ac:dyDescent="0.2">
      <c r="B67">
        <v>0.97</v>
      </c>
      <c r="C67">
        <v>-748.73079096666595</v>
      </c>
      <c r="D67">
        <v>21.198351333333299</v>
      </c>
      <c r="E67">
        <v>9.1641955555555601</v>
      </c>
      <c r="F67">
        <f>$F$10*B67</f>
        <v>15.035</v>
      </c>
      <c r="G67">
        <f t="shared" ref="G67:G69" si="31">F67^3</f>
        <v>3398.6801678750003</v>
      </c>
      <c r="H67">
        <f>$B$8/G67/(1E-24)</f>
        <v>3.0891897682047929</v>
      </c>
    </row>
    <row r="68" spans="2:13" x14ac:dyDescent="0.2">
      <c r="B68">
        <v>0.98</v>
      </c>
      <c r="C68">
        <v>-748.07817586444401</v>
      </c>
      <c r="D68">
        <v>21.433197111111099</v>
      </c>
      <c r="E68">
        <v>4.9298955555555501</v>
      </c>
      <c r="F68">
        <f>$F$10*B68</f>
        <v>15.19</v>
      </c>
      <c r="G68">
        <f t="shared" si="31"/>
        <v>3504.881359</v>
      </c>
      <c r="H68">
        <f>$B$8/G68/(1E-24)</f>
        <v>2.9955844220061087</v>
      </c>
    </row>
    <row r="69" spans="2:13" x14ac:dyDescent="0.2">
      <c r="B69">
        <v>0.99</v>
      </c>
      <c r="C69">
        <v>-748.07696325777704</v>
      </c>
      <c r="D69">
        <v>21.281432444444398</v>
      </c>
      <c r="E69">
        <v>1.8124111111111101</v>
      </c>
      <c r="F69">
        <f t="shared" ref="F69" si="32">$F$10*B69</f>
        <v>15.345000000000001</v>
      </c>
      <c r="G69">
        <f t="shared" si="31"/>
        <v>3613.2721886250006</v>
      </c>
      <c r="H69">
        <f t="shared" ref="H69" si="33">$B$8/G69/(1E-24)</f>
        <v>2.9057229712869672</v>
      </c>
      <c r="I69">
        <v>3677.5855192186946</v>
      </c>
      <c r="J69">
        <f>I69^(1/3)</f>
        <v>15.435507989947753</v>
      </c>
      <c r="K69">
        <f>$B$8/(I69*(10^-24))</f>
        <v>2.8549079131219095</v>
      </c>
      <c r="L69">
        <v>-747.61373306583312</v>
      </c>
      <c r="M69">
        <f>L69/L71</f>
        <v>-13.350245233318448</v>
      </c>
    </row>
    <row r="70" spans="2:13" x14ac:dyDescent="0.2">
      <c r="B70">
        <v>1</v>
      </c>
      <c r="C70">
        <v>-747.44900082888898</v>
      </c>
      <c r="D70">
        <v>21.102662666666699</v>
      </c>
      <c r="E70">
        <v>-1.1384355555555601</v>
      </c>
      <c r="F70">
        <f t="shared" ref="F70:F71" si="34">$F$10*B70</f>
        <v>15.5</v>
      </c>
      <c r="G70">
        <f t="shared" ref="G70:G71" si="35">F70^3</f>
        <v>3723.875</v>
      </c>
      <c r="H70">
        <f t="shared" ref="H70:H71" si="36">$B$8/G70/(1E-24)</f>
        <v>2.8194200933167735</v>
      </c>
    </row>
    <row r="71" spans="2:13" x14ac:dyDescent="0.2">
      <c r="B71">
        <v>1.01</v>
      </c>
      <c r="C71">
        <v>-747.40745967777798</v>
      </c>
      <c r="D71">
        <v>21.2093308888889</v>
      </c>
      <c r="E71">
        <v>-3.1063711111111099</v>
      </c>
      <c r="F71">
        <f t="shared" si="34"/>
        <v>15.654999999999999</v>
      </c>
      <c r="G71">
        <f t="shared" si="35"/>
        <v>3836.7121363749993</v>
      </c>
      <c r="H71">
        <f t="shared" si="36"/>
        <v>2.7365013654425008</v>
      </c>
      <c r="K71" t="s">
        <v>8</v>
      </c>
      <c r="L71">
        <v>56</v>
      </c>
    </row>
    <row r="73" spans="2:13" x14ac:dyDescent="0.2">
      <c r="B73">
        <v>800</v>
      </c>
    </row>
    <row r="74" spans="2:13" x14ac:dyDescent="0.2">
      <c r="H74" t="s">
        <v>26</v>
      </c>
    </row>
    <row r="75" spans="2:13" x14ac:dyDescent="0.2">
      <c r="C75" t="s">
        <v>27</v>
      </c>
      <c r="D75" t="s">
        <v>28</v>
      </c>
      <c r="E75" t="s">
        <v>29</v>
      </c>
      <c r="F75" t="s">
        <v>30</v>
      </c>
      <c r="G75" t="s">
        <v>31</v>
      </c>
      <c r="H75" t="s">
        <v>32</v>
      </c>
      <c r="I75" t="s">
        <v>33</v>
      </c>
      <c r="J75" t="s">
        <v>30</v>
      </c>
      <c r="K75" t="s">
        <v>32</v>
      </c>
      <c r="L75" t="s">
        <v>34</v>
      </c>
      <c r="M75" t="s">
        <v>35</v>
      </c>
    </row>
    <row r="76" spans="2:13" x14ac:dyDescent="0.2">
      <c r="B76">
        <v>0.96</v>
      </c>
      <c r="C76">
        <v>-751.51750523555495</v>
      </c>
      <c r="D76">
        <v>19.083106000000001</v>
      </c>
      <c r="E76">
        <v>11.2027555555555</v>
      </c>
      <c r="F76">
        <f>$F$10*B76</f>
        <v>14.879999999999999</v>
      </c>
      <c r="G76">
        <f t="shared" ref="G76" si="37">F76^3</f>
        <v>3294.6462719999995</v>
      </c>
      <c r="H76">
        <f>$B$8/G76/(1E-24)</f>
        <v>3.1867360357403496</v>
      </c>
    </row>
    <row r="77" spans="2:13" x14ac:dyDescent="0.2">
      <c r="B77">
        <v>0.97</v>
      </c>
      <c r="C77">
        <v>-751.82684092666705</v>
      </c>
      <c r="D77">
        <v>18.851447333333301</v>
      </c>
      <c r="E77">
        <v>9.0016577777777709</v>
      </c>
      <c r="F77">
        <f>$F$10*B77</f>
        <v>15.035</v>
      </c>
      <c r="G77">
        <f t="shared" ref="G77:G79" si="38">F77^3</f>
        <v>3398.6801678750003</v>
      </c>
      <c r="H77">
        <f>$B$8/G77/(1E-24)</f>
        <v>3.0891897682047929</v>
      </c>
    </row>
    <row r="78" spans="2:13" x14ac:dyDescent="0.2">
      <c r="B78">
        <v>0.98</v>
      </c>
      <c r="C78">
        <v>-751.18254144666696</v>
      </c>
      <c r="D78">
        <v>18.898326888888899</v>
      </c>
      <c r="E78">
        <v>3.9069400000000001</v>
      </c>
      <c r="F78">
        <f>$F$10*B78</f>
        <v>15.19</v>
      </c>
      <c r="G78">
        <f t="shared" si="38"/>
        <v>3504.881359</v>
      </c>
      <c r="H78">
        <f>$B$8/G78/(1E-24)</f>
        <v>2.9955844220061087</v>
      </c>
      <c r="I78">
        <v>3679.5024112824153</v>
      </c>
      <c r="J78">
        <f>I78^(1/3)</f>
        <v>15.438189374539279</v>
      </c>
      <c r="K78">
        <f>$B$8/(I78*(10^-24))</f>
        <v>2.8534206059510985</v>
      </c>
      <c r="L78">
        <v>-750.61184068011528</v>
      </c>
      <c r="M78">
        <f>L78/L80</f>
        <v>-13.403782869287772</v>
      </c>
    </row>
    <row r="79" spans="2:13" x14ac:dyDescent="0.2">
      <c r="B79">
        <v>0.99</v>
      </c>
      <c r="C79">
        <v>-751.34321230444402</v>
      </c>
      <c r="D79">
        <v>18.865387111111101</v>
      </c>
      <c r="E79">
        <v>1.93274888888889</v>
      </c>
      <c r="F79">
        <f t="shared" ref="F79" si="39">$F$10*B79</f>
        <v>15.345000000000001</v>
      </c>
      <c r="G79">
        <f t="shared" si="38"/>
        <v>3613.2721886250006</v>
      </c>
      <c r="H79">
        <f t="shared" ref="H79" si="40">$B$8/G79/(1E-24)</f>
        <v>2.9057229712869672</v>
      </c>
    </row>
    <row r="80" spans="2:13" x14ac:dyDescent="0.2">
      <c r="B80">
        <v>1</v>
      </c>
      <c r="C80">
        <v>-750.34806934000005</v>
      </c>
      <c r="D80">
        <v>18.868212</v>
      </c>
      <c r="E80">
        <v>-1.0560066666666701</v>
      </c>
      <c r="F80">
        <f t="shared" ref="F80:F81" si="41">$F$10*B80</f>
        <v>15.5</v>
      </c>
      <c r="G80">
        <f t="shared" ref="G80:G81" si="42">F80^3</f>
        <v>3723.875</v>
      </c>
      <c r="H80">
        <f t="shared" ref="H80:H81" si="43">$B$8/G80/(1E-24)</f>
        <v>2.8194200933167735</v>
      </c>
      <c r="K80" t="s">
        <v>8</v>
      </c>
      <c r="L80">
        <v>56</v>
      </c>
    </row>
    <row r="81" spans="2:13" x14ac:dyDescent="0.2">
      <c r="B81">
        <v>1.01</v>
      </c>
      <c r="C81">
        <v>-749.36660218222198</v>
      </c>
      <c r="D81">
        <v>18.827842444444499</v>
      </c>
      <c r="E81">
        <v>-3.1684955555555501</v>
      </c>
      <c r="F81">
        <f t="shared" si="41"/>
        <v>15.654999999999999</v>
      </c>
      <c r="G81">
        <f t="shared" si="42"/>
        <v>3836.7121363749993</v>
      </c>
      <c r="H81">
        <f t="shared" si="43"/>
        <v>2.7365013654425008</v>
      </c>
    </row>
    <row r="83" spans="2:13" x14ac:dyDescent="0.2">
      <c r="B83">
        <v>700</v>
      </c>
    </row>
    <row r="84" spans="2:13" x14ac:dyDescent="0.2">
      <c r="H84" t="s">
        <v>26</v>
      </c>
    </row>
    <row r="85" spans="2:13" x14ac:dyDescent="0.2">
      <c r="C85" t="s">
        <v>27</v>
      </c>
      <c r="D85" t="s">
        <v>28</v>
      </c>
      <c r="E85" t="s">
        <v>29</v>
      </c>
      <c r="F85" t="s">
        <v>30</v>
      </c>
      <c r="G85" t="s">
        <v>31</v>
      </c>
      <c r="H85" t="s">
        <v>32</v>
      </c>
      <c r="I85" t="s">
        <v>33</v>
      </c>
      <c r="J85" t="s">
        <v>30</v>
      </c>
      <c r="K85" t="s">
        <v>32</v>
      </c>
      <c r="L85" t="s">
        <v>34</v>
      </c>
      <c r="M85" t="s">
        <v>35</v>
      </c>
    </row>
    <row r="86" spans="2:13" x14ac:dyDescent="0.2">
      <c r="B86">
        <v>0.95</v>
      </c>
      <c r="C86">
        <v>-753.80325331999995</v>
      </c>
      <c r="D86">
        <v>16.753548666666699</v>
      </c>
      <c r="E86">
        <v>15.183960000000001</v>
      </c>
      <c r="F86">
        <f t="shared" ref="F86:F87" si="44">$F$10*B86</f>
        <v>14.725</v>
      </c>
      <c r="G86">
        <f t="shared" ref="G86:G87" si="45">F86^3</f>
        <v>3192.7573281249997</v>
      </c>
      <c r="H86">
        <f t="shared" ref="H86:H87" si="46">$B$8/G86/(1E-24)</f>
        <v>3.2884328249794708</v>
      </c>
    </row>
    <row r="87" spans="2:13" x14ac:dyDescent="0.2">
      <c r="B87">
        <v>0.96</v>
      </c>
      <c r="C87">
        <v>-754.41573280666603</v>
      </c>
      <c r="D87">
        <v>16.2436093333333</v>
      </c>
      <c r="E87">
        <v>11.508380000000001</v>
      </c>
      <c r="F87">
        <f t="shared" si="44"/>
        <v>14.879999999999999</v>
      </c>
      <c r="G87">
        <f t="shared" si="45"/>
        <v>3294.6462719999995</v>
      </c>
      <c r="H87">
        <f t="shared" si="46"/>
        <v>3.1867360357403496</v>
      </c>
    </row>
    <row r="88" spans="2:13" x14ac:dyDescent="0.2">
      <c r="B88">
        <v>0.97</v>
      </c>
      <c r="C88">
        <v>-754.528655706667</v>
      </c>
      <c r="D88">
        <v>16.44407</v>
      </c>
      <c r="E88">
        <v>6.9991533333333296</v>
      </c>
      <c r="F88">
        <f>$F$10*B88</f>
        <v>15.035</v>
      </c>
      <c r="G88">
        <f t="shared" ref="G88:G91" si="47">F88^3</f>
        <v>3398.6801678750003</v>
      </c>
      <c r="H88">
        <f>$B$8/G88/(1E-24)</f>
        <v>3.0891897682047929</v>
      </c>
    </row>
    <row r="89" spans="2:13" x14ac:dyDescent="0.2">
      <c r="B89">
        <v>0.98</v>
      </c>
      <c r="C89">
        <v>-753.77587617999905</v>
      </c>
      <c r="D89">
        <v>16.690750666666698</v>
      </c>
      <c r="E89">
        <v>3.7130200000000002</v>
      </c>
      <c r="F89">
        <f>$F$10*B89</f>
        <v>15.19</v>
      </c>
      <c r="G89">
        <f t="shared" si="47"/>
        <v>3504.881359</v>
      </c>
      <c r="H89">
        <f>$B$8/G89/(1E-24)</f>
        <v>2.9955844220061087</v>
      </c>
      <c r="I89">
        <v>3663.4165839421285</v>
      </c>
      <c r="J89">
        <f>I89^(1/3)</f>
        <v>15.415659261379524</v>
      </c>
      <c r="K89">
        <f>$B$8/(I89*(10^-24))</f>
        <v>2.8659497928848854</v>
      </c>
      <c r="L89">
        <v>-753.21367654444964</v>
      </c>
      <c r="M89">
        <f>L89/L91</f>
        <v>-13.45024422400803</v>
      </c>
    </row>
    <row r="90" spans="2:13" x14ac:dyDescent="0.2">
      <c r="B90">
        <v>0.99</v>
      </c>
      <c r="C90">
        <v>-754.06575140666598</v>
      </c>
      <c r="D90">
        <v>16.433861333333301</v>
      </c>
      <c r="E90">
        <v>1.3913866666666701</v>
      </c>
      <c r="F90">
        <f t="shared" ref="F90:F91" si="48">$F$10*B90</f>
        <v>15.345000000000001</v>
      </c>
      <c r="G90">
        <f t="shared" si="47"/>
        <v>3613.2721886250006</v>
      </c>
      <c r="H90">
        <f t="shared" ref="H90:H91" si="49">$B$8/G90/(1E-24)</f>
        <v>2.9057229712869672</v>
      </c>
    </row>
    <row r="91" spans="2:13" x14ac:dyDescent="0.2">
      <c r="B91">
        <v>0.995</v>
      </c>
      <c r="C91">
        <v>-753.24784309333302</v>
      </c>
      <c r="D91">
        <v>16.601486666666698</v>
      </c>
      <c r="E91">
        <v>-0.22086</v>
      </c>
      <c r="F91">
        <f t="shared" si="48"/>
        <v>15.422499999999999</v>
      </c>
      <c r="G91">
        <f t="shared" si="47"/>
        <v>3668.2957001406244</v>
      </c>
      <c r="H91">
        <f t="shared" si="49"/>
        <v>2.862137858623969</v>
      </c>
      <c r="K91" t="s">
        <v>8</v>
      </c>
      <c r="L91">
        <v>56</v>
      </c>
    </row>
    <row r="92" spans="2:13" x14ac:dyDescent="0.2">
      <c r="B92">
        <v>1</v>
      </c>
      <c r="C92">
        <v>-753.24429627333302</v>
      </c>
      <c r="D92">
        <v>16.5261453333333</v>
      </c>
      <c r="E92">
        <v>-4.8733733333333298</v>
      </c>
      <c r="F92">
        <f t="shared" ref="F92:F93" si="50">$F$10*B92</f>
        <v>15.5</v>
      </c>
      <c r="G92">
        <f t="shared" ref="G92:G93" si="51">F92^3</f>
        <v>3723.875</v>
      </c>
      <c r="H92">
        <f t="shared" ref="H92:H93" si="52">$B$8/G92/(1E-24)</f>
        <v>2.8194200933167735</v>
      </c>
    </row>
    <row r="93" spans="2:13" x14ac:dyDescent="0.2">
      <c r="B93">
        <v>1.01</v>
      </c>
      <c r="C93">
        <v>-752.30913772666702</v>
      </c>
      <c r="D93">
        <v>16.503746</v>
      </c>
      <c r="E93">
        <v>-5.4254933333333399</v>
      </c>
      <c r="F93">
        <f t="shared" si="50"/>
        <v>15.654999999999999</v>
      </c>
      <c r="G93">
        <f t="shared" si="51"/>
        <v>3836.7121363749993</v>
      </c>
      <c r="H93">
        <f t="shared" si="52"/>
        <v>2.7365013654425008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E58E-EE9D-A943-9493-3E9DE1B79BB1}">
  <dimension ref="B2:M50"/>
  <sheetViews>
    <sheetView workbookViewId="0">
      <selection activeCell="I30" sqref="I30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715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LINEST(E28:E37,G28:G37^{1,2})</f>
        <v>1.939703007925341E-5</v>
      </c>
      <c r="K6">
        <v>-0.14823255324684659</v>
      </c>
      <c r="L6">
        <v>278.20223369558801</v>
      </c>
    </row>
    <row r="7" spans="2:13" x14ac:dyDescent="0.2">
      <c r="B7" t="s">
        <v>36</v>
      </c>
      <c r="J7" t="s">
        <v>23</v>
      </c>
      <c r="K7">
        <f>(-K6+SQRT(K6^2-4*J6*L6))/(2*J6)</f>
        <v>4328.567020613863</v>
      </c>
      <c r="L7">
        <f>(-K6-SQRT(K6^2-4*J6*L6))/(2*J6)</f>
        <v>3313.4561469117943</v>
      </c>
    </row>
    <row r="8" spans="2:13" x14ac:dyDescent="0.2">
      <c r="B8">
        <v>9.6529000000000012E-21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cm="1">
        <f t="array" ref="J10:L10">LINEST(E28:E37,C28:C37^{1,2})</f>
        <v>1.4664728145664194</v>
      </c>
      <c r="K10">
        <v>2052.5430004130358</v>
      </c>
      <c r="L10">
        <v>718205.92942035908</v>
      </c>
    </row>
    <row r="11" spans="2:13" x14ac:dyDescent="0.2">
      <c r="J11" t="s">
        <v>23</v>
      </c>
      <c r="K11">
        <f>(-K10+SQRT(K10^2-4*J10*L10))/(2*J10)</f>
        <v>-698.50760407176335</v>
      </c>
      <c r="L11">
        <f>(-K10-SQRT(K10^2-4*J10*L10))/(2*J10)</f>
        <v>-701.13852644303597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0.96</v>
      </c>
      <c r="C15">
        <v>-699.78751649111098</v>
      </c>
      <c r="D15">
        <v>27.5374164444444</v>
      </c>
      <c r="E15">
        <v>10.664155555555499</v>
      </c>
      <c r="F15">
        <f>$F$10*B15</f>
        <v>14.399999999999999</v>
      </c>
      <c r="G15">
        <f t="shared" ref="G15" si="0">F15^3</f>
        <v>2985.983999999999</v>
      </c>
      <c r="H15">
        <f>$B$8/G15/(1E-24)</f>
        <v>3.2327366790980809</v>
      </c>
    </row>
    <row r="16" spans="2:13" x14ac:dyDescent="0.2">
      <c r="B16">
        <v>0.97</v>
      </c>
      <c r="C16">
        <v>-699.61856873111196</v>
      </c>
      <c r="D16">
        <v>27.733747777777801</v>
      </c>
      <c r="E16">
        <v>7.2154111111111101</v>
      </c>
      <c r="F16">
        <f t="shared" ref="F16:F22" si="1">$F$10*B16</f>
        <v>14.549999999999999</v>
      </c>
      <c r="G16">
        <f t="shared" ref="G16:G22" si="2">F16^3</f>
        <v>3080.2713749999994</v>
      </c>
      <c r="H16">
        <f t="shared" ref="H16:H22" si="3">$B$8/G16/(1E-24)</f>
        <v>3.1337823278638894</v>
      </c>
    </row>
    <row r="17" spans="2:13" x14ac:dyDescent="0.2">
      <c r="B17">
        <v>0.98</v>
      </c>
      <c r="C17">
        <v>-699.22553231999996</v>
      </c>
      <c r="D17">
        <v>27.329148444444499</v>
      </c>
      <c r="E17">
        <v>5.19390888888889</v>
      </c>
      <c r="F17">
        <f t="shared" si="1"/>
        <v>14.7</v>
      </c>
      <c r="G17">
        <f t="shared" si="2"/>
        <v>3176.5229999999997</v>
      </c>
      <c r="H17">
        <f t="shared" si="3"/>
        <v>3.0388257853004697</v>
      </c>
    </row>
    <row r="18" spans="2:13" x14ac:dyDescent="0.2">
      <c r="B18">
        <v>0.99</v>
      </c>
      <c r="C18">
        <v>-698.972594237777</v>
      </c>
      <c r="D18">
        <v>27.533817777777799</v>
      </c>
      <c r="E18">
        <v>1.87892666666667</v>
      </c>
      <c r="F18">
        <f t="shared" si="1"/>
        <v>14.85</v>
      </c>
      <c r="G18">
        <f t="shared" si="2"/>
        <v>3274.7591249999996</v>
      </c>
      <c r="H18">
        <f t="shared" si="3"/>
        <v>2.947667181475524</v>
      </c>
    </row>
    <row r="19" spans="2:13" x14ac:dyDescent="0.2">
      <c r="B19">
        <v>0.995</v>
      </c>
      <c r="C19">
        <v>-697.68946701555603</v>
      </c>
      <c r="D19">
        <v>27.830682444444399</v>
      </c>
      <c r="E19">
        <v>0.88244222222222302</v>
      </c>
      <c r="F19">
        <f t="shared" si="1"/>
        <v>14.925000000000001</v>
      </c>
      <c r="G19">
        <f t="shared" si="2"/>
        <v>3324.6277031250002</v>
      </c>
      <c r="H19">
        <f t="shared" si="3"/>
        <v>2.9034529162247886</v>
      </c>
      <c r="I19">
        <v>3379.578459322016</v>
      </c>
      <c r="J19">
        <f>I19^(1/3)</f>
        <v>15.006779837824192</v>
      </c>
      <c r="K19">
        <f>$B$8/(I19*(10^-24))</f>
        <v>2.856243793770803</v>
      </c>
      <c r="L19">
        <v>-698.30950473771759</v>
      </c>
      <c r="M19">
        <f>L19/L21</f>
        <v>-15.517988994171501</v>
      </c>
    </row>
    <row r="20" spans="2:13" x14ac:dyDescent="0.2">
      <c r="B20">
        <v>1</v>
      </c>
      <c r="C20">
        <v>-698.057605971111</v>
      </c>
      <c r="D20">
        <v>27.54477</v>
      </c>
      <c r="E20">
        <v>0.39500444444444299</v>
      </c>
      <c r="F20">
        <f t="shared" si="1"/>
        <v>15</v>
      </c>
      <c r="G20">
        <f t="shared" si="2"/>
        <v>3375</v>
      </c>
      <c r="H20">
        <f t="shared" si="3"/>
        <v>2.8601185185185192</v>
      </c>
    </row>
    <row r="21" spans="2:13" x14ac:dyDescent="0.2">
      <c r="B21">
        <v>1.0049999999999999</v>
      </c>
      <c r="C21">
        <v>-697.84587985111102</v>
      </c>
      <c r="D21">
        <v>27.423172666666702</v>
      </c>
      <c r="E21">
        <v>-1.47274222222222</v>
      </c>
      <c r="F21">
        <f t="shared" si="1"/>
        <v>15.074999999999999</v>
      </c>
      <c r="G21">
        <f t="shared" si="2"/>
        <v>3425.8785468749998</v>
      </c>
      <c r="H21">
        <f t="shared" si="3"/>
        <v>2.8176422099975302</v>
      </c>
      <c r="K21" t="s">
        <v>8</v>
      </c>
      <c r="L21">
        <v>45</v>
      </c>
    </row>
    <row r="22" spans="2:13" x14ac:dyDescent="0.2">
      <c r="B22">
        <v>1.01</v>
      </c>
      <c r="C22">
        <v>-697.402080362221</v>
      </c>
      <c r="D22">
        <v>27.527224888888899</v>
      </c>
      <c r="E22">
        <v>-1.0558133333333299</v>
      </c>
      <c r="F22">
        <f t="shared" si="1"/>
        <v>15.15</v>
      </c>
      <c r="G22">
        <f t="shared" si="2"/>
        <v>3477.2658750000001</v>
      </c>
      <c r="H22">
        <f t="shared" si="3"/>
        <v>2.7760028559794847</v>
      </c>
    </row>
    <row r="25" spans="2:13" x14ac:dyDescent="0.2">
      <c r="B25">
        <v>1200</v>
      </c>
    </row>
    <row r="26" spans="2:13" x14ac:dyDescent="0.2">
      <c r="H26" t="s">
        <v>26</v>
      </c>
    </row>
    <row r="27" spans="2:13" x14ac:dyDescent="0.2"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30</v>
      </c>
      <c r="K27" t="s">
        <v>32</v>
      </c>
      <c r="L27" t="s">
        <v>34</v>
      </c>
      <c r="M27" t="s">
        <v>35</v>
      </c>
    </row>
    <row r="28" spans="2:13" x14ac:dyDescent="0.2">
      <c r="B28">
        <v>0.95</v>
      </c>
      <c r="C28">
        <v>-702.787971282223</v>
      </c>
      <c r="D28">
        <v>25.3542164444444</v>
      </c>
      <c r="E28">
        <v>11.6183044444444</v>
      </c>
      <c r="F28">
        <f t="shared" ref="F28:F35" si="4">$F$10*B28</f>
        <v>14.25</v>
      </c>
      <c r="G28">
        <f t="shared" ref="G28:G35" si="5">F28^3</f>
        <v>2893.640625</v>
      </c>
      <c r="H28">
        <f t="shared" ref="H28:H35" si="6">$B$8/G28/(1E-24)</f>
        <v>3.3359014649581793</v>
      </c>
    </row>
    <row r="29" spans="2:13" x14ac:dyDescent="0.2">
      <c r="B29">
        <v>0.96</v>
      </c>
      <c r="C29">
        <v>-702.73975910222202</v>
      </c>
      <c r="D29">
        <v>25.464606444444499</v>
      </c>
      <c r="E29">
        <v>8.1807911111111196</v>
      </c>
      <c r="F29">
        <f t="shared" si="4"/>
        <v>14.399999999999999</v>
      </c>
      <c r="G29">
        <f t="shared" si="5"/>
        <v>2985.983999999999</v>
      </c>
      <c r="H29">
        <f t="shared" si="6"/>
        <v>3.2327366790980809</v>
      </c>
    </row>
    <row r="30" spans="2:13" x14ac:dyDescent="0.2">
      <c r="B30">
        <v>0.97</v>
      </c>
      <c r="C30">
        <v>-701.85703402222202</v>
      </c>
      <c r="D30">
        <v>25.5960117777778</v>
      </c>
      <c r="E30">
        <v>6.6386866666666702</v>
      </c>
      <c r="F30">
        <f t="shared" si="4"/>
        <v>14.549999999999999</v>
      </c>
      <c r="G30">
        <f t="shared" si="5"/>
        <v>3080.2713749999994</v>
      </c>
      <c r="H30">
        <f t="shared" si="6"/>
        <v>3.1337823278638894</v>
      </c>
    </row>
    <row r="31" spans="2:13" x14ac:dyDescent="0.2">
      <c r="B31">
        <v>0.97499999999999998</v>
      </c>
      <c r="C31">
        <v>-702.02003016000106</v>
      </c>
      <c r="D31">
        <v>25.2816846666666</v>
      </c>
      <c r="E31">
        <v>4.1004288888888896</v>
      </c>
      <c r="F31">
        <f t="shared" ref="F31" si="7">$F$10*B31</f>
        <v>14.625</v>
      </c>
      <c r="G31">
        <f t="shared" ref="G31" si="8">F31^3</f>
        <v>3128.150390625</v>
      </c>
      <c r="H31">
        <f t="shared" ref="H31" si="9">$B$8/G31/(1E-24)</f>
        <v>3.0858171106253511</v>
      </c>
    </row>
    <row r="32" spans="2:13" x14ac:dyDescent="0.2">
      <c r="B32">
        <v>0.98</v>
      </c>
      <c r="C32">
        <v>-701.76661217777701</v>
      </c>
      <c r="D32">
        <v>25.4040826666666</v>
      </c>
      <c r="E32">
        <v>3.5552333333333301</v>
      </c>
      <c r="F32">
        <f t="shared" si="4"/>
        <v>14.7</v>
      </c>
      <c r="G32">
        <f t="shared" si="5"/>
        <v>3176.5229999999997</v>
      </c>
      <c r="H32">
        <f t="shared" si="6"/>
        <v>3.0388257853004697</v>
      </c>
    </row>
    <row r="33" spans="2:13" x14ac:dyDescent="0.2">
      <c r="B33">
        <v>0.98499999999999999</v>
      </c>
      <c r="C33">
        <v>-701.65062812888902</v>
      </c>
      <c r="D33">
        <v>25.342266888888901</v>
      </c>
      <c r="E33">
        <v>0.905233333333335</v>
      </c>
      <c r="F33">
        <f t="shared" si="4"/>
        <v>14.775</v>
      </c>
      <c r="G33">
        <f t="shared" si="5"/>
        <v>3225.3917343749999</v>
      </c>
      <c r="H33">
        <f t="shared" si="6"/>
        <v>2.9927837592944324</v>
      </c>
      <c r="I33">
        <v>3313.4561469117943</v>
      </c>
      <c r="J33">
        <f>I33^(1/3)</f>
        <v>14.90826403254381</v>
      </c>
      <c r="K33">
        <f>$B$8/(I33*(10^-24))</f>
        <v>2.9132421169951779</v>
      </c>
      <c r="L33">
        <v>-701.13852644303597</v>
      </c>
      <c r="M33">
        <f>L33/L35</f>
        <v>-15.580856143178577</v>
      </c>
    </row>
    <row r="34" spans="2:13" x14ac:dyDescent="0.2">
      <c r="B34">
        <v>0.99</v>
      </c>
      <c r="C34">
        <v>-701.52863200000002</v>
      </c>
      <c r="D34">
        <v>25.269219111111099</v>
      </c>
      <c r="E34">
        <v>0.56895777777777801</v>
      </c>
      <c r="F34">
        <f t="shared" si="4"/>
        <v>14.85</v>
      </c>
      <c r="G34">
        <f t="shared" si="5"/>
        <v>3274.7591249999996</v>
      </c>
      <c r="H34">
        <f t="shared" si="6"/>
        <v>2.947667181475524</v>
      </c>
    </row>
    <row r="35" spans="2:13" x14ac:dyDescent="0.2">
      <c r="B35">
        <v>0.995</v>
      </c>
      <c r="C35">
        <v>-700.77582110444496</v>
      </c>
      <c r="D35">
        <v>25.4246355555556</v>
      </c>
      <c r="E35">
        <v>-0.34454888888888902</v>
      </c>
      <c r="F35">
        <f t="shared" si="4"/>
        <v>14.925000000000001</v>
      </c>
      <c r="G35">
        <f t="shared" si="5"/>
        <v>3324.6277031250002</v>
      </c>
      <c r="H35">
        <f t="shared" si="6"/>
        <v>2.9034529162247886</v>
      </c>
      <c r="K35" t="s">
        <v>8</v>
      </c>
      <c r="L35">
        <v>45</v>
      </c>
    </row>
    <row r="36" spans="2:13" x14ac:dyDescent="0.2">
      <c r="B36">
        <v>1</v>
      </c>
      <c r="C36">
        <v>-700.80497264888902</v>
      </c>
      <c r="D36">
        <v>25.526370222222202</v>
      </c>
      <c r="E36">
        <v>-0.58412222222222199</v>
      </c>
      <c r="F36">
        <f t="shared" ref="F36:F37" si="10">$F$10*B36</f>
        <v>15</v>
      </c>
      <c r="G36">
        <f t="shared" ref="G36:G37" si="11">F36^3</f>
        <v>3375</v>
      </c>
      <c r="H36">
        <f t="shared" ref="H36:H37" si="12">$B$8/G36/(1E-24)</f>
        <v>2.8601185185185192</v>
      </c>
    </row>
    <row r="37" spans="2:13" x14ac:dyDescent="0.2">
      <c r="B37">
        <v>1.0049999999999999</v>
      </c>
      <c r="C37">
        <v>-700.99123018222201</v>
      </c>
      <c r="D37">
        <v>25.106439999999999</v>
      </c>
      <c r="E37">
        <v>-2.0541044444444498</v>
      </c>
      <c r="F37">
        <f t="shared" si="10"/>
        <v>15.074999999999999</v>
      </c>
      <c r="G37">
        <f t="shared" si="11"/>
        <v>3425.8785468749998</v>
      </c>
      <c r="H37">
        <f t="shared" si="12"/>
        <v>2.8176422099975302</v>
      </c>
    </row>
    <row r="40" spans="2:13" x14ac:dyDescent="0.2">
      <c r="B40">
        <v>1100</v>
      </c>
    </row>
    <row r="41" spans="2:13" x14ac:dyDescent="0.2">
      <c r="H41" t="s">
        <v>26</v>
      </c>
    </row>
    <row r="42" spans="2:13" x14ac:dyDescent="0.2"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30</v>
      </c>
      <c r="K42" t="s">
        <v>32</v>
      </c>
      <c r="L42" t="s">
        <v>34</v>
      </c>
      <c r="M42" t="s">
        <v>35</v>
      </c>
    </row>
    <row r="43" spans="2:13" x14ac:dyDescent="0.2">
      <c r="B43">
        <v>0.95</v>
      </c>
      <c r="C43">
        <v>-705.14751527777798</v>
      </c>
      <c r="D43">
        <v>23.5324873333333</v>
      </c>
      <c r="E43">
        <v>13.2660422222222</v>
      </c>
      <c r="F43">
        <f t="shared" ref="F43:F49" si="13">$F$10*B43</f>
        <v>14.25</v>
      </c>
      <c r="G43">
        <f t="shared" ref="G43:G49" si="14">F43^3</f>
        <v>2893.640625</v>
      </c>
      <c r="H43">
        <f t="shared" ref="H43:H49" si="15">$B$8/G43/(1E-24)</f>
        <v>3.3359014649581793</v>
      </c>
    </row>
    <row r="44" spans="2:13" x14ac:dyDescent="0.2">
      <c r="B44">
        <v>0.96</v>
      </c>
      <c r="C44">
        <v>-705.68614622888902</v>
      </c>
      <c r="D44">
        <v>23.325517777777801</v>
      </c>
      <c r="E44">
        <v>7.9335711111111102</v>
      </c>
      <c r="F44">
        <f t="shared" si="13"/>
        <v>14.399999999999999</v>
      </c>
      <c r="G44">
        <f t="shared" si="14"/>
        <v>2985.983999999999</v>
      </c>
      <c r="H44">
        <f t="shared" si="15"/>
        <v>3.2327366790980809</v>
      </c>
    </row>
    <row r="45" spans="2:13" x14ac:dyDescent="0.2">
      <c r="B45">
        <v>0.97</v>
      </c>
      <c r="C45">
        <v>-705.24023045111096</v>
      </c>
      <c r="D45">
        <v>23.159402444444499</v>
      </c>
      <c r="E45">
        <v>5.4415288888888798</v>
      </c>
      <c r="F45">
        <f t="shared" si="13"/>
        <v>14.549999999999999</v>
      </c>
      <c r="G45">
        <f t="shared" si="14"/>
        <v>3080.2713749999994</v>
      </c>
      <c r="H45">
        <f t="shared" si="15"/>
        <v>3.1337823278638894</v>
      </c>
    </row>
    <row r="46" spans="2:13" x14ac:dyDescent="0.2">
      <c r="B46">
        <v>0.98</v>
      </c>
      <c r="C46">
        <v>-704.96750904666703</v>
      </c>
      <c r="D46">
        <v>23.0553924444445</v>
      </c>
      <c r="E46">
        <v>1.86411333333333</v>
      </c>
      <c r="F46">
        <f t="shared" si="13"/>
        <v>14.7</v>
      </c>
      <c r="G46">
        <f t="shared" si="14"/>
        <v>3176.5229999999997</v>
      </c>
      <c r="H46">
        <f t="shared" si="15"/>
        <v>3.0388257853004697</v>
      </c>
      <c r="I46">
        <v>3272.4167350063676</v>
      </c>
      <c r="J46">
        <f>I46^(1/3)</f>
        <v>14.846458488803105</v>
      </c>
      <c r="K46">
        <f>$B$8/(I46*(10^-24))</f>
        <v>2.9497771163247695</v>
      </c>
      <c r="L46">
        <v>-703.98228975325071</v>
      </c>
      <c r="M46">
        <f>L46/L48</f>
        <v>-15.644050883405571</v>
      </c>
    </row>
    <row r="47" spans="2:13" x14ac:dyDescent="0.2">
      <c r="B47">
        <v>0.98499999999999999</v>
      </c>
      <c r="C47">
        <v>-704.15609635111105</v>
      </c>
      <c r="D47">
        <v>23.287374888888898</v>
      </c>
      <c r="E47">
        <v>1.4164666666666701</v>
      </c>
      <c r="F47">
        <f t="shared" si="13"/>
        <v>14.775</v>
      </c>
      <c r="G47">
        <f t="shared" si="14"/>
        <v>3225.3917343749999</v>
      </c>
      <c r="H47">
        <f t="shared" si="15"/>
        <v>2.9927837592944324</v>
      </c>
    </row>
    <row r="48" spans="2:13" x14ac:dyDescent="0.2">
      <c r="B48">
        <v>0.99</v>
      </c>
      <c r="C48">
        <v>-704.385197764444</v>
      </c>
      <c r="D48">
        <v>23.239674666666701</v>
      </c>
      <c r="E48">
        <v>0.26353555555555602</v>
      </c>
      <c r="F48">
        <f t="shared" si="13"/>
        <v>14.85</v>
      </c>
      <c r="G48">
        <f t="shared" si="14"/>
        <v>3274.7591249999996</v>
      </c>
      <c r="H48">
        <f t="shared" si="15"/>
        <v>2.947667181475524</v>
      </c>
      <c r="K48" t="s">
        <v>8</v>
      </c>
      <c r="L48">
        <v>45</v>
      </c>
    </row>
    <row r="49" spans="2:8" x14ac:dyDescent="0.2">
      <c r="B49">
        <v>0.995</v>
      </c>
      <c r="C49">
        <v>-704.06687680222103</v>
      </c>
      <c r="D49">
        <v>23.245396444444399</v>
      </c>
      <c r="E49">
        <v>-0.69529111111110997</v>
      </c>
      <c r="F49">
        <f t="shared" si="13"/>
        <v>14.925000000000001</v>
      </c>
      <c r="G49">
        <f t="shared" si="14"/>
        <v>3324.6277031250002</v>
      </c>
      <c r="H49">
        <f t="shared" si="15"/>
        <v>2.9034529162247886</v>
      </c>
    </row>
    <row r="50" spans="2:8" x14ac:dyDescent="0.2">
      <c r="B50">
        <v>1</v>
      </c>
      <c r="C50">
        <v>-703.05027392444401</v>
      </c>
      <c r="D50">
        <v>23.3511824444445</v>
      </c>
      <c r="E50">
        <v>-2.1203977777777698</v>
      </c>
      <c r="F50">
        <f t="shared" ref="F50" si="16">$F$10*B50</f>
        <v>15</v>
      </c>
      <c r="G50">
        <f t="shared" ref="G50" si="17">F50^3</f>
        <v>3375</v>
      </c>
      <c r="H50">
        <f t="shared" ref="H50" si="18">$B$8/G50/(1E-24)</f>
        <v>2.8601185185185192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8EE3-5B67-D145-9F96-8CAD71FDDC61}">
  <dimension ref="B2:M47"/>
  <sheetViews>
    <sheetView topLeftCell="A19" workbookViewId="0">
      <selection activeCell="A23" sqref="A23"/>
    </sheetView>
  </sheetViews>
  <sheetFormatPr baseColWidth="10" defaultRowHeight="16" x14ac:dyDescent="0.2"/>
  <cols>
    <col min="10" max="10" width="12.832031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1190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LINEST(E27:E33,G27:G33^{1,2})</f>
        <v>9.3604172420849605E-5</v>
      </c>
      <c r="K6">
        <v>-0.49340810323601186</v>
      </c>
      <c r="L6">
        <v>647.26982594294668</v>
      </c>
    </row>
    <row r="7" spans="2:13" x14ac:dyDescent="0.2">
      <c r="B7" t="s">
        <v>36</v>
      </c>
      <c r="J7" t="s">
        <v>23</v>
      </c>
      <c r="K7">
        <f>(-K6+SQRT(K6^2-4*J6*L6))/(2*J6)</f>
        <v>2813.0076430447152</v>
      </c>
      <c r="L7">
        <f>(-K6-SQRT(K6^2-4*J6*L6))/(2*J6)</f>
        <v>2458.2114754537788</v>
      </c>
    </row>
    <row r="8" spans="2:13" x14ac:dyDescent="0.2">
      <c r="B8">
        <v>9.2727600000000011E-21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cm="1">
        <f t="array" ref="J10:L10">LINEST(E27:E33,C27:C33^{1,2})</f>
        <v>0.95667559090691001</v>
      </c>
      <c r="K10">
        <v>1353.345131289597</v>
      </c>
      <c r="L10">
        <v>478621.28783499985</v>
      </c>
    </row>
    <row r="11" spans="2:13" x14ac:dyDescent="0.2">
      <c r="E11" t="s">
        <v>39</v>
      </c>
      <c r="F11">
        <v>13.5</v>
      </c>
      <c r="J11" t="s">
        <v>23</v>
      </c>
      <c r="K11">
        <f>(-K10+SQRT(K10^2-4*J10*L10))/(2*J10)</f>
        <v>-706.60944009691082</v>
      </c>
      <c r="L11">
        <f>(-K10-SQRT(K10^2-4*J10*L10))/(2*J10)</f>
        <v>-708.02384223305012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0.98</v>
      </c>
      <c r="C15">
        <v>-706.03604228444499</v>
      </c>
      <c r="D15">
        <v>24.8748742222222</v>
      </c>
      <c r="E15">
        <v>7.0149822222222102</v>
      </c>
      <c r="F15">
        <f t="shared" ref="F15" si="0">$F$11*B15</f>
        <v>13.23</v>
      </c>
      <c r="G15">
        <f t="shared" ref="G15" si="1">F15^3</f>
        <v>2315.6852670000003</v>
      </c>
      <c r="H15">
        <f t="shared" ref="H15" si="2">$B$8/G15/(1E-24)</f>
        <v>4.0043265516876483</v>
      </c>
    </row>
    <row r="16" spans="2:13" x14ac:dyDescent="0.2">
      <c r="B16">
        <v>0.98499999999999999</v>
      </c>
      <c r="C16">
        <v>-706.42679638222296</v>
      </c>
      <c r="D16">
        <v>25.0029295555556</v>
      </c>
      <c r="E16">
        <v>4.16085333333334</v>
      </c>
      <c r="F16">
        <f t="shared" ref="F16:F20" si="3">$F$11*B16</f>
        <v>13.297499999999999</v>
      </c>
      <c r="G16">
        <f t="shared" ref="G16:G20" si="4">F16^3</f>
        <v>2351.3105743593746</v>
      </c>
      <c r="H16">
        <f t="shared" ref="H16:H20" si="5">$B$8/G16/(1E-24)</f>
        <v>3.9436559768487442</v>
      </c>
    </row>
    <row r="17" spans="2:13" x14ac:dyDescent="0.2">
      <c r="B17">
        <v>0.99</v>
      </c>
      <c r="C17">
        <v>-705.15866005111104</v>
      </c>
      <c r="D17">
        <v>25.079381333333298</v>
      </c>
      <c r="E17">
        <v>4.8853488888888901</v>
      </c>
      <c r="F17">
        <f t="shared" si="3"/>
        <v>13.365</v>
      </c>
      <c r="G17">
        <f t="shared" si="4"/>
        <v>2387.2994021250001</v>
      </c>
      <c r="H17">
        <f t="shared" si="5"/>
        <v>3.8842048851292241</v>
      </c>
    </row>
    <row r="18" spans="2:13" x14ac:dyDescent="0.2">
      <c r="B18">
        <v>0.995</v>
      </c>
      <c r="C18">
        <v>-705.26772850222198</v>
      </c>
      <c r="D18">
        <v>24.700207777777798</v>
      </c>
      <c r="E18">
        <v>2.8688066666666701</v>
      </c>
      <c r="F18">
        <f t="shared" si="3"/>
        <v>13.432499999999999</v>
      </c>
      <c r="G18">
        <f t="shared" si="4"/>
        <v>2423.6535955781246</v>
      </c>
      <c r="H18">
        <f t="shared" si="5"/>
        <v>3.8259427902229275</v>
      </c>
      <c r="I18">
        <v>2522.2388806535328</v>
      </c>
      <c r="J18">
        <f>I18^(1/3)</f>
        <v>13.612213078742627</v>
      </c>
      <c r="K18">
        <f>$B$8/(I18*(10^-24))</f>
        <v>3.6764003882127736</v>
      </c>
      <c r="L18">
        <v>-704.55693404688441</v>
      </c>
      <c r="M18">
        <f>L18/L20</f>
        <v>-23.485231134896146</v>
      </c>
    </row>
    <row r="19" spans="2:13" x14ac:dyDescent="0.2">
      <c r="B19">
        <v>1</v>
      </c>
      <c r="C19">
        <v>-705.39561482143199</v>
      </c>
      <c r="D19">
        <v>24.870909650342298</v>
      </c>
      <c r="E19">
        <v>1.69804231700895</v>
      </c>
      <c r="F19">
        <f t="shared" si="3"/>
        <v>13.5</v>
      </c>
      <c r="G19">
        <f t="shared" si="4"/>
        <v>2460.375</v>
      </c>
      <c r="H19">
        <f t="shared" si="5"/>
        <v>3.7688401158360012</v>
      </c>
    </row>
    <row r="20" spans="2:13" x14ac:dyDescent="0.2">
      <c r="B20">
        <v>1.0049999999999999</v>
      </c>
      <c r="C20">
        <v>-704.71505515333399</v>
      </c>
      <c r="D20">
        <v>25.009176888888899</v>
      </c>
      <c r="E20">
        <v>1.76227333333333</v>
      </c>
      <c r="F20">
        <f t="shared" si="3"/>
        <v>13.567499999999999</v>
      </c>
      <c r="G20">
        <f t="shared" si="4"/>
        <v>2497.4654606718746</v>
      </c>
      <c r="H20">
        <f t="shared" si="5"/>
        <v>3.7128681641528765</v>
      </c>
      <c r="K20" t="s">
        <v>8</v>
      </c>
      <c r="L20">
        <v>30</v>
      </c>
    </row>
    <row r="21" spans="2:13" x14ac:dyDescent="0.2">
      <c r="B21">
        <v>1.01</v>
      </c>
      <c r="C21">
        <v>-704.52680428888902</v>
      </c>
      <c r="D21">
        <v>25.0517066666667</v>
      </c>
      <c r="E21">
        <v>-0.80159777777777697</v>
      </c>
      <c r="F21">
        <f t="shared" ref="F21:F22" si="6">$F$11*B21</f>
        <v>13.635</v>
      </c>
      <c r="G21">
        <f t="shared" ref="G21:G22" si="7">F21^3</f>
        <v>2534.9268228749997</v>
      </c>
      <c r="H21">
        <f t="shared" ref="H21:H22" si="8">$B$8/G21/(1E-24)</f>
        <v>3.6579990855449052</v>
      </c>
    </row>
    <row r="22" spans="2:13" x14ac:dyDescent="0.2">
      <c r="B22">
        <v>1.0149999999999999</v>
      </c>
      <c r="C22">
        <v>-704.299571364445</v>
      </c>
      <c r="D22">
        <v>24.715834888888899</v>
      </c>
      <c r="E22">
        <v>-1.75290888888889</v>
      </c>
      <c r="F22">
        <f t="shared" si="6"/>
        <v>13.702499999999999</v>
      </c>
      <c r="G22">
        <f t="shared" si="7"/>
        <v>2572.7609318906243</v>
      </c>
      <c r="H22">
        <f t="shared" si="8"/>
        <v>3.6042058494668616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0.98</v>
      </c>
      <c r="C27">
        <v>-710.25096301333394</v>
      </c>
      <c r="D27">
        <v>22.744300222222201</v>
      </c>
      <c r="E27">
        <v>7.6219977777777803</v>
      </c>
      <c r="F27">
        <f>$F$11*B27</f>
        <v>13.23</v>
      </c>
      <c r="G27">
        <f t="shared" ref="G27" si="9">F27^3</f>
        <v>2315.6852670000003</v>
      </c>
      <c r="H27">
        <f>$B$8/G27/(1E-24)</f>
        <v>4.0043265516876483</v>
      </c>
    </row>
    <row r="28" spans="2:13" x14ac:dyDescent="0.2">
      <c r="B28">
        <v>0.98499999999999999</v>
      </c>
      <c r="C28">
        <v>-709.34758202444505</v>
      </c>
      <c r="D28">
        <v>22.971832444444399</v>
      </c>
      <c r="E28">
        <v>3.3334977777777799</v>
      </c>
      <c r="F28">
        <f t="shared" ref="F28:F33" si="10">$F$11*B28</f>
        <v>13.297499999999999</v>
      </c>
      <c r="G28">
        <f t="shared" ref="G28:G33" si="11">F28^3</f>
        <v>2351.3105743593746</v>
      </c>
      <c r="H28">
        <f t="shared" ref="H28:H33" si="12">$B$8/G28/(1E-24)</f>
        <v>3.9436559768487442</v>
      </c>
    </row>
    <row r="29" spans="2:13" x14ac:dyDescent="0.2">
      <c r="B29">
        <v>0.99</v>
      </c>
      <c r="C29">
        <v>-708.34932585111096</v>
      </c>
      <c r="D29">
        <v>23.411276888888899</v>
      </c>
      <c r="E29">
        <v>2.22586888888888</v>
      </c>
      <c r="F29">
        <f t="shared" si="10"/>
        <v>13.365</v>
      </c>
      <c r="G29">
        <f t="shared" si="11"/>
        <v>2387.2994021250001</v>
      </c>
      <c r="H29">
        <f t="shared" si="12"/>
        <v>3.8842048851292241</v>
      </c>
    </row>
    <row r="30" spans="2:13" x14ac:dyDescent="0.2">
      <c r="B30">
        <v>0.995</v>
      </c>
      <c r="C30">
        <v>-708.56763322889003</v>
      </c>
      <c r="D30">
        <v>23.108333777777801</v>
      </c>
      <c r="E30">
        <v>1.5317400000000001</v>
      </c>
      <c r="F30">
        <f t="shared" si="10"/>
        <v>13.432499999999999</v>
      </c>
      <c r="G30">
        <f t="shared" si="11"/>
        <v>2423.6535955781246</v>
      </c>
      <c r="H30">
        <f t="shared" si="12"/>
        <v>3.8259427902229275</v>
      </c>
      <c r="I30">
        <v>2458.2114754537788</v>
      </c>
      <c r="J30">
        <f>I30^(1/3)</f>
        <v>13.496041775913138</v>
      </c>
      <c r="K30">
        <f>$B$8/(I30*(10^-24))</f>
        <v>3.7721571527072446</v>
      </c>
      <c r="L30">
        <v>-708.02384223305012</v>
      </c>
      <c r="M30">
        <f>L30/L32</f>
        <v>-23.600794741101669</v>
      </c>
    </row>
    <row r="31" spans="2:13" x14ac:dyDescent="0.2">
      <c r="B31">
        <v>1</v>
      </c>
      <c r="C31">
        <v>-707.09132987999999</v>
      </c>
      <c r="D31">
        <v>23.087502888888899</v>
      </c>
      <c r="E31">
        <v>0.90448444444444598</v>
      </c>
      <c r="F31">
        <f t="shared" si="10"/>
        <v>13.5</v>
      </c>
      <c r="G31">
        <f t="shared" si="11"/>
        <v>2460.375</v>
      </c>
      <c r="H31">
        <f t="shared" si="12"/>
        <v>3.7688401158360012</v>
      </c>
    </row>
    <row r="32" spans="2:13" x14ac:dyDescent="0.2">
      <c r="B32">
        <v>1.0049999999999999</v>
      </c>
      <c r="C32">
        <v>-708.15924559555594</v>
      </c>
      <c r="D32">
        <v>22.900504000000002</v>
      </c>
      <c r="E32">
        <v>-1.01864</v>
      </c>
      <c r="F32">
        <f t="shared" si="10"/>
        <v>13.567499999999999</v>
      </c>
      <c r="G32">
        <f t="shared" si="11"/>
        <v>2497.4654606718746</v>
      </c>
      <c r="H32">
        <f t="shared" si="12"/>
        <v>3.7128681641528765</v>
      </c>
      <c r="K32" t="s">
        <v>8</v>
      </c>
      <c r="L32">
        <v>30</v>
      </c>
    </row>
    <row r="33" spans="2:13" x14ac:dyDescent="0.2">
      <c r="B33">
        <v>1.01</v>
      </c>
      <c r="C33">
        <v>-707.50244896888898</v>
      </c>
      <c r="D33">
        <v>23.163449111111099</v>
      </c>
      <c r="E33">
        <v>-2.4867444444444402</v>
      </c>
      <c r="F33">
        <f t="shared" si="10"/>
        <v>13.635</v>
      </c>
      <c r="G33">
        <f t="shared" si="11"/>
        <v>2534.9268228749997</v>
      </c>
      <c r="H33">
        <f t="shared" si="12"/>
        <v>3.6579990855449052</v>
      </c>
    </row>
    <row r="37" spans="2:13" x14ac:dyDescent="0.2">
      <c r="B37">
        <v>1100</v>
      </c>
    </row>
    <row r="38" spans="2:13" x14ac:dyDescent="0.2">
      <c r="H38" t="s">
        <v>26</v>
      </c>
    </row>
    <row r="39" spans="2:13" x14ac:dyDescent="0.2"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33</v>
      </c>
      <c r="J39" t="s">
        <v>30</v>
      </c>
      <c r="K39" t="s">
        <v>32</v>
      </c>
      <c r="L39" t="s">
        <v>34</v>
      </c>
      <c r="M39" t="s">
        <v>35</v>
      </c>
    </row>
    <row r="40" spans="2:13" x14ac:dyDescent="0.2">
      <c r="B40">
        <v>0.97</v>
      </c>
      <c r="C40">
        <v>-712.32771105333404</v>
      </c>
      <c r="D40">
        <v>21.302874444444399</v>
      </c>
      <c r="E40">
        <v>14.038931111111101</v>
      </c>
      <c r="F40">
        <f t="shared" ref="F40" si="13">$F$11*B40</f>
        <v>13.094999999999999</v>
      </c>
      <c r="G40">
        <f t="shared" ref="G40" si="14">F40^3</f>
        <v>2245.5178323749997</v>
      </c>
      <c r="H40">
        <f t="shared" ref="H40" si="15">$B$8/G40/(1E-24)</f>
        <v>4.1294528443769041</v>
      </c>
    </row>
    <row r="41" spans="2:13" x14ac:dyDescent="0.2">
      <c r="B41">
        <v>0.97499999999999998</v>
      </c>
      <c r="C41">
        <v>-712.24433594666698</v>
      </c>
      <c r="D41">
        <v>21.1317673333333</v>
      </c>
      <c r="E41">
        <v>8.6153600000000097</v>
      </c>
      <c r="F41">
        <f t="shared" ref="F41:F45" si="16">$F$11*B41</f>
        <v>13.1625</v>
      </c>
      <c r="G41">
        <f t="shared" ref="G41:G45" si="17">F41^3</f>
        <v>2280.4216347656252</v>
      </c>
      <c r="H41">
        <f t="shared" ref="H41:H45" si="18">$B$8/G41/(1E-24)</f>
        <v>4.0662480387987676</v>
      </c>
    </row>
    <row r="42" spans="2:13" x14ac:dyDescent="0.2">
      <c r="B42">
        <v>0.98</v>
      </c>
      <c r="C42">
        <v>-711.219511457777</v>
      </c>
      <c r="D42">
        <v>21.531811333333302</v>
      </c>
      <c r="E42">
        <v>5.2820044444444401</v>
      </c>
      <c r="F42">
        <f t="shared" si="16"/>
        <v>13.23</v>
      </c>
      <c r="G42">
        <f t="shared" si="17"/>
        <v>2315.6852670000003</v>
      </c>
      <c r="H42">
        <f t="shared" si="18"/>
        <v>4.0043265516876483</v>
      </c>
    </row>
    <row r="43" spans="2:13" x14ac:dyDescent="0.2">
      <c r="B43">
        <v>0.98499999999999999</v>
      </c>
      <c r="C43">
        <v>-711.70200454666701</v>
      </c>
      <c r="D43">
        <v>21.083607111111199</v>
      </c>
      <c r="E43">
        <v>2.1431177777777801</v>
      </c>
      <c r="F43">
        <f t="shared" si="16"/>
        <v>13.297499999999999</v>
      </c>
      <c r="G43">
        <f t="shared" si="17"/>
        <v>2351.3105743593746</v>
      </c>
      <c r="H43">
        <f t="shared" si="18"/>
        <v>3.9436559768487442</v>
      </c>
    </row>
    <row r="44" spans="2:13" x14ac:dyDescent="0.2">
      <c r="B44">
        <v>0.99</v>
      </c>
      <c r="C44">
        <v>-710.94687039555595</v>
      </c>
      <c r="D44">
        <v>21.300226444444402</v>
      </c>
      <c r="E44">
        <v>2.1819288888888901</v>
      </c>
      <c r="F44">
        <f t="shared" si="16"/>
        <v>13.365</v>
      </c>
      <c r="G44">
        <f t="shared" si="17"/>
        <v>2387.2994021250001</v>
      </c>
      <c r="H44">
        <f t="shared" si="18"/>
        <v>3.8842048851292241</v>
      </c>
      <c r="I44">
        <v>2416.5572494322632</v>
      </c>
      <c r="J44">
        <f>I44^(1/3)</f>
        <v>13.419377270210067</v>
      </c>
      <c r="K44">
        <f>$B$8/(I44*(10^-24))</f>
        <v>3.8371778703684787</v>
      </c>
      <c r="L44">
        <v>-710.93563476025327</v>
      </c>
      <c r="M44">
        <f>L44/L46</f>
        <v>-23.697854492008442</v>
      </c>
    </row>
    <row r="45" spans="2:13" x14ac:dyDescent="0.2">
      <c r="B45">
        <v>0.995</v>
      </c>
      <c r="C45">
        <v>-711.08343560444496</v>
      </c>
      <c r="D45">
        <v>21.187772666666699</v>
      </c>
      <c r="E45">
        <v>-0.55344222222221895</v>
      </c>
      <c r="F45">
        <f t="shared" si="16"/>
        <v>13.432499999999999</v>
      </c>
      <c r="G45">
        <f t="shared" si="17"/>
        <v>2423.6535955781246</v>
      </c>
      <c r="H45">
        <f t="shared" si="18"/>
        <v>3.8259427902229275</v>
      </c>
    </row>
    <row r="46" spans="2:13" x14ac:dyDescent="0.2">
      <c r="B46">
        <v>1</v>
      </c>
      <c r="C46">
        <v>-711.21858191111096</v>
      </c>
      <c r="D46">
        <v>21.031019555555499</v>
      </c>
      <c r="E46">
        <v>-0.18817555555555299</v>
      </c>
      <c r="F46">
        <f>$F$11*B46</f>
        <v>13.5</v>
      </c>
      <c r="G46">
        <f t="shared" ref="G46:G47" si="19">F46^3</f>
        <v>2460.375</v>
      </c>
      <c r="H46">
        <f>$B$8/G46/(1E-24)</f>
        <v>3.7688401158360012</v>
      </c>
      <c r="K46" t="s">
        <v>8</v>
      </c>
      <c r="L46">
        <v>30</v>
      </c>
    </row>
    <row r="47" spans="2:13" x14ac:dyDescent="0.2">
      <c r="B47">
        <v>1.0049999999999999</v>
      </c>
      <c r="C47">
        <v>-709.21859318444399</v>
      </c>
      <c r="D47">
        <v>21.217733555555601</v>
      </c>
      <c r="E47">
        <v>-4.7398177777777803</v>
      </c>
      <c r="F47">
        <f>$F$11*B47</f>
        <v>13.567499999999999</v>
      </c>
      <c r="G47">
        <f t="shared" si="19"/>
        <v>2497.4654606718746</v>
      </c>
      <c r="H47">
        <f>$B$8/G47/(1E-24)</f>
        <v>3.7128681641528765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6557-A26A-554F-B567-358C1860E243}">
  <dimension ref="B5:U37"/>
  <sheetViews>
    <sheetView tabSelected="1" topLeftCell="C4" workbookViewId="0">
      <selection activeCell="P23" sqref="P23"/>
    </sheetView>
  </sheetViews>
  <sheetFormatPr baseColWidth="10" defaultRowHeight="16" x14ac:dyDescent="0.2"/>
  <sheetData>
    <row r="5" spans="2:21" x14ac:dyDescent="0.2">
      <c r="B5" t="s">
        <v>40</v>
      </c>
      <c r="J5" t="s">
        <v>2</v>
      </c>
      <c r="K5" t="s">
        <v>41</v>
      </c>
      <c r="L5" t="s">
        <v>42</v>
      </c>
      <c r="M5" t="s">
        <v>43</v>
      </c>
      <c r="N5" t="s">
        <v>3</v>
      </c>
      <c r="Q5" t="s">
        <v>2</v>
      </c>
      <c r="R5" t="s">
        <v>41</v>
      </c>
      <c r="S5" t="s">
        <v>42</v>
      </c>
      <c r="T5" t="s">
        <v>43</v>
      </c>
      <c r="U5" t="s">
        <v>3</v>
      </c>
    </row>
    <row r="6" spans="2:21" x14ac:dyDescent="0.2">
      <c r="C6" t="s">
        <v>33</v>
      </c>
      <c r="D6" t="s">
        <v>30</v>
      </c>
      <c r="E6" t="s">
        <v>32</v>
      </c>
      <c r="F6" t="s">
        <v>34</v>
      </c>
      <c r="G6" t="s">
        <v>35</v>
      </c>
      <c r="I6" t="s">
        <v>44</v>
      </c>
      <c r="J6">
        <v>0</v>
      </c>
      <c r="K6">
        <v>0.14000000000000001</v>
      </c>
      <c r="L6">
        <v>0.42</v>
      </c>
      <c r="M6">
        <v>0.55000000000000004</v>
      </c>
      <c r="N6">
        <v>1</v>
      </c>
      <c r="P6" t="s">
        <v>44</v>
      </c>
      <c r="Q6">
        <v>0</v>
      </c>
      <c r="R6">
        <v>0.14000000000000001</v>
      </c>
      <c r="S6">
        <v>0.42</v>
      </c>
      <c r="T6">
        <v>0.55000000000000004</v>
      </c>
      <c r="U6">
        <v>1</v>
      </c>
    </row>
    <row r="7" spans="2:21" x14ac:dyDescent="0.2">
      <c r="B7">
        <v>1300</v>
      </c>
      <c r="C7">
        <v>5493.7006854354622</v>
      </c>
      <c r="D7">
        <v>17.645000079558272</v>
      </c>
      <c r="E7">
        <v>1.7525527055969974</v>
      </c>
      <c r="F7">
        <v>-437.90349390114346</v>
      </c>
      <c r="G7">
        <v>-4.3790349390114347</v>
      </c>
      <c r="I7">
        <v>1300</v>
      </c>
      <c r="J7">
        <v>1.7525527055969974</v>
      </c>
      <c r="K7">
        <v>2.1372820970563007</v>
      </c>
      <c r="L7">
        <v>2.6211362176344863</v>
      </c>
      <c r="M7">
        <v>2.856243793770803</v>
      </c>
      <c r="N7">
        <v>3.6764003882127736</v>
      </c>
      <c r="P7">
        <v>1300</v>
      </c>
      <c r="Q7">
        <v>-4.3790349390114347</v>
      </c>
      <c r="R7">
        <v>-7.4159406892657103</v>
      </c>
      <c r="S7">
        <v>-13.137947780983323</v>
      </c>
      <c r="T7">
        <v>-15.517988994171501</v>
      </c>
      <c r="U7">
        <v>-23.485231134896146</v>
      </c>
    </row>
    <row r="8" spans="2:21" x14ac:dyDescent="0.2">
      <c r="B8">
        <v>1200</v>
      </c>
      <c r="C8">
        <v>5336.0965883920726</v>
      </c>
      <c r="D8">
        <v>17.474626180807338</v>
      </c>
      <c r="E8">
        <v>1.8043151656857856</v>
      </c>
      <c r="F8">
        <v>-442.33984902235039</v>
      </c>
      <c r="G8">
        <v>-4.4233984902235042</v>
      </c>
      <c r="I8">
        <v>1200</v>
      </c>
      <c r="J8">
        <v>1.8043151656857856</v>
      </c>
      <c r="K8">
        <v>2.1725903779491365</v>
      </c>
      <c r="L8">
        <v>2.6831495714253357</v>
      </c>
      <c r="M8">
        <v>2.9132421169951779</v>
      </c>
      <c r="N8">
        <v>3.7721571527072446</v>
      </c>
      <c r="P8">
        <v>1200</v>
      </c>
      <c r="Q8">
        <v>-4.4233984902235042</v>
      </c>
      <c r="R8">
        <v>-7.4543665619614057</v>
      </c>
      <c r="S8">
        <v>-13.188794264610154</v>
      </c>
      <c r="T8">
        <v>-15.580856143178577</v>
      </c>
      <c r="U8">
        <v>-23.518156738818316</v>
      </c>
    </row>
    <row r="9" spans="2:21" x14ac:dyDescent="0.2">
      <c r="B9">
        <v>1100</v>
      </c>
      <c r="C9">
        <v>5194.7394833318594</v>
      </c>
      <c r="D9">
        <v>17.318938000729784</v>
      </c>
      <c r="E9">
        <v>1.8534134446766684</v>
      </c>
      <c r="F9">
        <v>-446.93646787300298</v>
      </c>
      <c r="G9">
        <v>-4.4693646787300301</v>
      </c>
      <c r="I9">
        <v>1100</v>
      </c>
      <c r="J9">
        <v>1.8534134446766684</v>
      </c>
      <c r="K9">
        <v>2.2201025806921408</v>
      </c>
      <c r="L9">
        <v>2.7374781174791809</v>
      </c>
      <c r="M9">
        <v>2.9497771163247695</v>
      </c>
      <c r="N9">
        <v>3.8371778703684787</v>
      </c>
      <c r="P9">
        <v>1100</v>
      </c>
      <c r="Q9">
        <v>-4.4693646787300301</v>
      </c>
      <c r="R9">
        <v>-7.4999091677319001</v>
      </c>
      <c r="S9">
        <v>-13.250283265825896</v>
      </c>
      <c r="T9">
        <v>-15.644050883405571</v>
      </c>
      <c r="U9">
        <v>-23.697854492008442</v>
      </c>
    </row>
    <row r="11" spans="2:21" x14ac:dyDescent="0.2">
      <c r="B11" t="s">
        <v>41</v>
      </c>
      <c r="P11" t="s">
        <v>45</v>
      </c>
    </row>
    <row r="12" spans="2:21" x14ac:dyDescent="0.2">
      <c r="C12" t="s">
        <v>33</v>
      </c>
      <c r="D12" t="s">
        <v>30</v>
      </c>
      <c r="E12" t="s">
        <v>32</v>
      </c>
      <c r="F12" t="s">
        <v>34</v>
      </c>
      <c r="G12" t="s">
        <v>35</v>
      </c>
      <c r="P12">
        <v>1300</v>
      </c>
      <c r="Q12">
        <f>Q7-(1-Q$6)*$Q7-(Q$6)*$U7</f>
        <v>0</v>
      </c>
      <c r="R12">
        <f t="shared" ref="R12:U12" si="0">R7-(1-R$6)*$Q7-(R$6)*$U7</f>
        <v>-0.36203828283041561</v>
      </c>
      <c r="S12">
        <f t="shared" si="0"/>
        <v>-0.73431043970031062</v>
      </c>
      <c r="T12">
        <f t="shared" si="0"/>
        <v>-0.63054614742347503</v>
      </c>
      <c r="U12">
        <f t="shared" si="0"/>
        <v>0</v>
      </c>
    </row>
    <row r="13" spans="2:21" x14ac:dyDescent="0.2">
      <c r="B13">
        <v>1300</v>
      </c>
      <c r="C13">
        <v>4149.0639032692943</v>
      </c>
      <c r="D13">
        <v>16.068797382569095</v>
      </c>
      <c r="E13">
        <v>2.1372820970563007</v>
      </c>
      <c r="F13">
        <v>-519.11584824859972</v>
      </c>
      <c r="G13">
        <v>-7.4159406892657103</v>
      </c>
      <c r="P13">
        <v>1200</v>
      </c>
      <c r="Q13">
        <f t="shared" ref="Q13:U13" si="1">Q8-(1-Q$6)*$Q8-(Q$6)*$U8</f>
        <v>0</v>
      </c>
      <c r="R13">
        <f t="shared" si="1"/>
        <v>-0.35770191693462738</v>
      </c>
      <c r="S13">
        <f t="shared" si="1"/>
        <v>-0.74559730997682827</v>
      </c>
      <c r="T13">
        <f t="shared" si="1"/>
        <v>-0.6553406162279245</v>
      </c>
      <c r="U13">
        <f t="shared" si="1"/>
        <v>0</v>
      </c>
    </row>
    <row r="14" spans="2:21" x14ac:dyDescent="0.2">
      <c r="B14">
        <v>1200</v>
      </c>
      <c r="C14">
        <v>4081.634573182117</v>
      </c>
      <c r="D14">
        <v>15.98127310718343</v>
      </c>
      <c r="E14">
        <v>2.1725903779491365</v>
      </c>
      <c r="F14">
        <v>-521.80565933729838</v>
      </c>
      <c r="G14">
        <v>-7.4543665619614057</v>
      </c>
      <c r="P14">
        <v>1100</v>
      </c>
      <c r="Q14">
        <f t="shared" ref="Q14:S14" si="2">Q9-(1-Q$6)*$Q9-(Q$6)*$U9</f>
        <v>0</v>
      </c>
      <c r="R14">
        <f t="shared" si="2"/>
        <v>-0.33855591514289207</v>
      </c>
      <c r="S14">
        <f t="shared" si="2"/>
        <v>-0.70495286551893344</v>
      </c>
      <c r="T14">
        <f>T9-(1-T$6)*$Q9-(T$6)*$U9</f>
        <v>-0.59901680737241314</v>
      </c>
      <c r="U14">
        <f>U9-(1-U$6)*$Q9-(U$6)*$U9</f>
        <v>0</v>
      </c>
    </row>
    <row r="15" spans="2:21" x14ac:dyDescent="0.2">
      <c r="B15">
        <v>1100</v>
      </c>
      <c r="C15">
        <v>3994.2839025192211</v>
      </c>
      <c r="D15">
        <v>15.866445465692877</v>
      </c>
      <c r="E15">
        <v>2.2201025806921408</v>
      </c>
      <c r="F15">
        <v>-524.99364174123298</v>
      </c>
      <c r="G15">
        <v>-7.4999091677319001</v>
      </c>
    </row>
    <row r="17" spans="2:7" x14ac:dyDescent="0.2">
      <c r="B17" t="s">
        <v>42</v>
      </c>
    </row>
    <row r="18" spans="2:7" x14ac:dyDescent="0.2">
      <c r="C18" t="s">
        <v>33</v>
      </c>
      <c r="D18" t="s">
        <v>30</v>
      </c>
      <c r="E18" t="s">
        <v>32</v>
      </c>
      <c r="F18" t="s">
        <v>34</v>
      </c>
      <c r="G18" t="s">
        <v>35</v>
      </c>
    </row>
    <row r="19" spans="2:7" x14ac:dyDescent="0.2">
      <c r="B19">
        <v>1300</v>
      </c>
      <c r="C19">
        <v>4005.5789277045856</v>
      </c>
      <c r="D19">
        <v>15.881387087721786</v>
      </c>
      <c r="E19">
        <v>2.6211362176344863</v>
      </c>
      <c r="F19">
        <v>-735.72507573506607</v>
      </c>
      <c r="G19">
        <v>-13.137947780983323</v>
      </c>
    </row>
    <row r="20" spans="2:7" x14ac:dyDescent="0.2">
      <c r="B20">
        <v>1200</v>
      </c>
      <c r="C20">
        <v>3913.0013890439427</v>
      </c>
      <c r="D20">
        <v>15.758081199721397</v>
      </c>
      <c r="E20">
        <v>2.6831495714253357</v>
      </c>
      <c r="F20">
        <v>-738.57247881816863</v>
      </c>
      <c r="G20">
        <v>-13.188794264610154</v>
      </c>
    </row>
    <row r="21" spans="2:7" x14ac:dyDescent="0.2">
      <c r="B21">
        <v>1100</v>
      </c>
      <c r="C21">
        <v>3835.3431696718744</v>
      </c>
      <c r="D21">
        <v>15.653137839343195</v>
      </c>
      <c r="E21">
        <v>2.7374781174791809</v>
      </c>
      <c r="F21">
        <v>-742.01586288625015</v>
      </c>
      <c r="G21">
        <v>-13.250283265825896</v>
      </c>
    </row>
    <row r="22" spans="2:7" x14ac:dyDescent="0.2">
      <c r="B22">
        <v>1000</v>
      </c>
      <c r="C22">
        <v>3741.1480126453807</v>
      </c>
      <c r="D22">
        <v>15.523928372637515</v>
      </c>
      <c r="E22">
        <v>2.8064027310632902</v>
      </c>
      <c r="F22">
        <v>-745.16395543400563</v>
      </c>
      <c r="G22">
        <v>-13.306499204178673</v>
      </c>
    </row>
    <row r="23" spans="2:7" x14ac:dyDescent="0.2">
      <c r="B23">
        <v>900</v>
      </c>
      <c r="C23">
        <v>3677.5855192186946</v>
      </c>
      <c r="D23">
        <v>15.435507989947753</v>
      </c>
      <c r="E23">
        <v>2.8549079131219095</v>
      </c>
      <c r="F23">
        <v>-747.61373306583312</v>
      </c>
      <c r="G23">
        <v>-13.350245233318448</v>
      </c>
    </row>
    <row r="24" spans="2:7" x14ac:dyDescent="0.2">
      <c r="B24">
        <v>800</v>
      </c>
      <c r="C24">
        <v>3679.5024112824153</v>
      </c>
      <c r="D24">
        <v>15.438189374539279</v>
      </c>
      <c r="E24">
        <v>2.8534206059510985</v>
      </c>
      <c r="F24">
        <v>-750.61184068011528</v>
      </c>
      <c r="G24">
        <v>-13.403782869287772</v>
      </c>
    </row>
    <row r="25" spans="2:7" x14ac:dyDescent="0.2">
      <c r="B25">
        <v>700</v>
      </c>
      <c r="C25">
        <v>3663.4165839421285</v>
      </c>
      <c r="D25">
        <v>15.415659261379524</v>
      </c>
      <c r="E25">
        <v>2.8659497928848854</v>
      </c>
      <c r="F25">
        <v>-753.21367654444964</v>
      </c>
      <c r="G25">
        <v>-13.45024422400803</v>
      </c>
    </row>
    <row r="27" spans="2:7" x14ac:dyDescent="0.2">
      <c r="B27" t="s">
        <v>43</v>
      </c>
    </row>
    <row r="28" spans="2:7" x14ac:dyDescent="0.2">
      <c r="C28" t="s">
        <v>33</v>
      </c>
      <c r="D28" t="s">
        <v>30</v>
      </c>
      <c r="E28" t="s">
        <v>32</v>
      </c>
      <c r="F28" t="s">
        <v>34</v>
      </c>
      <c r="G28" t="s">
        <v>35</v>
      </c>
    </row>
    <row r="29" spans="2:7" x14ac:dyDescent="0.2">
      <c r="B29">
        <v>1300</v>
      </c>
      <c r="C29">
        <v>3379.578459322016</v>
      </c>
      <c r="D29">
        <v>15.006779837824192</v>
      </c>
      <c r="E29">
        <v>2.856243793770803</v>
      </c>
      <c r="F29">
        <v>-698.30950473771759</v>
      </c>
      <c r="G29">
        <v>-15.517988994171501</v>
      </c>
    </row>
    <row r="30" spans="2:7" x14ac:dyDescent="0.2">
      <c r="B30">
        <v>1200</v>
      </c>
      <c r="C30">
        <v>3313.4561469117943</v>
      </c>
      <c r="D30">
        <v>14.90826403254381</v>
      </c>
      <c r="E30">
        <v>2.9132421169951779</v>
      </c>
      <c r="F30">
        <v>-701.13852644303597</v>
      </c>
      <c r="G30">
        <v>-15.580856143178577</v>
      </c>
    </row>
    <row r="31" spans="2:7" x14ac:dyDescent="0.2">
      <c r="B31">
        <v>1100</v>
      </c>
      <c r="C31">
        <v>3272.4167350063676</v>
      </c>
      <c r="D31">
        <v>14.846458488803105</v>
      </c>
      <c r="E31">
        <v>2.9497771163247695</v>
      </c>
      <c r="F31">
        <v>-703.98228975325071</v>
      </c>
      <c r="G31">
        <v>-15.644050883405571</v>
      </c>
    </row>
    <row r="33" spans="2:7" x14ac:dyDescent="0.2">
      <c r="B33" t="s">
        <v>3</v>
      </c>
    </row>
    <row r="34" spans="2:7" x14ac:dyDescent="0.2">
      <c r="C34" t="s">
        <v>33</v>
      </c>
      <c r="D34" t="s">
        <v>30</v>
      </c>
      <c r="E34" t="s">
        <v>32</v>
      </c>
      <c r="F34" t="s">
        <v>34</v>
      </c>
      <c r="G34" t="s">
        <v>35</v>
      </c>
    </row>
    <row r="35" spans="2:7" x14ac:dyDescent="0.2">
      <c r="B35">
        <v>1300</v>
      </c>
      <c r="C35">
        <v>2522.2388806535328</v>
      </c>
      <c r="D35">
        <v>13.612213078742627</v>
      </c>
      <c r="E35">
        <v>3.6764003882127736</v>
      </c>
      <c r="F35">
        <v>-704.55693404688441</v>
      </c>
      <c r="G35">
        <v>-23.485231134896146</v>
      </c>
    </row>
    <row r="36" spans="2:7" x14ac:dyDescent="0.2">
      <c r="B36">
        <v>1200</v>
      </c>
      <c r="C36">
        <v>2458.2114754537788</v>
      </c>
      <c r="D36">
        <v>13.496041775913138</v>
      </c>
      <c r="E36">
        <v>3.7721571527072446</v>
      </c>
      <c r="F36">
        <v>-708.02384223305012</v>
      </c>
      <c r="G36">
        <v>-23.600794741101669</v>
      </c>
    </row>
    <row r="37" spans="2:7" x14ac:dyDescent="0.2">
      <c r="B37">
        <v>1100</v>
      </c>
      <c r="C37">
        <v>2416.5572494322632</v>
      </c>
      <c r="D37">
        <v>13.419377270210067</v>
      </c>
      <c r="E37">
        <v>3.8371778703684787</v>
      </c>
      <c r="F37">
        <v>-710.93563476025327</v>
      </c>
      <c r="G37">
        <v>-23.697854492008442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KF</vt:lpstr>
      <vt:lpstr>KF-14ZrF4</vt:lpstr>
      <vt:lpstr>KF-42ZrF4</vt:lpstr>
      <vt:lpstr>KF-55ZrF4</vt:lpstr>
      <vt:lpstr>ZrF4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Beeler</cp:lastModifiedBy>
  <dcterms:created xsi:type="dcterms:W3CDTF">2022-07-15T14:33:57Z</dcterms:created>
  <dcterms:modified xsi:type="dcterms:W3CDTF">2022-10-13T19:11:15Z</dcterms:modified>
</cp:coreProperties>
</file>