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07C094BA-368B-C641-9D79-97D33C4807A8}" xr6:coauthVersionLast="47" xr6:coauthVersionMax="47" xr10:uidLastSave="{00000000-0000-0000-0000-000000000000}"/>
  <bookViews>
    <workbookView xWindow="16720" yWindow="2060" windowWidth="33760" windowHeight="22720" xr2:uid="{6717AD8C-574E-F14A-9669-DA5424F212C2}"/>
  </bookViews>
  <sheets>
    <sheet name="RED data" sheetId="1" r:id="rId1"/>
    <sheet name="total diffusion" sheetId="2" r:id="rId2"/>
    <sheet name="constant Ki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2" i="1" l="1"/>
  <c r="N1" i="1"/>
  <c r="M1" i="1"/>
  <c r="L1" i="1"/>
  <c r="K1" i="1"/>
  <c r="J12" i="3" l="1"/>
  <c r="I12" i="3"/>
  <c r="E12" i="3"/>
  <c r="N12" i="3" s="1"/>
  <c r="D12" i="3"/>
  <c r="J11" i="3"/>
  <c r="I11" i="3"/>
  <c r="E11" i="3"/>
  <c r="N11" i="3" s="1"/>
  <c r="D11" i="3"/>
  <c r="J10" i="3"/>
  <c r="I10" i="3"/>
  <c r="E10" i="3"/>
  <c r="N10" i="3" s="1"/>
  <c r="D10" i="3"/>
  <c r="N9" i="3"/>
  <c r="M9" i="3"/>
  <c r="L9" i="3"/>
  <c r="K9" i="3"/>
  <c r="J9" i="3"/>
  <c r="I9" i="3"/>
  <c r="E9" i="3"/>
  <c r="D9" i="3"/>
  <c r="J8" i="3"/>
  <c r="I8" i="3"/>
  <c r="E8" i="3"/>
  <c r="N8" i="3" s="1"/>
  <c r="D8" i="3"/>
  <c r="J7" i="3"/>
  <c r="I7" i="3"/>
  <c r="E7" i="3"/>
  <c r="N7" i="3" s="1"/>
  <c r="D7" i="3"/>
  <c r="J6" i="3"/>
  <c r="I6" i="3"/>
  <c r="E6" i="3"/>
  <c r="N6" i="3" s="1"/>
  <c r="D6" i="3"/>
  <c r="J5" i="3"/>
  <c r="I5" i="3"/>
  <c r="E5" i="3"/>
  <c r="N5" i="3" s="1"/>
  <c r="D5" i="3"/>
  <c r="M7" i="3" l="1"/>
  <c r="L8" i="3"/>
  <c r="P9" i="3"/>
  <c r="P8" i="3"/>
  <c r="K11" i="3"/>
  <c r="L11" i="3"/>
  <c r="P11" i="3" s="1"/>
  <c r="M11" i="3"/>
  <c r="K6" i="3"/>
  <c r="L6" i="3"/>
  <c r="P6" i="3" s="1"/>
  <c r="M8" i="3"/>
  <c r="O11" i="3"/>
  <c r="K10" i="3"/>
  <c r="O10" i="3" s="1"/>
  <c r="M6" i="3"/>
  <c r="O9" i="3"/>
  <c r="K8" i="3"/>
  <c r="L5" i="3"/>
  <c r="P5" i="3" s="1"/>
  <c r="L10" i="3"/>
  <c r="P10" i="3" s="1"/>
  <c r="K7" i="3"/>
  <c r="M10" i="3"/>
  <c r="K5" i="3"/>
  <c r="M5" i="3"/>
  <c r="L7" i="3"/>
  <c r="P7" i="3" s="1"/>
  <c r="K12" i="3"/>
  <c r="L12" i="3"/>
  <c r="P12" i="3" s="1"/>
  <c r="M12" i="3"/>
  <c r="O8" i="3" l="1"/>
  <c r="O6" i="3"/>
  <c r="O5" i="3"/>
  <c r="O7" i="3"/>
  <c r="O12" i="3"/>
  <c r="AF15" i="1" l="1"/>
  <c r="AG12" i="1"/>
  <c r="AF12" i="1"/>
  <c r="H27" i="2" l="1"/>
  <c r="H30" i="2" s="1"/>
  <c r="G27" i="2"/>
  <c r="G45" i="2" s="1"/>
  <c r="D45" i="2"/>
  <c r="D44" i="2"/>
  <c r="F44" i="2" s="1"/>
  <c r="D43" i="2"/>
  <c r="D42" i="2"/>
  <c r="D41" i="2"/>
  <c r="D40" i="2"/>
  <c r="D39" i="2"/>
  <c r="D38" i="2"/>
  <c r="F37" i="2"/>
  <c r="E37" i="2"/>
  <c r="D37" i="2"/>
  <c r="D36" i="2"/>
  <c r="D35" i="2"/>
  <c r="D34" i="2"/>
  <c r="D33" i="2"/>
  <c r="D32" i="2"/>
  <c r="D31" i="2"/>
  <c r="D30" i="2"/>
  <c r="D29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H8" i="2"/>
  <c r="G8" i="2"/>
  <c r="G3" i="2"/>
  <c r="AJ41" i="1"/>
  <c r="AJ40" i="1"/>
  <c r="AJ39" i="1"/>
  <c r="AJ38" i="1"/>
  <c r="AJ37" i="1"/>
  <c r="AJ36" i="1"/>
  <c r="AJ35" i="1"/>
  <c r="AJ34" i="1"/>
  <c r="AG13" i="1"/>
  <c r="AG14" i="1"/>
  <c r="AG15" i="1"/>
  <c r="AG16" i="1"/>
  <c r="AG17" i="1"/>
  <c r="AF13" i="1"/>
  <c r="AF14" i="1"/>
  <c r="AF16" i="1"/>
  <c r="AF17" i="1"/>
  <c r="F30" i="2" l="1"/>
  <c r="J30" i="2"/>
  <c r="K30" i="2"/>
  <c r="AK34" i="1"/>
  <c r="AM34" i="1"/>
  <c r="AL34" i="1"/>
  <c r="AN34" i="1"/>
  <c r="AO34" i="1"/>
  <c r="AP34" i="1"/>
  <c r="K35" i="2"/>
  <c r="J35" i="2"/>
  <c r="K40" i="2"/>
  <c r="J40" i="2"/>
  <c r="E44" i="2"/>
  <c r="J44" i="2"/>
  <c r="K44" i="2"/>
  <c r="E34" i="2"/>
  <c r="K34" i="2"/>
  <c r="J34" i="2"/>
  <c r="K38" i="2"/>
  <c r="J38" i="2"/>
  <c r="AL35" i="1"/>
  <c r="AM35" i="1"/>
  <c r="AN35" i="1"/>
  <c r="AO35" i="1"/>
  <c r="AP35" i="1"/>
  <c r="AK35" i="1"/>
  <c r="AG18" i="1"/>
  <c r="K39" i="2"/>
  <c r="J39" i="2"/>
  <c r="K29" i="2"/>
  <c r="J29" i="2"/>
  <c r="J43" i="2"/>
  <c r="K43" i="2"/>
  <c r="AK36" i="1"/>
  <c r="AO36" i="1"/>
  <c r="AN36" i="1"/>
  <c r="AM36" i="1"/>
  <c r="AL36" i="1"/>
  <c r="AP36" i="1"/>
  <c r="K45" i="2"/>
  <c r="J45" i="2"/>
  <c r="AN39" i="1"/>
  <c r="AL39" i="1"/>
  <c r="AM39" i="1"/>
  <c r="AP39" i="1"/>
  <c r="AK39" i="1"/>
  <c r="AO39" i="1"/>
  <c r="F35" i="2"/>
  <c r="AO40" i="1"/>
  <c r="AP40" i="1"/>
  <c r="AK40" i="1"/>
  <c r="AL40" i="1"/>
  <c r="AM40" i="1"/>
  <c r="AN40" i="1"/>
  <c r="J36" i="2"/>
  <c r="K36" i="2"/>
  <c r="AF18" i="1"/>
  <c r="F41" i="2"/>
  <c r="K41" i="2"/>
  <c r="J41" i="2"/>
  <c r="K31" i="2"/>
  <c r="J31" i="2"/>
  <c r="F33" i="2"/>
  <c r="K33" i="2"/>
  <c r="J33" i="2"/>
  <c r="AL37" i="1"/>
  <c r="AK37" i="1"/>
  <c r="AM37" i="1"/>
  <c r="AN37" i="1"/>
  <c r="AO37" i="1"/>
  <c r="AP37" i="1"/>
  <c r="AO38" i="1"/>
  <c r="AL38" i="1"/>
  <c r="AM38" i="1"/>
  <c r="AK38" i="1"/>
  <c r="AN38" i="1"/>
  <c r="AP38" i="1"/>
  <c r="E35" i="2"/>
  <c r="AK41" i="1"/>
  <c r="AL41" i="1"/>
  <c r="AM41" i="1"/>
  <c r="AN41" i="1"/>
  <c r="AP41" i="1"/>
  <c r="AO41" i="1"/>
  <c r="K37" i="2"/>
  <c r="J37" i="2"/>
  <c r="F42" i="2"/>
  <c r="K42" i="2"/>
  <c r="J42" i="2"/>
  <c r="K32" i="2"/>
  <c r="J32" i="2"/>
  <c r="H29" i="2"/>
  <c r="H37" i="2"/>
  <c r="H36" i="2"/>
  <c r="H40" i="2"/>
  <c r="G36" i="2"/>
  <c r="H41" i="2"/>
  <c r="O41" i="2" s="1"/>
  <c r="G41" i="2"/>
  <c r="N41" i="2" s="1"/>
  <c r="L41" i="2" s="1"/>
  <c r="G40" i="2"/>
  <c r="H35" i="2"/>
  <c r="O35" i="2" s="1"/>
  <c r="G34" i="2"/>
  <c r="N34" i="2" s="1"/>
  <c r="L34" i="2" s="1"/>
  <c r="G44" i="2"/>
  <c r="H33" i="2"/>
  <c r="G35" i="2"/>
  <c r="H43" i="2"/>
  <c r="G33" i="2"/>
  <c r="H44" i="2"/>
  <c r="O44" i="2" s="1"/>
  <c r="G43" i="2"/>
  <c r="N43" i="2" s="1"/>
  <c r="L43" i="2" s="1"/>
  <c r="H42" i="2"/>
  <c r="O42" i="2" s="1"/>
  <c r="G32" i="2"/>
  <c r="N32" i="2" s="1"/>
  <c r="L32" i="2" s="1"/>
  <c r="H34" i="2"/>
  <c r="H32" i="2"/>
  <c r="G42" i="2"/>
  <c r="H45" i="2"/>
  <c r="H39" i="2"/>
  <c r="H31" i="2"/>
  <c r="G39" i="2"/>
  <c r="N39" i="2" s="1"/>
  <c r="L39" i="2" s="1"/>
  <c r="G31" i="2"/>
  <c r="H38" i="2"/>
  <c r="G29" i="2"/>
  <c r="G38" i="2"/>
  <c r="G30" i="2"/>
  <c r="G37" i="2"/>
  <c r="E32" i="2"/>
  <c r="F32" i="2"/>
  <c r="E36" i="2"/>
  <c r="F43" i="2"/>
  <c r="E29" i="2"/>
  <c r="F36" i="2"/>
  <c r="E45" i="2"/>
  <c r="N45" i="2" s="1"/>
  <c r="L45" i="2" s="1"/>
  <c r="F29" i="2"/>
  <c r="E38" i="2"/>
  <c r="F45" i="2"/>
  <c r="E39" i="2"/>
  <c r="F39" i="2"/>
  <c r="O30" i="2"/>
  <c r="E43" i="2"/>
  <c r="E31" i="2"/>
  <c r="F38" i="2"/>
  <c r="E41" i="2"/>
  <c r="F34" i="2"/>
  <c r="F31" i="2"/>
  <c r="E40" i="2"/>
  <c r="E33" i="2"/>
  <c r="F40" i="2"/>
  <c r="E42" i="2"/>
  <c r="E30" i="2"/>
  <c r="N40" i="2" l="1"/>
  <c r="L40" i="2" s="1"/>
  <c r="N42" i="2"/>
  <c r="L42" i="2" s="1"/>
  <c r="N37" i="2"/>
  <c r="L37" i="2" s="1"/>
  <c r="N33" i="2"/>
  <c r="L33" i="2" s="1"/>
  <c r="O40" i="2"/>
  <c r="N30" i="2"/>
  <c r="L30" i="2" s="1"/>
  <c r="N38" i="2"/>
  <c r="L38" i="2" s="1"/>
  <c r="N36" i="2"/>
  <c r="L36" i="2" s="1"/>
  <c r="N29" i="2"/>
  <c r="L29" i="2" s="1"/>
  <c r="O36" i="2"/>
  <c r="O37" i="2"/>
  <c r="N35" i="2"/>
  <c r="L35" i="2" s="1"/>
  <c r="O33" i="2"/>
  <c r="N31" i="2"/>
  <c r="L31" i="2" s="1"/>
  <c r="N44" i="2"/>
  <c r="L44" i="2" s="1"/>
  <c r="O29" i="2"/>
  <c r="O32" i="2"/>
  <c r="O45" i="2"/>
  <c r="O31" i="2"/>
  <c r="O43" i="2"/>
  <c r="O34" i="2"/>
  <c r="O38" i="2"/>
  <c r="O39" i="2"/>
  <c r="E62" i="1" l="1"/>
  <c r="E61" i="1"/>
  <c r="E60" i="1"/>
  <c r="E59" i="1"/>
  <c r="E58" i="1"/>
  <c r="E57" i="1"/>
  <c r="E56" i="1"/>
  <c r="E55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2" i="1"/>
  <c r="E31" i="1"/>
  <c r="E30" i="1"/>
  <c r="E29" i="1"/>
  <c r="E28" i="1"/>
  <c r="E27" i="1"/>
  <c r="E26" i="1"/>
  <c r="E25" i="1"/>
  <c r="E22" i="1"/>
  <c r="E21" i="1"/>
  <c r="E20" i="1"/>
  <c r="E19" i="1"/>
  <c r="E18" i="1"/>
  <c r="E17" i="1"/>
  <c r="E16" i="1"/>
  <c r="E15" i="1"/>
  <c r="K51" i="1" l="1"/>
  <c r="N51" i="1"/>
  <c r="L51" i="1"/>
  <c r="M51" i="1"/>
  <c r="N52" i="1"/>
  <c r="L52" i="1"/>
  <c r="M52" i="1"/>
  <c r="K52" i="1"/>
  <c r="N35" i="1"/>
  <c r="L35" i="1"/>
  <c r="M35" i="1"/>
  <c r="K35" i="1"/>
  <c r="M16" i="1"/>
  <c r="K16" i="1"/>
  <c r="L16" i="1"/>
  <c r="N16" i="1"/>
  <c r="M56" i="1"/>
  <c r="K56" i="1"/>
  <c r="L56" i="1"/>
  <c r="N56" i="1"/>
  <c r="M37" i="1"/>
  <c r="K37" i="1"/>
  <c r="N37" i="1"/>
  <c r="L37" i="1"/>
  <c r="L18" i="1"/>
  <c r="K18" i="1"/>
  <c r="M18" i="1"/>
  <c r="N18" i="1"/>
  <c r="N58" i="1"/>
  <c r="M58" i="1"/>
  <c r="K58" i="1"/>
  <c r="L58" i="1"/>
  <c r="K39" i="1"/>
  <c r="M39" i="1"/>
  <c r="N39" i="1"/>
  <c r="L39" i="1"/>
  <c r="M41" i="1"/>
  <c r="N41" i="1"/>
  <c r="L41" i="1"/>
  <c r="K41" i="1"/>
  <c r="L25" i="1"/>
  <c r="K25" i="1"/>
  <c r="N25" i="1"/>
  <c r="M25" i="1"/>
  <c r="N45" i="1"/>
  <c r="K45" i="1"/>
  <c r="L45" i="1"/>
  <c r="M45" i="1"/>
  <c r="M26" i="1"/>
  <c r="K26" i="1"/>
  <c r="L26" i="1"/>
  <c r="N26" i="1"/>
  <c r="M46" i="1"/>
  <c r="K46" i="1"/>
  <c r="L46" i="1"/>
  <c r="N46" i="1"/>
  <c r="N27" i="1"/>
  <c r="L27" i="1"/>
  <c r="M27" i="1"/>
  <c r="K27" i="1"/>
  <c r="M47" i="1"/>
  <c r="L47" i="1"/>
  <c r="N47" i="1"/>
  <c r="K47" i="1"/>
  <c r="K28" i="1"/>
  <c r="N28" i="1"/>
  <c r="L28" i="1"/>
  <c r="M28" i="1"/>
  <c r="L48" i="1"/>
  <c r="N48" i="1"/>
  <c r="M48" i="1"/>
  <c r="K48" i="1"/>
  <c r="L29" i="1"/>
  <c r="M29" i="1"/>
  <c r="N29" i="1"/>
  <c r="K29" i="1"/>
  <c r="N49" i="1"/>
  <c r="L49" i="1"/>
  <c r="M49" i="1"/>
  <c r="K49" i="1"/>
  <c r="K30" i="1"/>
  <c r="M30" i="1"/>
  <c r="N30" i="1"/>
  <c r="L30" i="1"/>
  <c r="M50" i="1"/>
  <c r="K50" i="1"/>
  <c r="N50" i="1"/>
  <c r="L50" i="1"/>
  <c r="M31" i="1"/>
  <c r="K31" i="1"/>
  <c r="N31" i="1"/>
  <c r="L31" i="1"/>
  <c r="N32" i="1"/>
  <c r="L32" i="1"/>
  <c r="M32" i="1"/>
  <c r="K32" i="1"/>
  <c r="N15" i="1"/>
  <c r="L15" i="1"/>
  <c r="K15" i="1"/>
  <c r="M15" i="1"/>
  <c r="L55" i="1"/>
  <c r="N55" i="1"/>
  <c r="M55" i="1"/>
  <c r="K55" i="1"/>
  <c r="M36" i="1"/>
  <c r="K36" i="1"/>
  <c r="N36" i="1"/>
  <c r="L36" i="1"/>
  <c r="N17" i="1"/>
  <c r="K17" i="1"/>
  <c r="L17" i="1"/>
  <c r="M17" i="1"/>
  <c r="M57" i="1"/>
  <c r="K57" i="1"/>
  <c r="N57" i="1"/>
  <c r="L57" i="1"/>
  <c r="N38" i="1"/>
  <c r="L38" i="1"/>
  <c r="M38" i="1"/>
  <c r="K38" i="1"/>
  <c r="N19" i="1"/>
  <c r="M19" i="1"/>
  <c r="L19" i="1"/>
  <c r="K19" i="1"/>
  <c r="M59" i="1"/>
  <c r="N59" i="1"/>
  <c r="L59" i="1"/>
  <c r="K59" i="1"/>
  <c r="L20" i="1"/>
  <c r="M20" i="1"/>
  <c r="N20" i="1"/>
  <c r="K20" i="1"/>
  <c r="L40" i="1"/>
  <c r="N40" i="1"/>
  <c r="M40" i="1"/>
  <c r="K40" i="1"/>
  <c r="N60" i="1"/>
  <c r="L60" i="1"/>
  <c r="M60" i="1"/>
  <c r="K60" i="1"/>
  <c r="K21" i="1"/>
  <c r="M21" i="1"/>
  <c r="N21" i="1"/>
  <c r="L21" i="1"/>
  <c r="M61" i="1"/>
  <c r="K61" i="1"/>
  <c r="N61" i="1"/>
  <c r="L61" i="1"/>
  <c r="L22" i="1"/>
  <c r="N22" i="1"/>
  <c r="M22" i="1"/>
  <c r="K22" i="1"/>
  <c r="N42" i="1"/>
  <c r="L42" i="1"/>
  <c r="M42" i="1"/>
  <c r="K42" i="1"/>
  <c r="N62" i="1"/>
  <c r="L62" i="1"/>
  <c r="M62" i="1"/>
  <c r="K62" i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E9" i="2" l="1"/>
  <c r="K9" i="2"/>
  <c r="J9" i="2"/>
  <c r="F12" i="2"/>
  <c r="K12" i="2"/>
  <c r="J12" i="2"/>
  <c r="E16" i="2"/>
  <c r="K16" i="2"/>
  <c r="J16" i="2"/>
  <c r="F17" i="2"/>
  <c r="K17" i="2"/>
  <c r="J17" i="2"/>
  <c r="F20" i="2"/>
  <c r="K20" i="2"/>
  <c r="J20" i="2"/>
  <c r="F21" i="2"/>
  <c r="O21" i="2" s="1"/>
  <c r="J21" i="2"/>
  <c r="K21" i="2"/>
  <c r="F13" i="2"/>
  <c r="K13" i="2"/>
  <c r="J13" i="2"/>
  <c r="F15" i="2"/>
  <c r="K15" i="2"/>
  <c r="J15" i="2"/>
  <c r="E22" i="2"/>
  <c r="J22" i="2"/>
  <c r="K22" i="2"/>
  <c r="F23" i="2"/>
  <c r="K23" i="2"/>
  <c r="J23" i="2"/>
  <c r="F10" i="2"/>
  <c r="O10" i="2" s="1"/>
  <c r="J10" i="2"/>
  <c r="K10" i="2"/>
  <c r="E11" i="2"/>
  <c r="K11" i="2"/>
  <c r="J11" i="2"/>
  <c r="E14" i="2"/>
  <c r="J14" i="2"/>
  <c r="K14" i="2"/>
  <c r="F18" i="2"/>
  <c r="K18" i="2"/>
  <c r="J18" i="2"/>
  <c r="E19" i="2"/>
  <c r="K19" i="2"/>
  <c r="J19" i="2"/>
  <c r="F8" i="2"/>
  <c r="K8" i="2"/>
  <c r="J8" i="2"/>
  <c r="F24" i="2"/>
  <c r="K24" i="2"/>
  <c r="J24" i="2"/>
  <c r="E13" i="2"/>
  <c r="N13" i="2" s="1"/>
  <c r="E18" i="2"/>
  <c r="F11" i="2"/>
  <c r="O11" i="2" s="1"/>
  <c r="E24" i="2"/>
  <c r="N24" i="2" s="1"/>
  <c r="F9" i="2"/>
  <c r="O9" i="2" s="1"/>
  <c r="F16" i="2"/>
  <c r="O16" i="2" s="1"/>
  <c r="E23" i="2"/>
  <c r="F14" i="2"/>
  <c r="O14" i="2" s="1"/>
  <c r="E10" i="2"/>
  <c r="F19" i="2"/>
  <c r="F22" i="2"/>
  <c r="O22" i="2" s="1"/>
  <c r="E15" i="2"/>
  <c r="N15" i="2" s="1"/>
  <c r="E20" i="2"/>
  <c r="N20" i="2" s="1"/>
  <c r="E21" i="2"/>
  <c r="N21" i="2" s="1"/>
  <c r="E12" i="2"/>
  <c r="E17" i="2"/>
  <c r="E8" i="2"/>
  <c r="N10" i="2" l="1"/>
  <c r="N23" i="2"/>
  <c r="O23" i="2"/>
  <c r="N16" i="2"/>
  <c r="L23" i="2"/>
  <c r="L17" i="2"/>
  <c r="O17" i="2"/>
  <c r="L15" i="2"/>
  <c r="O15" i="2"/>
  <c r="N14" i="2"/>
  <c r="L9" i="2"/>
  <c r="L10" i="2"/>
  <c r="O8" i="2"/>
  <c r="N22" i="2"/>
  <c r="L22" i="2" s="1"/>
  <c r="L13" i="2"/>
  <c r="N17" i="2"/>
  <c r="N11" i="2"/>
  <c r="L11" i="2" s="1"/>
  <c r="L20" i="2"/>
  <c r="O19" i="2"/>
  <c r="O20" i="2"/>
  <c r="N19" i="2"/>
  <c r="L19" i="2" s="1"/>
  <c r="L16" i="2"/>
  <c r="O18" i="2"/>
  <c r="L14" i="2"/>
  <c r="N18" i="2"/>
  <c r="L18" i="2" s="1"/>
  <c r="N8" i="2"/>
  <c r="L8" i="2" s="1"/>
  <c r="O12" i="2"/>
  <c r="L24" i="2"/>
  <c r="O13" i="2"/>
  <c r="N12" i="2"/>
  <c r="L12" i="2" s="1"/>
  <c r="O24" i="2"/>
  <c r="L21" i="2"/>
  <c r="N9" i="2"/>
  <c r="AJ23" i="1"/>
  <c r="AJ24" i="1"/>
  <c r="AJ25" i="1"/>
  <c r="AJ26" i="1"/>
  <c r="AJ27" i="1"/>
  <c r="AJ28" i="1"/>
  <c r="AJ29" i="1"/>
  <c r="AJ22" i="1"/>
  <c r="E6" i="1"/>
  <c r="E7" i="1"/>
  <c r="E8" i="1"/>
  <c r="E9" i="1"/>
  <c r="E10" i="1"/>
  <c r="E11" i="1"/>
  <c r="E12" i="1"/>
  <c r="E5" i="1"/>
  <c r="U6" i="1"/>
  <c r="U7" i="1"/>
  <c r="U8" i="1"/>
  <c r="U9" i="1"/>
  <c r="U10" i="1"/>
  <c r="U11" i="1"/>
  <c r="U12" i="1"/>
  <c r="U5" i="1"/>
  <c r="S62" i="1"/>
  <c r="R62" i="1"/>
  <c r="I62" i="1"/>
  <c r="J62" i="1"/>
  <c r="D62" i="1"/>
  <c r="S61" i="1"/>
  <c r="R61" i="1"/>
  <c r="I61" i="1"/>
  <c r="D61" i="1"/>
  <c r="S60" i="1"/>
  <c r="R60" i="1"/>
  <c r="I60" i="1"/>
  <c r="D60" i="1"/>
  <c r="S59" i="1"/>
  <c r="R59" i="1"/>
  <c r="I59" i="1"/>
  <c r="D59" i="1"/>
  <c r="S58" i="1"/>
  <c r="R58" i="1"/>
  <c r="J58" i="1"/>
  <c r="I58" i="1"/>
  <c r="D58" i="1"/>
  <c r="S57" i="1"/>
  <c r="R57" i="1"/>
  <c r="J57" i="1"/>
  <c r="D57" i="1"/>
  <c r="S56" i="1"/>
  <c r="R56" i="1"/>
  <c r="I56" i="1"/>
  <c r="D56" i="1"/>
  <c r="S55" i="1"/>
  <c r="R55" i="1"/>
  <c r="J55" i="1"/>
  <c r="D55" i="1"/>
  <c r="S52" i="1"/>
  <c r="R52" i="1"/>
  <c r="I52" i="1"/>
  <c r="J52" i="1"/>
  <c r="D52" i="1"/>
  <c r="S51" i="1"/>
  <c r="R51" i="1"/>
  <c r="I51" i="1"/>
  <c r="D51" i="1"/>
  <c r="S50" i="1"/>
  <c r="R50" i="1"/>
  <c r="J50" i="1"/>
  <c r="I50" i="1"/>
  <c r="D50" i="1"/>
  <c r="S49" i="1"/>
  <c r="R49" i="1"/>
  <c r="J49" i="1"/>
  <c r="D49" i="1"/>
  <c r="S48" i="1"/>
  <c r="R48" i="1"/>
  <c r="J48" i="1"/>
  <c r="I48" i="1"/>
  <c r="D48" i="1"/>
  <c r="S47" i="1"/>
  <c r="R47" i="1"/>
  <c r="J47" i="1"/>
  <c r="D47" i="1"/>
  <c r="S46" i="1"/>
  <c r="R46" i="1"/>
  <c r="I46" i="1"/>
  <c r="D46" i="1"/>
  <c r="S45" i="1"/>
  <c r="R45" i="1"/>
  <c r="J45" i="1"/>
  <c r="D45" i="1"/>
  <c r="AE6" i="1"/>
  <c r="AF6" i="1" s="1"/>
  <c r="AG6" i="1" s="1"/>
  <c r="AE7" i="1"/>
  <c r="AF7" i="1" s="1"/>
  <c r="AG7" i="1" s="1"/>
  <c r="AE8" i="1"/>
  <c r="AF8" i="1" s="1"/>
  <c r="AG8" i="1" s="1"/>
  <c r="AE9" i="1"/>
  <c r="AE10" i="1"/>
  <c r="AF9" i="1"/>
  <c r="AG9" i="1" s="1"/>
  <c r="AF10" i="1"/>
  <c r="AG10" i="1" s="1"/>
  <c r="AE5" i="1"/>
  <c r="AF5" i="1" s="1"/>
  <c r="AG5" i="1" s="1"/>
  <c r="S42" i="1"/>
  <c r="R42" i="1"/>
  <c r="J42" i="1"/>
  <c r="D42" i="1"/>
  <c r="S41" i="1"/>
  <c r="R41" i="1"/>
  <c r="J41" i="1"/>
  <c r="D41" i="1"/>
  <c r="S40" i="1"/>
  <c r="R40" i="1"/>
  <c r="J40" i="1"/>
  <c r="I40" i="1"/>
  <c r="D40" i="1"/>
  <c r="S39" i="1"/>
  <c r="R39" i="1"/>
  <c r="I39" i="1"/>
  <c r="D39" i="1"/>
  <c r="S38" i="1"/>
  <c r="R38" i="1"/>
  <c r="J38" i="1"/>
  <c r="I38" i="1"/>
  <c r="D38" i="1"/>
  <c r="S37" i="1"/>
  <c r="R37" i="1"/>
  <c r="I37" i="1"/>
  <c r="D37" i="1"/>
  <c r="S36" i="1"/>
  <c r="R36" i="1"/>
  <c r="J36" i="1"/>
  <c r="D36" i="1"/>
  <c r="S35" i="1"/>
  <c r="R35" i="1"/>
  <c r="J35" i="1"/>
  <c r="D35" i="1"/>
  <c r="S32" i="1"/>
  <c r="R32" i="1"/>
  <c r="I32" i="1"/>
  <c r="D32" i="1"/>
  <c r="S31" i="1"/>
  <c r="R31" i="1"/>
  <c r="I31" i="1"/>
  <c r="D31" i="1"/>
  <c r="S30" i="1"/>
  <c r="R30" i="1"/>
  <c r="I30" i="1"/>
  <c r="D30" i="1"/>
  <c r="S29" i="1"/>
  <c r="R29" i="1"/>
  <c r="J29" i="1"/>
  <c r="D29" i="1"/>
  <c r="S28" i="1"/>
  <c r="R28" i="1"/>
  <c r="J28" i="1"/>
  <c r="I28" i="1"/>
  <c r="D28" i="1"/>
  <c r="S27" i="1"/>
  <c r="R27" i="1"/>
  <c r="I27" i="1"/>
  <c r="D27" i="1"/>
  <c r="S26" i="1"/>
  <c r="R26" i="1"/>
  <c r="J26" i="1"/>
  <c r="D26" i="1"/>
  <c r="S25" i="1"/>
  <c r="R25" i="1"/>
  <c r="J25" i="1"/>
  <c r="D25" i="1"/>
  <c r="S22" i="1"/>
  <c r="R22" i="1"/>
  <c r="J22" i="1"/>
  <c r="D22" i="1"/>
  <c r="S21" i="1"/>
  <c r="R21" i="1"/>
  <c r="I21" i="1"/>
  <c r="D21" i="1"/>
  <c r="S20" i="1"/>
  <c r="R20" i="1"/>
  <c r="J20" i="1"/>
  <c r="D20" i="1"/>
  <c r="S19" i="1"/>
  <c r="R19" i="1"/>
  <c r="J19" i="1"/>
  <c r="D19" i="1"/>
  <c r="S18" i="1"/>
  <c r="R18" i="1"/>
  <c r="J18" i="1"/>
  <c r="I18" i="1"/>
  <c r="D18" i="1"/>
  <c r="S17" i="1"/>
  <c r="R17" i="1"/>
  <c r="J17" i="1"/>
  <c r="D17" i="1"/>
  <c r="S16" i="1"/>
  <c r="R16" i="1"/>
  <c r="I16" i="1"/>
  <c r="D16" i="1"/>
  <c r="S15" i="1"/>
  <c r="R15" i="1"/>
  <c r="I15" i="1"/>
  <c r="D15" i="1"/>
  <c r="D6" i="1"/>
  <c r="D7" i="1"/>
  <c r="D8" i="1"/>
  <c r="D9" i="1"/>
  <c r="D10" i="1"/>
  <c r="D11" i="1"/>
  <c r="D12" i="1"/>
  <c r="D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S5" i="1"/>
  <c r="R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  <c r="AK22" i="1" l="1"/>
  <c r="AM22" i="1"/>
  <c r="AN22" i="1"/>
  <c r="AO22" i="1"/>
  <c r="AL22" i="1"/>
  <c r="AP22" i="1"/>
  <c r="AL27" i="1"/>
  <c r="AK27" i="1"/>
  <c r="AM27" i="1"/>
  <c r="AN27" i="1"/>
  <c r="AO27" i="1"/>
  <c r="AP27" i="1"/>
  <c r="AK25" i="1"/>
  <c r="AN25" i="1"/>
  <c r="AP25" i="1"/>
  <c r="AL25" i="1"/>
  <c r="AM25" i="1"/>
  <c r="AO25" i="1"/>
  <c r="K6" i="1"/>
  <c r="L6" i="1"/>
  <c r="M6" i="1"/>
  <c r="N6" i="1"/>
  <c r="AK24" i="1"/>
  <c r="AN24" i="1"/>
  <c r="AP24" i="1"/>
  <c r="AM24" i="1"/>
  <c r="AL24" i="1"/>
  <c r="AO24" i="1"/>
  <c r="AO28" i="1"/>
  <c r="AP28" i="1"/>
  <c r="AK28" i="1"/>
  <c r="AL28" i="1"/>
  <c r="AM28" i="1"/>
  <c r="AN28" i="1"/>
  <c r="AL23" i="1"/>
  <c r="AM23" i="1"/>
  <c r="AN23" i="1"/>
  <c r="AO23" i="1"/>
  <c r="AP23" i="1"/>
  <c r="AK23" i="1"/>
  <c r="M5" i="1"/>
  <c r="K5" i="1"/>
  <c r="O5" i="1" s="1"/>
  <c r="L5" i="1"/>
  <c r="P5" i="1" s="1"/>
  <c r="N5" i="1"/>
  <c r="AP29" i="1"/>
  <c r="AK29" i="1"/>
  <c r="AL29" i="1"/>
  <c r="AM29" i="1"/>
  <c r="AN29" i="1"/>
  <c r="AO29" i="1"/>
  <c r="AL26" i="1"/>
  <c r="AM26" i="1"/>
  <c r="AO26" i="1"/>
  <c r="AN26" i="1"/>
  <c r="AP26" i="1"/>
  <c r="AK26" i="1"/>
  <c r="N11" i="1"/>
  <c r="M11" i="1"/>
  <c r="L11" i="1"/>
  <c r="P11" i="1" s="1"/>
  <c r="K11" i="1"/>
  <c r="O11" i="1" s="1"/>
  <c r="T12" i="1"/>
  <c r="V12" i="1" s="1"/>
  <c r="L10" i="1"/>
  <c r="P10" i="1" s="1"/>
  <c r="M10" i="1"/>
  <c r="O10" i="1" s="1"/>
  <c r="K10" i="1"/>
  <c r="N10" i="1"/>
  <c r="N9" i="1"/>
  <c r="M9" i="1"/>
  <c r="L9" i="1"/>
  <c r="K9" i="1"/>
  <c r="AI12" i="1"/>
  <c r="AH15" i="1"/>
  <c r="AI16" i="1"/>
  <c r="AI15" i="1"/>
  <c r="AH16" i="1"/>
  <c r="AH17" i="1"/>
  <c r="AI13" i="1"/>
  <c r="AI17" i="1"/>
  <c r="AH13" i="1"/>
  <c r="AH14" i="1"/>
  <c r="AI14" i="1"/>
  <c r="M8" i="1"/>
  <c r="K8" i="1"/>
  <c r="O8" i="1" s="1"/>
  <c r="N8" i="1"/>
  <c r="L8" i="1"/>
  <c r="P8" i="1" s="1"/>
  <c r="M12" i="1"/>
  <c r="L12" i="1"/>
  <c r="N12" i="1"/>
  <c r="K12" i="1"/>
  <c r="O12" i="1" s="1"/>
  <c r="L7" i="1"/>
  <c r="P7" i="1" s="1"/>
  <c r="M7" i="1"/>
  <c r="N7" i="1"/>
  <c r="K7" i="1"/>
  <c r="O7" i="1" s="1"/>
  <c r="T11" i="1"/>
  <c r="V11" i="1" s="1"/>
  <c r="O62" i="1"/>
  <c r="P62" i="1"/>
  <c r="T58" i="1"/>
  <c r="O58" i="1"/>
  <c r="P58" i="1"/>
  <c r="O50" i="1"/>
  <c r="P50" i="1"/>
  <c r="T48" i="1"/>
  <c r="O48" i="1"/>
  <c r="P48" i="1"/>
  <c r="P52" i="1"/>
  <c r="O52" i="1"/>
  <c r="T40" i="1"/>
  <c r="O40" i="1"/>
  <c r="P40" i="1"/>
  <c r="O38" i="1"/>
  <c r="P38" i="1"/>
  <c r="O28" i="1"/>
  <c r="P28" i="1"/>
  <c r="T18" i="1"/>
  <c r="P18" i="1"/>
  <c r="O18" i="1"/>
  <c r="T8" i="1"/>
  <c r="V8" i="1" s="1"/>
  <c r="T5" i="1"/>
  <c r="V5" i="1" s="1"/>
  <c r="T10" i="1"/>
  <c r="V10" i="1" s="1"/>
  <c r="P12" i="1"/>
  <c r="P9" i="1"/>
  <c r="O9" i="1"/>
  <c r="T9" i="1"/>
  <c r="V9" i="1" s="1"/>
  <c r="T7" i="1"/>
  <c r="V7" i="1" s="1"/>
  <c r="O6" i="1"/>
  <c r="P6" i="1"/>
  <c r="T6" i="1"/>
  <c r="V6" i="1" s="1"/>
  <c r="J30" i="1"/>
  <c r="P30" i="1" s="1"/>
  <c r="T62" i="1"/>
  <c r="J56" i="1"/>
  <c r="T56" i="1" s="1"/>
  <c r="I55" i="1"/>
  <c r="J59" i="1"/>
  <c r="T59" i="1" s="1"/>
  <c r="J61" i="1"/>
  <c r="T61" i="1" s="1"/>
  <c r="I57" i="1"/>
  <c r="J60" i="1"/>
  <c r="T60" i="1" s="1"/>
  <c r="T50" i="1"/>
  <c r="T52" i="1"/>
  <c r="I49" i="1"/>
  <c r="J51" i="1"/>
  <c r="T51" i="1" s="1"/>
  <c r="I47" i="1"/>
  <c r="J46" i="1"/>
  <c r="T46" i="1" s="1"/>
  <c r="I45" i="1"/>
  <c r="T38" i="1"/>
  <c r="I36" i="1"/>
  <c r="I41" i="1"/>
  <c r="I35" i="1"/>
  <c r="I42" i="1"/>
  <c r="J39" i="1"/>
  <c r="T39" i="1" s="1"/>
  <c r="J37" i="1"/>
  <c r="T37" i="1" s="1"/>
  <c r="T28" i="1"/>
  <c r="J27" i="1"/>
  <c r="T27" i="1" s="1"/>
  <c r="I25" i="1"/>
  <c r="J32" i="1"/>
  <c r="T32" i="1" s="1"/>
  <c r="I26" i="1"/>
  <c r="J31" i="1"/>
  <c r="T31" i="1" s="1"/>
  <c r="I29" i="1"/>
  <c r="J21" i="1"/>
  <c r="T21" i="1" s="1"/>
  <c r="J16" i="1"/>
  <c r="T16" i="1" s="1"/>
  <c r="J15" i="1"/>
  <c r="T15" i="1" s="1"/>
  <c r="I22" i="1"/>
  <c r="I20" i="1"/>
  <c r="I19" i="1"/>
  <c r="I17" i="1"/>
  <c r="AH18" i="1" l="1"/>
  <c r="AI18" i="1"/>
  <c r="T30" i="1"/>
  <c r="O61" i="1"/>
  <c r="T57" i="1"/>
  <c r="O57" i="1"/>
  <c r="P57" i="1"/>
  <c r="T55" i="1"/>
  <c r="P55" i="1"/>
  <c r="O55" i="1"/>
  <c r="P61" i="1"/>
  <c r="O56" i="1"/>
  <c r="P56" i="1"/>
  <c r="O60" i="1"/>
  <c r="P60" i="1"/>
  <c r="P59" i="1"/>
  <c r="O59" i="1"/>
  <c r="T45" i="1"/>
  <c r="P45" i="1"/>
  <c r="O45" i="1"/>
  <c r="T47" i="1"/>
  <c r="P47" i="1"/>
  <c r="O47" i="1"/>
  <c r="T49" i="1"/>
  <c r="P49" i="1"/>
  <c r="O49" i="1"/>
  <c r="P51" i="1"/>
  <c r="O51" i="1"/>
  <c r="P46" i="1"/>
  <c r="O46" i="1"/>
  <c r="O37" i="1"/>
  <c r="T35" i="1"/>
  <c r="P35" i="1"/>
  <c r="O35" i="1"/>
  <c r="O39" i="1"/>
  <c r="T42" i="1"/>
  <c r="O42" i="1"/>
  <c r="P42" i="1"/>
  <c r="P39" i="1"/>
  <c r="P37" i="1"/>
  <c r="T41" i="1"/>
  <c r="P41" i="1"/>
  <c r="O41" i="1"/>
  <c r="T36" i="1"/>
  <c r="O36" i="1"/>
  <c r="P36" i="1"/>
  <c r="T26" i="1"/>
  <c r="P26" i="1"/>
  <c r="O26" i="1"/>
  <c r="T25" i="1"/>
  <c r="P25" i="1"/>
  <c r="O25" i="1"/>
  <c r="P32" i="1"/>
  <c r="P31" i="1"/>
  <c r="O32" i="1"/>
  <c r="O31" i="1"/>
  <c r="O27" i="1"/>
  <c r="P27" i="1"/>
  <c r="O30" i="1"/>
  <c r="T29" i="1"/>
  <c r="O29" i="1"/>
  <c r="P29" i="1"/>
  <c r="P16" i="1"/>
  <c r="P15" i="1"/>
  <c r="T19" i="1"/>
  <c r="O19" i="1"/>
  <c r="P19" i="1"/>
  <c r="O16" i="1"/>
  <c r="T20" i="1"/>
  <c r="P20" i="1"/>
  <c r="O20" i="1"/>
  <c r="O21" i="1"/>
  <c r="O15" i="1"/>
  <c r="T17" i="1"/>
  <c r="P17" i="1"/>
  <c r="O17" i="1"/>
  <c r="T22" i="1"/>
  <c r="P22" i="1"/>
  <c r="O22" i="1"/>
  <c r="P21" i="1"/>
</calcChain>
</file>

<file path=xl/sharedStrings.xml><?xml version="1.0" encoding="utf-8"?>
<sst xmlns="http://schemas.openxmlformats.org/spreadsheetml/2006/main" count="157" uniqueCount="46">
  <si>
    <t>T</t>
  </si>
  <si>
    <t>Ci</t>
  </si>
  <si>
    <t>Cv</t>
  </si>
  <si>
    <t>Fdot</t>
  </si>
  <si>
    <t>scaling</t>
  </si>
  <si>
    <t>Di</t>
  </si>
  <si>
    <t>Dv</t>
  </si>
  <si>
    <t>D RED</t>
  </si>
  <si>
    <t>1/T</t>
  </si>
  <si>
    <t>Fdto</t>
  </si>
  <si>
    <t>T=600</t>
  </si>
  <si>
    <t>sqrt(Fdot)</t>
  </si>
  <si>
    <t>D/sqrtFdot</t>
  </si>
  <si>
    <t>sqrt(T)</t>
  </si>
  <si>
    <t>F</t>
  </si>
  <si>
    <t>1/kT</t>
  </si>
  <si>
    <t>DU</t>
  </si>
  <si>
    <t>Dmo</t>
  </si>
  <si>
    <t>This is for my Di and Dv, but not separated by species</t>
  </si>
  <si>
    <t>This is my Di, Dv, for U and Mo</t>
  </si>
  <si>
    <t>DiU</t>
  </si>
  <si>
    <t>DiMo</t>
  </si>
  <si>
    <t>DvU</t>
  </si>
  <si>
    <t>DvMo</t>
  </si>
  <si>
    <t>D RED U</t>
  </si>
  <si>
    <t>D RED Mo</t>
  </si>
  <si>
    <t>D U RED</t>
  </si>
  <si>
    <t>D Mo RED</t>
  </si>
  <si>
    <t>DU/sqrtFdot</t>
  </si>
  <si>
    <t>Dmo/sqrtFdot</t>
  </si>
  <si>
    <t>divide by diffusion</t>
  </si>
  <si>
    <t>U div by D</t>
  </si>
  <si>
    <t>Mo div by D</t>
  </si>
  <si>
    <t>DU RED</t>
  </si>
  <si>
    <t>Dmo RED</t>
  </si>
  <si>
    <t>D U Driv</t>
  </si>
  <si>
    <t>D Mo Driv</t>
  </si>
  <si>
    <t>U high</t>
  </si>
  <si>
    <t>U low</t>
  </si>
  <si>
    <t>Mo high</t>
  </si>
  <si>
    <t>Mo low</t>
  </si>
  <si>
    <t>1.38E-15*EXP(-0.412*AF54)</t>
  </si>
  <si>
    <t>(1.24E-13)*EXP(-0.675*AF55)</t>
  </si>
  <si>
    <t>(1.65E-16)*EXP(-0.313*AF56)</t>
  </si>
  <si>
    <t>(1.47E-14)*EXP(-0.575*AF57)</t>
  </si>
  <si>
    <t>fixed Kiv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</si>
</sst>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" fontId="0" fillId="0" borderId="0" xfId="0" applyNumberFormat="1"/>
    <xf numFmtId="164" fontId="0" fillId="0" borderId="0" xfId="0" applyNumberFormat="1"/>
    <xf numFmtId="1" fontId="1" fillId="0" borderId="0" xfId="0" applyNumberFormat="1" applyFon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data'!$D$5:$D$12</c:f>
              <c:numCache>
                <c:formatCode>General</c:formatCode>
                <c:ptCount val="8"/>
                <c:pt idx="0">
                  <c:v>1E-3</c:v>
                </c:pt>
                <c:pt idx="1">
                  <c:v>1.1111111111111111E-3</c:v>
                </c:pt>
                <c:pt idx="2">
                  <c:v>1.25E-3</c:v>
                </c:pt>
                <c:pt idx="3">
                  <c:v>1.4285714285714286E-3</c:v>
                </c:pt>
                <c:pt idx="4">
                  <c:v>1.6666666666666668E-3</c:v>
                </c:pt>
                <c:pt idx="5">
                  <c:v>2E-3</c:v>
                </c:pt>
                <c:pt idx="6">
                  <c:v>2.5000000000000001E-3</c:v>
                </c:pt>
                <c:pt idx="7">
                  <c:v>3.3333333333333335E-3</c:v>
                </c:pt>
              </c:numCache>
            </c:numRef>
          </c:xVal>
          <c:yVal>
            <c:numRef>
              <c:f>'RED data'!$I$5:$I$12</c:f>
              <c:numCache>
                <c:formatCode>General</c:formatCode>
                <c:ptCount val="8"/>
                <c:pt idx="0">
                  <c:v>2.33E-9</c:v>
                </c:pt>
                <c:pt idx="1">
                  <c:v>2.8199999999999998E-9</c:v>
                </c:pt>
                <c:pt idx="2">
                  <c:v>3.6599999999999998E-9</c:v>
                </c:pt>
                <c:pt idx="3">
                  <c:v>5.1199999999999997E-9</c:v>
                </c:pt>
                <c:pt idx="4">
                  <c:v>5.1000000000000002E-9</c:v>
                </c:pt>
                <c:pt idx="5">
                  <c:v>2.4899999999999999E-9</c:v>
                </c:pt>
                <c:pt idx="6">
                  <c:v>1.0699999999999998E-9</c:v>
                </c:pt>
                <c:pt idx="7">
                  <c:v>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8-7B41-9170-A8A8C6C3794D}"/>
            </c:ext>
          </c:extLst>
        </c:ser>
        <c:ser>
          <c:idx val="1"/>
          <c:order val="1"/>
          <c:tx>
            <c:v>Vacancy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data'!$D$5:$D$12</c:f>
              <c:numCache>
                <c:formatCode>General</c:formatCode>
                <c:ptCount val="8"/>
                <c:pt idx="0">
                  <c:v>1E-3</c:v>
                </c:pt>
                <c:pt idx="1">
                  <c:v>1.1111111111111111E-3</c:v>
                </c:pt>
                <c:pt idx="2">
                  <c:v>1.25E-3</c:v>
                </c:pt>
                <c:pt idx="3">
                  <c:v>1.4285714285714286E-3</c:v>
                </c:pt>
                <c:pt idx="4">
                  <c:v>1.6666666666666668E-3</c:v>
                </c:pt>
                <c:pt idx="5">
                  <c:v>2E-3</c:v>
                </c:pt>
                <c:pt idx="6">
                  <c:v>2.5000000000000001E-3</c:v>
                </c:pt>
                <c:pt idx="7">
                  <c:v>3.3333333333333335E-3</c:v>
                </c:pt>
              </c:numCache>
            </c:numRef>
          </c:xVal>
          <c:yVal>
            <c:numRef>
              <c:f>'RED data'!$J$5:$J$12</c:f>
              <c:numCache>
                <c:formatCode>General</c:formatCode>
                <c:ptCount val="8"/>
                <c:pt idx="0">
                  <c:v>1.7849999999999998E-8</c:v>
                </c:pt>
                <c:pt idx="1">
                  <c:v>2.5950000000000001E-8</c:v>
                </c:pt>
                <c:pt idx="2">
                  <c:v>4.2319999999999998E-8</c:v>
                </c:pt>
                <c:pt idx="3">
                  <c:v>7.9469999999999996E-8</c:v>
                </c:pt>
                <c:pt idx="4">
                  <c:v>1.1769999999999999E-7</c:v>
                </c:pt>
                <c:pt idx="5">
                  <c:v>9.9039999999999992E-8</c:v>
                </c:pt>
                <c:pt idx="6">
                  <c:v>9.6929999999999995E-8</c:v>
                </c:pt>
                <c:pt idx="7">
                  <c:v>1.3930000000000001E-7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8-7B41-9170-A8A8C6C37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  <c:min val="5.0000000000000012E-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1/T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  <c:majorUnit val="1.0000000000000002E-3"/>
      </c:valAx>
      <c:valAx>
        <c:axId val="2048176256"/>
        <c:scaling>
          <c:logBase val="10"/>
          <c:orientation val="minMax"/>
          <c:max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Defect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1693355746262069"/>
          <c:y val="0.34202018225982622"/>
          <c:w val="0.26107607335599903"/>
          <c:h val="0.158609739000016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diffusion'!$N$8:$N$24</c:f>
              <c:numCache>
                <c:formatCode>0.00E+00</c:formatCode>
                <c:ptCount val="17"/>
                <c:pt idx="0">
                  <c:v>1.3104839082405733E-20</c:v>
                </c:pt>
                <c:pt idx="1">
                  <c:v>1.3132193422791759E-20</c:v>
                </c:pt>
                <c:pt idx="2">
                  <c:v>1.3563919961021784E-20</c:v>
                </c:pt>
                <c:pt idx="3">
                  <c:v>1.7154705361437302E-20</c:v>
                </c:pt>
                <c:pt idx="4">
                  <c:v>3.6219145537344138E-20</c:v>
                </c:pt>
                <c:pt idx="5">
                  <c:v>1.0999368792024195E-19</c:v>
                </c:pt>
                <c:pt idx="6">
                  <c:v>3.4852855956380606E-19</c:v>
                </c:pt>
                <c:pt idx="7">
                  <c:v>1.160281697568143E-18</c:v>
                </c:pt>
                <c:pt idx="8">
                  <c:v>4.5078138539107189E-18</c:v>
                </c:pt>
                <c:pt idx="9">
                  <c:v>2.1875829851031814E-17</c:v>
                </c:pt>
                <c:pt idx="10">
                  <c:v>1.0879376689119925E-16</c:v>
                </c:pt>
                <c:pt idx="11">
                  <c:v>4.7565995146913681E-16</c:v>
                </c:pt>
                <c:pt idx="12">
                  <c:v>1.7929431086041893E-15</c:v>
                </c:pt>
                <c:pt idx="13">
                  <c:v>5.9034782222705276E-15</c:v>
                </c:pt>
                <c:pt idx="14">
                  <c:v>1.7278711444676757E-14</c:v>
                </c:pt>
                <c:pt idx="15">
                  <c:v>4.5678630532104535E-14</c:v>
                </c:pt>
                <c:pt idx="16">
                  <c:v>1.1056483373871155E-13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6-6246-A7E6-994D4E3ED1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diffusion'!$O$8:$O$24</c:f>
              <c:numCache>
                <c:formatCode>0.00E+00</c:formatCode>
                <c:ptCount val="17"/>
                <c:pt idx="0">
                  <c:v>1.3462148083195844E-20</c:v>
                </c:pt>
                <c:pt idx="1">
                  <c:v>1.3549831134524341E-20</c:v>
                </c:pt>
                <c:pt idx="2">
                  <c:v>1.4450007733636136E-20</c:v>
                </c:pt>
                <c:pt idx="3">
                  <c:v>1.9787359273233155E-20</c:v>
                </c:pt>
                <c:pt idx="4">
                  <c:v>4.1339723971148136E-20</c:v>
                </c:pt>
                <c:pt idx="5">
                  <c:v>1.0727185735003278E-19</c:v>
                </c:pt>
                <c:pt idx="6">
                  <c:v>2.7171132404747822E-19</c:v>
                </c:pt>
                <c:pt idx="7">
                  <c:v>6.2852023918606187E-19</c:v>
                </c:pt>
                <c:pt idx="8">
                  <c:v>1.2104238663082464E-18</c:v>
                </c:pt>
                <c:pt idx="9">
                  <c:v>2.4918489806380016E-18</c:v>
                </c:pt>
                <c:pt idx="10">
                  <c:v>8.3952402866156913E-18</c:v>
                </c:pt>
                <c:pt idx="11">
                  <c:v>3.6548571494391588E-17</c:v>
                </c:pt>
                <c:pt idx="12">
                  <c:v>1.541151162493853E-16</c:v>
                </c:pt>
                <c:pt idx="13">
                  <c:v>5.778300874038809E-16</c:v>
                </c:pt>
                <c:pt idx="14">
                  <c:v>1.9155401869646809E-15</c:v>
                </c:pt>
                <c:pt idx="15">
                  <c:v>5.6802338042929697E-15</c:v>
                </c:pt>
                <c:pt idx="16">
                  <c:v>1.5272168928829671E-14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6-6246-A7E6-994D4E3E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D-Intrin.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diffusion'!$E$8:$E$24</c:f>
              <c:numCache>
                <c:formatCode>0.00E+00</c:formatCode>
                <c:ptCount val="17"/>
                <c:pt idx="0">
                  <c:v>3.4705408214644281E-35</c:v>
                </c:pt>
                <c:pt idx="1">
                  <c:v>5.8106880250278615E-31</c:v>
                </c:pt>
                <c:pt idx="2">
                  <c:v>8.5526433130353248E-28</c:v>
                </c:pt>
                <c:pt idx="3">
                  <c:v>2.4888655014455689E-25</c:v>
                </c:pt>
                <c:pt idx="4">
                  <c:v>2.328746858810618E-23</c:v>
                </c:pt>
                <c:pt idx="5">
                  <c:v>9.5467934488159123E-22</c:v>
                </c:pt>
                <c:pt idx="6">
                  <c:v>2.1076746075887681E-20</c:v>
                </c:pt>
                <c:pt idx="7">
                  <c:v>2.8906044806447953E-19</c:v>
                </c:pt>
                <c:pt idx="8">
                  <c:v>2.7272111528144761E-18</c:v>
                </c:pt>
                <c:pt idx="9">
                  <c:v>1.9075891545134861E-17</c:v>
                </c:pt>
                <c:pt idx="10">
                  <c:v>1.0462974453130054E-16</c:v>
                </c:pt>
                <c:pt idx="11">
                  <c:v>4.6974727678085861E-16</c:v>
                </c:pt>
                <c:pt idx="12">
                  <c:v>1.7848663372505874E-15</c:v>
                </c:pt>
                <c:pt idx="13">
                  <c:v>5.8928001564541915E-15</c:v>
                </c:pt>
                <c:pt idx="14">
                  <c:v>1.726498183977496E-14</c:v>
                </c:pt>
                <c:pt idx="15">
                  <c:v>4.5661394009175083E-14</c:v>
                </c:pt>
                <c:pt idx="16">
                  <c:v>1.1054363669829378E-13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7-1146-9757-A6AC0E1DC012}"/>
            </c:ext>
          </c:extLst>
        </c:ser>
        <c:ser>
          <c:idx val="1"/>
          <c:order val="1"/>
          <c:tx>
            <c:v>D-RED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diffusion'!$J$8:$J$24</c:f>
              <c:numCache>
                <c:formatCode>0.00E+00</c:formatCode>
                <c:ptCount val="17"/>
                <c:pt idx="0">
                  <c:v>6.7241573903087365E-25</c:v>
                </c:pt>
                <c:pt idx="1">
                  <c:v>2.8026755544023039E-23</c:v>
                </c:pt>
                <c:pt idx="2">
                  <c:v>4.5975243909078641E-22</c:v>
                </c:pt>
                <c:pt idx="3">
                  <c:v>4.0502898082204914E-21</c:v>
                </c:pt>
                <c:pt idx="4">
                  <c:v>2.3091691402089365E-20</c:v>
                </c:pt>
                <c:pt idx="5">
                  <c:v>9.5934841908693688E-20</c:v>
                </c:pt>
                <c:pt idx="6">
                  <c:v>3.1434764682125171E-19</c:v>
                </c:pt>
                <c:pt idx="7">
                  <c:v>8.5811708283699691E-19</c:v>
                </c:pt>
                <c:pt idx="8">
                  <c:v>1.7674985344295757E-18</c:v>
                </c:pt>
                <c:pt idx="9">
                  <c:v>2.7868341392302871E-18</c:v>
                </c:pt>
                <c:pt idx="10">
                  <c:v>4.1509181932320377E-18</c:v>
                </c:pt>
                <c:pt idx="11">
                  <c:v>5.899570521611485E-18</c:v>
                </c:pt>
                <c:pt idx="12">
                  <c:v>8.0636671869350764E-18</c:v>
                </c:pt>
                <c:pt idx="13">
                  <c:v>1.066496164966946E-17</c:v>
                </c:pt>
                <c:pt idx="14">
                  <c:v>1.3716500735131444E-17</c:v>
                </c:pt>
                <c:pt idx="15">
                  <c:v>1.7223418762781473E-17</c:v>
                </c:pt>
                <c:pt idx="16">
                  <c:v>2.1183936251098529E-17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77-1146-9757-A6AC0E1DC012}"/>
            </c:ext>
          </c:extLst>
        </c:ser>
        <c:ser>
          <c:idx val="2"/>
          <c:order val="2"/>
          <c:tx>
            <c:v>D-Rad. Driv.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diffusion'!$G$8:$G$24</c:f>
              <c:numCache>
                <c:formatCode>0.00E+00</c:formatCode>
                <c:ptCount val="17"/>
                <c:pt idx="0">
                  <c:v>1.3104166666666667E-20</c:v>
                </c:pt>
                <c:pt idx="1">
                  <c:v>1.3104166666666667E-20</c:v>
                </c:pt>
                <c:pt idx="2">
                  <c:v>1.3104166666666667E-20</c:v>
                </c:pt>
                <c:pt idx="3">
                  <c:v>1.3104166666666667E-20</c:v>
                </c:pt>
                <c:pt idx="4">
                  <c:v>1.3104166666666667E-20</c:v>
                </c:pt>
                <c:pt idx="5">
                  <c:v>1.3104166666666667E-20</c:v>
                </c:pt>
                <c:pt idx="6">
                  <c:v>1.3104166666666667E-20</c:v>
                </c:pt>
                <c:pt idx="7">
                  <c:v>1.3104166666666667E-20</c:v>
                </c:pt>
                <c:pt idx="8">
                  <c:v>1.3104166666666667E-20</c:v>
                </c:pt>
                <c:pt idx="9">
                  <c:v>1.3104166666666667E-20</c:v>
                </c:pt>
                <c:pt idx="10">
                  <c:v>1.3104166666666667E-20</c:v>
                </c:pt>
                <c:pt idx="11">
                  <c:v>1.3104166666666667E-20</c:v>
                </c:pt>
                <c:pt idx="12">
                  <c:v>1.3104166666666667E-20</c:v>
                </c:pt>
                <c:pt idx="13">
                  <c:v>1.3104166666666667E-20</c:v>
                </c:pt>
                <c:pt idx="14">
                  <c:v>1.3104166666666667E-20</c:v>
                </c:pt>
                <c:pt idx="15">
                  <c:v>1.3104166666666667E-20</c:v>
                </c:pt>
                <c:pt idx="16">
                  <c:v>1.3104166666666667E-20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77-1146-9757-A6AC0E1D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8489628020635349"/>
          <c:y val="0.53271201206232199"/>
          <c:w val="0.27372440944881887"/>
          <c:h val="0.257980231194504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diffusion'!$F$8:$F$24</c:f>
              <c:numCache>
                <c:formatCode>General</c:formatCode>
                <c:ptCount val="17"/>
                <c:pt idx="0">
                  <c:v>1.302698325798746E-38</c:v>
                </c:pt>
                <c:pt idx="1">
                  <c:v>6.9607176975612092E-34</c:v>
                </c:pt>
                <c:pt idx="2">
                  <c:v>2.4463108689330224E-30</c:v>
                </c:pt>
                <c:pt idx="3">
                  <c:v>1.4008799134186587E-27</c:v>
                </c:pt>
                <c:pt idx="4">
                  <c:v>2.2527464751003093E-25</c:v>
                </c:pt>
                <c:pt idx="5">
                  <c:v>1.4383884935508383E-23</c:v>
                </c:pt>
                <c:pt idx="6">
                  <c:v>4.5938777604481041E-22</c:v>
                </c:pt>
                <c:pt idx="7">
                  <c:v>8.6109566414880778E-21</c:v>
                </c:pt>
                <c:pt idx="8">
                  <c:v>1.0619021927677313E-19</c:v>
                </c:pt>
                <c:pt idx="9">
                  <c:v>9.3679928528132065E-19</c:v>
                </c:pt>
                <c:pt idx="10">
                  <c:v>6.2952550446121691E-18</c:v>
                </c:pt>
                <c:pt idx="11">
                  <c:v>3.3809818595059303E-17</c:v>
                </c:pt>
                <c:pt idx="12">
                  <c:v>1.5064612373832348E-16</c:v>
                </c:pt>
                <c:pt idx="13">
                  <c:v>5.7354332181351287E-16</c:v>
                </c:pt>
                <c:pt idx="14">
                  <c:v>1.9103531845348653E-15</c:v>
                </c:pt>
                <c:pt idx="15">
                  <c:v>5.6740699207894E-15</c:v>
                </c:pt>
                <c:pt idx="16">
                  <c:v>1.5264957777708914E-14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1-BA46-BFA7-78534A3450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diffusion'!$K$8:$K$24</c:f>
              <c:numCache>
                <c:formatCode>0.00E+00</c:formatCode>
                <c:ptCount val="17"/>
                <c:pt idx="0">
                  <c:v>3.8147498625098711E-24</c:v>
                </c:pt>
                <c:pt idx="1">
                  <c:v>9.1497801190309543E-23</c:v>
                </c:pt>
                <c:pt idx="2">
                  <c:v>9.9167439785649209E-22</c:v>
                </c:pt>
                <c:pt idx="3">
                  <c:v>6.3290245390199085E-21</c:v>
                </c:pt>
                <c:pt idx="4">
                  <c:v>2.7881165363167295E-20</c:v>
                </c:pt>
                <c:pt idx="5">
                  <c:v>9.3799140131763943E-20</c:v>
                </c:pt>
                <c:pt idx="6">
                  <c:v>2.5779360293810008E-19</c:v>
                </c:pt>
                <c:pt idx="7">
                  <c:v>6.0645094921124043E-19</c:v>
                </c:pt>
                <c:pt idx="8">
                  <c:v>1.0907753136981399E-18</c:v>
                </c:pt>
                <c:pt idx="9">
                  <c:v>1.5415913620233476E-18</c:v>
                </c:pt>
                <c:pt idx="10">
                  <c:v>2.0865269086701891E-18</c:v>
                </c:pt>
                <c:pt idx="11">
                  <c:v>2.7252945659989507E-18</c:v>
                </c:pt>
                <c:pt idx="12">
                  <c:v>3.4555341777284859E-18</c:v>
                </c:pt>
                <c:pt idx="13">
                  <c:v>4.2733072570346734E-18</c:v>
                </c:pt>
                <c:pt idx="14">
                  <c:v>5.1735440964823251E-18</c:v>
                </c:pt>
                <c:pt idx="15">
                  <c:v>6.1504251702362428E-18</c:v>
                </c:pt>
                <c:pt idx="16">
                  <c:v>7.1976927874235582E-18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1-BA46-BFA7-78534A3450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diffusion'!$H$8:$H$24</c:f>
              <c:numCache>
                <c:formatCode>0.00E+00</c:formatCode>
                <c:ptCount val="17"/>
                <c:pt idx="0">
                  <c:v>1.3458333333333334E-20</c:v>
                </c:pt>
                <c:pt idx="1">
                  <c:v>1.3458333333333334E-20</c:v>
                </c:pt>
                <c:pt idx="2">
                  <c:v>1.3458333333333334E-20</c:v>
                </c:pt>
                <c:pt idx="3">
                  <c:v>1.3458333333333334E-20</c:v>
                </c:pt>
                <c:pt idx="4">
                  <c:v>1.3458333333333334E-20</c:v>
                </c:pt>
                <c:pt idx="5">
                  <c:v>1.3458333333333334E-20</c:v>
                </c:pt>
                <c:pt idx="6">
                  <c:v>1.3458333333333334E-20</c:v>
                </c:pt>
                <c:pt idx="7">
                  <c:v>1.3458333333333334E-20</c:v>
                </c:pt>
                <c:pt idx="8">
                  <c:v>1.3458333333333334E-20</c:v>
                </c:pt>
                <c:pt idx="9">
                  <c:v>1.3458333333333334E-20</c:v>
                </c:pt>
                <c:pt idx="10">
                  <c:v>1.3458333333333334E-20</c:v>
                </c:pt>
                <c:pt idx="11">
                  <c:v>1.3458333333333334E-20</c:v>
                </c:pt>
                <c:pt idx="12">
                  <c:v>1.3458333333333334E-20</c:v>
                </c:pt>
                <c:pt idx="13">
                  <c:v>1.3458333333333334E-20</c:v>
                </c:pt>
                <c:pt idx="14">
                  <c:v>1.3458333333333334E-20</c:v>
                </c:pt>
                <c:pt idx="15">
                  <c:v>1.3458333333333334E-20</c:v>
                </c:pt>
                <c:pt idx="16">
                  <c:v>1.3458333333333334E-20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1-BA46-BFA7-78534A34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diffusion'!$D$29:$D$45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diffusion'!$N$29:$N$45</c:f>
              <c:numCache>
                <c:formatCode>0.00E+00</c:formatCode>
                <c:ptCount val="17"/>
                <c:pt idx="0">
                  <c:v>1.3110890824060445E-22</c:v>
                </c:pt>
                <c:pt idx="1">
                  <c:v>1.3384434280213777E-22</c:v>
                </c:pt>
                <c:pt idx="2">
                  <c:v>1.770177658400766E-22</c:v>
                </c:pt>
                <c:pt idx="3">
                  <c:v>5.363195340388603E-22</c:v>
                </c:pt>
                <c:pt idx="4">
                  <c:v>2.4634982754637094E-21</c:v>
                </c:pt>
                <c:pt idx="5">
                  <c:v>1.0679205202417626E-20</c:v>
                </c:pt>
                <c:pt idx="6">
                  <c:v>5.2642552424679519E-20</c:v>
                </c:pt>
                <c:pt idx="7">
                  <c:v>3.750031980148459E-19</c:v>
                </c:pt>
                <c:pt idx="8">
                  <c:v>2.9040920479241003E-18</c:v>
                </c:pt>
                <c:pt idx="9">
                  <c:v>1.9354706000724557E-17</c:v>
                </c:pt>
                <c:pt idx="10">
                  <c:v>1.0504496739229042E-16</c:v>
                </c:pt>
                <c:pt idx="11">
                  <c:v>4.7033736487468644E-16</c:v>
                </c:pt>
                <c:pt idx="12">
                  <c:v>1.7856728350109478E-15</c:v>
                </c:pt>
                <c:pt idx="13">
                  <c:v>5.8938667836608245E-15</c:v>
                </c:pt>
                <c:pt idx="14">
                  <c:v>1.726635362089014E-14</c:v>
                </c:pt>
                <c:pt idx="15">
                  <c:v>4.566311648209303E-14</c:v>
                </c:pt>
                <c:pt idx="16">
                  <c:v>1.1054575522296055E-13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C-9E42-BEBA-586FF625A7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diffusion'!$D$29:$D$45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diffusion'!$O$29:$O$45</c:f>
              <c:numCache>
                <c:formatCode>0.00E+00</c:formatCode>
                <c:ptCount val="17"/>
                <c:pt idx="0">
                  <c:v>1.3496480831958434E-22</c:v>
                </c:pt>
                <c:pt idx="1">
                  <c:v>1.4373311345306038E-22</c:v>
                </c:pt>
                <c:pt idx="2">
                  <c:v>2.3375077556529344E-22</c:v>
                </c:pt>
                <c:pt idx="3">
                  <c:v>7.6748718811523761E-22</c:v>
                </c:pt>
                <c:pt idx="4">
                  <c:v>2.9229251442975726E-21</c:v>
                </c:pt>
                <c:pt idx="5">
                  <c:v>9.5288812314452344E-21</c:v>
                </c:pt>
                <c:pt idx="6">
                  <c:v>2.637333140318815E-20</c:v>
                </c:pt>
                <c:pt idx="7">
                  <c:v>6.9390634895945451E-20</c:v>
                </c:pt>
                <c:pt idx="8">
                  <c:v>2.1540233397992046E-19</c:v>
                </c:pt>
                <c:pt idx="9">
                  <c:v>1.0910930048169887E-18</c:v>
                </c:pt>
                <c:pt idx="10">
                  <c:v>6.5040423188125209E-18</c:v>
                </c:pt>
                <c:pt idx="11">
                  <c:v>3.4082482634992529E-17</c:v>
                </c:pt>
                <c:pt idx="12">
                  <c:v>1.5099181173942965E-16</c:v>
                </c:pt>
                <c:pt idx="13">
                  <c:v>5.7397078712254967E-16</c:v>
                </c:pt>
                <c:pt idx="14">
                  <c:v>1.9108706735278472E-15</c:v>
                </c:pt>
                <c:pt idx="15">
                  <c:v>5.6746850978897569E-15</c:v>
                </c:pt>
                <c:pt idx="16">
                  <c:v>1.5265677681570991E-14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C-9E42-BEBA-586FF625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2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diffusion'!$E$29:$E$45</c:f>
              <c:numCache>
                <c:formatCode>0.00E+00</c:formatCode>
                <c:ptCount val="17"/>
                <c:pt idx="0">
                  <c:v>3.4705408214644281E-35</c:v>
                </c:pt>
                <c:pt idx="1">
                  <c:v>5.8106880250278615E-31</c:v>
                </c:pt>
                <c:pt idx="2">
                  <c:v>8.5526433130353248E-28</c:v>
                </c:pt>
                <c:pt idx="3">
                  <c:v>2.4888655014455689E-25</c:v>
                </c:pt>
                <c:pt idx="4">
                  <c:v>2.328746858810618E-23</c:v>
                </c:pt>
                <c:pt idx="5">
                  <c:v>9.5467934488159123E-22</c:v>
                </c:pt>
                <c:pt idx="6">
                  <c:v>2.1076746075887681E-20</c:v>
                </c:pt>
                <c:pt idx="7">
                  <c:v>2.8906044806447953E-19</c:v>
                </c:pt>
                <c:pt idx="8">
                  <c:v>2.7272111528144761E-18</c:v>
                </c:pt>
                <c:pt idx="9">
                  <c:v>1.9075891545134861E-17</c:v>
                </c:pt>
                <c:pt idx="10">
                  <c:v>1.0462974453130054E-16</c:v>
                </c:pt>
                <c:pt idx="11">
                  <c:v>4.6974727678085861E-16</c:v>
                </c:pt>
                <c:pt idx="12">
                  <c:v>1.7848663372505874E-15</c:v>
                </c:pt>
                <c:pt idx="13">
                  <c:v>5.8928001564541915E-15</c:v>
                </c:pt>
                <c:pt idx="14">
                  <c:v>1.726498183977496E-14</c:v>
                </c:pt>
                <c:pt idx="15">
                  <c:v>4.5661394009175083E-14</c:v>
                </c:pt>
                <c:pt idx="16">
                  <c:v>1.1054363669829378E-13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1-AC46-B607-1D0BD3600E5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diffusion'!$J$29:$J$45</c:f>
              <c:numCache>
                <c:formatCode>0.00E+00</c:formatCode>
                <c:ptCount val="17"/>
                <c:pt idx="0">
                  <c:v>6.724157390308736E-26</c:v>
                </c:pt>
                <c:pt idx="1">
                  <c:v>2.8026755544023042E-24</c:v>
                </c:pt>
                <c:pt idx="2">
                  <c:v>4.5975243909078637E-23</c:v>
                </c:pt>
                <c:pt idx="3">
                  <c:v>4.0502898082204914E-22</c:v>
                </c:pt>
                <c:pt idx="4">
                  <c:v>2.3091691402089365E-21</c:v>
                </c:pt>
                <c:pt idx="5">
                  <c:v>9.5934841908693685E-21</c:v>
                </c:pt>
                <c:pt idx="6">
                  <c:v>3.1434764682125169E-20</c:v>
                </c:pt>
                <c:pt idx="7">
                  <c:v>8.5811708283699688E-20</c:v>
                </c:pt>
                <c:pt idx="8">
                  <c:v>1.7674985344295759E-19</c:v>
                </c:pt>
                <c:pt idx="9">
                  <c:v>2.7868341392302871E-19</c:v>
                </c:pt>
                <c:pt idx="10">
                  <c:v>4.1509181932320373E-19</c:v>
                </c:pt>
                <c:pt idx="11">
                  <c:v>5.8995705216114844E-19</c:v>
                </c:pt>
                <c:pt idx="12">
                  <c:v>8.0636671869350759E-19</c:v>
                </c:pt>
                <c:pt idx="13">
                  <c:v>1.066496164966946E-18</c:v>
                </c:pt>
                <c:pt idx="14">
                  <c:v>1.3716500735131442E-18</c:v>
                </c:pt>
                <c:pt idx="15">
                  <c:v>1.7223418762781473E-18</c:v>
                </c:pt>
                <c:pt idx="16">
                  <c:v>2.1183936251098528E-18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71-AC46-B607-1D0BD3600E5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diffusion'!$G$29:$G$45</c:f>
              <c:numCache>
                <c:formatCode>0.00E+00</c:formatCode>
                <c:ptCount val="17"/>
                <c:pt idx="0">
                  <c:v>1.3104166666666666E-22</c:v>
                </c:pt>
                <c:pt idx="1">
                  <c:v>1.3104166666666666E-22</c:v>
                </c:pt>
                <c:pt idx="2">
                  <c:v>1.3104166666666666E-22</c:v>
                </c:pt>
                <c:pt idx="3">
                  <c:v>1.3104166666666666E-22</c:v>
                </c:pt>
                <c:pt idx="4">
                  <c:v>1.3104166666666666E-22</c:v>
                </c:pt>
                <c:pt idx="5">
                  <c:v>1.3104166666666666E-22</c:v>
                </c:pt>
                <c:pt idx="6">
                  <c:v>1.3104166666666666E-22</c:v>
                </c:pt>
                <c:pt idx="7">
                  <c:v>1.3104166666666666E-22</c:v>
                </c:pt>
                <c:pt idx="8">
                  <c:v>1.3104166666666666E-22</c:v>
                </c:pt>
                <c:pt idx="9">
                  <c:v>1.3104166666666666E-22</c:v>
                </c:pt>
                <c:pt idx="10">
                  <c:v>1.3104166666666666E-22</c:v>
                </c:pt>
                <c:pt idx="11">
                  <c:v>1.3104166666666666E-22</c:v>
                </c:pt>
                <c:pt idx="12">
                  <c:v>1.3104166666666666E-22</c:v>
                </c:pt>
                <c:pt idx="13">
                  <c:v>1.3104166666666666E-22</c:v>
                </c:pt>
                <c:pt idx="14">
                  <c:v>1.3104166666666666E-22</c:v>
                </c:pt>
                <c:pt idx="15">
                  <c:v>1.3104166666666666E-22</c:v>
                </c:pt>
                <c:pt idx="16">
                  <c:v>1.3104166666666666E-22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1-AC46-B607-1D0BD3600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  <c:max val="1.0000000000000006E-11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diffusion'!$F$29:$F$45</c:f>
              <c:numCache>
                <c:formatCode>General</c:formatCode>
                <c:ptCount val="17"/>
                <c:pt idx="0">
                  <c:v>1.302698325798746E-38</c:v>
                </c:pt>
                <c:pt idx="1">
                  <c:v>6.9607176975612092E-34</c:v>
                </c:pt>
                <c:pt idx="2">
                  <c:v>2.4463108689330224E-30</c:v>
                </c:pt>
                <c:pt idx="3">
                  <c:v>1.4008799134186587E-27</c:v>
                </c:pt>
                <c:pt idx="4">
                  <c:v>2.2527464751003093E-25</c:v>
                </c:pt>
                <c:pt idx="5">
                  <c:v>1.4383884935508383E-23</c:v>
                </c:pt>
                <c:pt idx="6">
                  <c:v>4.5938777604481041E-22</c:v>
                </c:pt>
                <c:pt idx="7">
                  <c:v>8.6109566414880778E-21</c:v>
                </c:pt>
                <c:pt idx="8">
                  <c:v>1.0619021927677313E-19</c:v>
                </c:pt>
                <c:pt idx="9">
                  <c:v>9.3679928528132065E-19</c:v>
                </c:pt>
                <c:pt idx="10">
                  <c:v>6.2952550446121691E-18</c:v>
                </c:pt>
                <c:pt idx="11">
                  <c:v>3.3809818595059303E-17</c:v>
                </c:pt>
                <c:pt idx="12">
                  <c:v>1.5064612373832348E-16</c:v>
                </c:pt>
                <c:pt idx="13">
                  <c:v>5.7354332181351287E-16</c:v>
                </c:pt>
                <c:pt idx="14">
                  <c:v>1.9103531845348653E-15</c:v>
                </c:pt>
                <c:pt idx="15">
                  <c:v>5.6740699207894E-15</c:v>
                </c:pt>
                <c:pt idx="16">
                  <c:v>1.5264957777708914E-14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34-A740-9324-151290E2AE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diffusion'!$K$29:$K$45</c:f>
              <c:numCache>
                <c:formatCode>0.00E+00</c:formatCode>
                <c:ptCount val="17"/>
                <c:pt idx="0">
                  <c:v>3.8147498625098704E-25</c:v>
                </c:pt>
                <c:pt idx="1">
                  <c:v>9.1497801190309537E-24</c:v>
                </c:pt>
                <c:pt idx="2">
                  <c:v>9.9167439785649211E-23</c:v>
                </c:pt>
                <c:pt idx="3">
                  <c:v>6.3290245390199083E-22</c:v>
                </c:pt>
                <c:pt idx="4">
                  <c:v>2.7881165363167292E-21</c:v>
                </c:pt>
                <c:pt idx="5">
                  <c:v>9.3799140131763931E-21</c:v>
                </c:pt>
                <c:pt idx="6">
                  <c:v>2.5779360293810007E-20</c:v>
                </c:pt>
                <c:pt idx="7">
                  <c:v>6.0645094921124046E-20</c:v>
                </c:pt>
                <c:pt idx="8">
                  <c:v>1.0907753136981398E-19</c:v>
                </c:pt>
                <c:pt idx="9">
                  <c:v>1.5415913620233476E-19</c:v>
                </c:pt>
                <c:pt idx="10">
                  <c:v>2.086526908670189E-19</c:v>
                </c:pt>
                <c:pt idx="11">
                  <c:v>2.7252945659989506E-19</c:v>
                </c:pt>
                <c:pt idx="12">
                  <c:v>3.4555341777284857E-19</c:v>
                </c:pt>
                <c:pt idx="13">
                  <c:v>4.2733072570346732E-19</c:v>
                </c:pt>
                <c:pt idx="14">
                  <c:v>5.1735440964823251E-19</c:v>
                </c:pt>
                <c:pt idx="15">
                  <c:v>6.1504251702362426E-19</c:v>
                </c:pt>
                <c:pt idx="16">
                  <c:v>7.1976927874235576E-19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34-A740-9324-151290E2AE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diffusion'!$D$8:$D$24</c:f>
              <c:numCache>
                <c:formatCode>0.000</c:formatCode>
                <c:ptCount val="17"/>
                <c:pt idx="0">
                  <c:v>38.681876380459464</c:v>
                </c:pt>
                <c:pt idx="1">
                  <c:v>33.155894040393825</c:v>
                </c:pt>
                <c:pt idx="2">
                  <c:v>29.0114072853446</c:v>
                </c:pt>
                <c:pt idx="3">
                  <c:v>25.787917586972974</c:v>
                </c:pt>
                <c:pt idx="4">
                  <c:v>23.209125828275678</c:v>
                </c:pt>
                <c:pt idx="5">
                  <c:v>21.099205298432434</c:v>
                </c:pt>
                <c:pt idx="6">
                  <c:v>19.340938190229732</c:v>
                </c:pt>
                <c:pt idx="7">
                  <c:v>17.853173714058212</c:v>
                </c:pt>
                <c:pt idx="8">
                  <c:v>16.577947020196913</c:v>
                </c:pt>
                <c:pt idx="9">
                  <c:v>15.472750552183786</c:v>
                </c:pt>
                <c:pt idx="10">
                  <c:v>14.5057036426723</c:v>
                </c:pt>
                <c:pt idx="11">
                  <c:v>13.652426957809221</c:v>
                </c:pt>
                <c:pt idx="12">
                  <c:v>12.893958793486487</c:v>
                </c:pt>
                <c:pt idx="13">
                  <c:v>12.215329383302988</c:v>
                </c:pt>
                <c:pt idx="14">
                  <c:v>11.604562914137839</c:v>
                </c:pt>
                <c:pt idx="15">
                  <c:v>11.051964680131276</c:v>
                </c:pt>
                <c:pt idx="16">
                  <c:v>10.549602649216217</c:v>
                </c:pt>
              </c:numCache>
            </c:numRef>
          </c:xVal>
          <c:yVal>
            <c:numRef>
              <c:f>'total diffusion'!$H$29:$H$45</c:f>
              <c:numCache>
                <c:formatCode>0.00E+00</c:formatCode>
                <c:ptCount val="17"/>
                <c:pt idx="0">
                  <c:v>1.3458333333333334E-22</c:v>
                </c:pt>
                <c:pt idx="1">
                  <c:v>1.3458333333333334E-22</c:v>
                </c:pt>
                <c:pt idx="2">
                  <c:v>1.3458333333333334E-22</c:v>
                </c:pt>
                <c:pt idx="3">
                  <c:v>1.3458333333333334E-22</c:v>
                </c:pt>
                <c:pt idx="4">
                  <c:v>1.3458333333333334E-22</c:v>
                </c:pt>
                <c:pt idx="5">
                  <c:v>1.3458333333333334E-22</c:v>
                </c:pt>
                <c:pt idx="6">
                  <c:v>1.3458333333333334E-22</c:v>
                </c:pt>
                <c:pt idx="7">
                  <c:v>1.3458333333333334E-22</c:v>
                </c:pt>
                <c:pt idx="8">
                  <c:v>1.3458333333333334E-22</c:v>
                </c:pt>
                <c:pt idx="9">
                  <c:v>1.3458333333333334E-22</c:v>
                </c:pt>
                <c:pt idx="10">
                  <c:v>1.3458333333333334E-22</c:v>
                </c:pt>
                <c:pt idx="11">
                  <c:v>1.3458333333333334E-22</c:v>
                </c:pt>
                <c:pt idx="12">
                  <c:v>1.3458333333333334E-22</c:v>
                </c:pt>
                <c:pt idx="13">
                  <c:v>1.3458333333333334E-22</c:v>
                </c:pt>
                <c:pt idx="14">
                  <c:v>1.3458333333333334E-22</c:v>
                </c:pt>
                <c:pt idx="15">
                  <c:v>1.3458333333333334E-22</c:v>
                </c:pt>
                <c:pt idx="16">
                  <c:v>1.3458333333333334E-22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34-A740-9324-151290E2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96591"/>
        <c:axId val="553564799"/>
      </c:scatterChart>
      <c:valAx>
        <c:axId val="1479196591"/>
        <c:scaling>
          <c:orientation val="minMax"/>
        </c:scaling>
        <c:delete val="0"/>
        <c:axPos val="b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64799"/>
        <c:crosses val="autoZero"/>
        <c:crossBetween val="midCat"/>
      </c:valAx>
      <c:valAx>
        <c:axId val="553564799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9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'constant Kiv'!$C$5:$C$12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'constant Kiv'!$I$5:$I$12</c:f>
              <c:numCache>
                <c:formatCode>General</c:formatCode>
                <c:ptCount val="8"/>
                <c:pt idx="0">
                  <c:v>8.8099999999999991E-9</c:v>
                </c:pt>
                <c:pt idx="1">
                  <c:v>8.0699999999999988E-9</c:v>
                </c:pt>
                <c:pt idx="2">
                  <c:v>7.2099999999999997E-9</c:v>
                </c:pt>
                <c:pt idx="3">
                  <c:v>6.2300000000000002E-9</c:v>
                </c:pt>
                <c:pt idx="4">
                  <c:v>5.1000000000000002E-9</c:v>
                </c:pt>
                <c:pt idx="5">
                  <c:v>3.8999999999999994E-9</c:v>
                </c:pt>
                <c:pt idx="6">
                  <c:v>2.5999999999999997E-9</c:v>
                </c:pt>
                <c:pt idx="7">
                  <c:v>1.2999999999999999E-9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4-5F4A-AA0F-64653EE1BF4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'constant Kiv'!$C$5:$C$12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'constant Kiv'!$J$5:$J$12</c:f>
              <c:numCache>
                <c:formatCode>General</c:formatCode>
                <c:ptCount val="8"/>
                <c:pt idx="0">
                  <c:v>6.744E-8</c:v>
                </c:pt>
                <c:pt idx="1">
                  <c:v>7.4210000000000001E-8</c:v>
                </c:pt>
                <c:pt idx="2">
                  <c:v>8.3389999999999994E-8</c:v>
                </c:pt>
                <c:pt idx="3">
                  <c:v>9.6709999999999997E-8</c:v>
                </c:pt>
                <c:pt idx="4">
                  <c:v>1.1769999999999999E-7</c:v>
                </c:pt>
                <c:pt idx="5">
                  <c:v>1.5489999999999999E-7</c:v>
                </c:pt>
                <c:pt idx="6">
                  <c:v>2.339E-7</c:v>
                </c:pt>
                <c:pt idx="7">
                  <c:v>4.6539999999999997E-7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4-5F4A-AA0F-64653EE1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167791"/>
        <c:axId val="272892191"/>
      </c:scatterChart>
      <c:valAx>
        <c:axId val="2731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892191"/>
        <c:crosses val="autoZero"/>
        <c:crossBetween val="midCat"/>
      </c:valAx>
      <c:valAx>
        <c:axId val="272892191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6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2.50E+20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data'!$C$15:$C$22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data'!$I$15:$I$22</c:f>
              <c:numCache>
                <c:formatCode>General</c:formatCode>
                <c:ptCount val="8"/>
                <c:pt idx="0">
                  <c:v>1.6500000000000001E-9</c:v>
                </c:pt>
                <c:pt idx="1">
                  <c:v>2.0000000000000001E-9</c:v>
                </c:pt>
                <c:pt idx="2">
                  <c:v>2.5899999999999999E-9</c:v>
                </c:pt>
                <c:pt idx="3">
                  <c:v>3.6200000000000003E-9</c:v>
                </c:pt>
                <c:pt idx="4">
                  <c:v>3.6200000000000003E-9</c:v>
                </c:pt>
                <c:pt idx="5">
                  <c:v>1.7600000000000001E-9</c:v>
                </c:pt>
                <c:pt idx="6">
                  <c:v>8.2000000000000006E-10</c:v>
                </c:pt>
                <c:pt idx="7">
                  <c:v>2.7999999999999996E-10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5-AA46-9003-8A0E26001C5B}"/>
            </c:ext>
          </c:extLst>
        </c:ser>
        <c:ser>
          <c:idx val="0"/>
          <c:order val="1"/>
          <c:tx>
            <c:v>5.00E+20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data'!$I$5:$I$12</c:f>
              <c:numCache>
                <c:formatCode>General</c:formatCode>
                <c:ptCount val="8"/>
                <c:pt idx="0">
                  <c:v>2.33E-9</c:v>
                </c:pt>
                <c:pt idx="1">
                  <c:v>2.8199999999999998E-9</c:v>
                </c:pt>
                <c:pt idx="2">
                  <c:v>3.6599999999999998E-9</c:v>
                </c:pt>
                <c:pt idx="3">
                  <c:v>5.1199999999999997E-9</c:v>
                </c:pt>
                <c:pt idx="4">
                  <c:v>5.1000000000000002E-9</c:v>
                </c:pt>
                <c:pt idx="5">
                  <c:v>2.4899999999999999E-9</c:v>
                </c:pt>
                <c:pt idx="6">
                  <c:v>1.0699999999999998E-9</c:v>
                </c:pt>
                <c:pt idx="7">
                  <c:v>4.0000000000000001E-10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5-AA46-9003-8A0E26001C5B}"/>
            </c:ext>
          </c:extLst>
        </c:ser>
        <c:ser>
          <c:idx val="2"/>
          <c:order val="2"/>
          <c:tx>
            <c:v>7.50E+20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 data'!$C$25:$C$32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data'!$I$25:$I$32</c:f>
              <c:numCache>
                <c:formatCode>General</c:formatCode>
                <c:ptCount val="8"/>
                <c:pt idx="0">
                  <c:v>2.8499999999999999E-9</c:v>
                </c:pt>
                <c:pt idx="1">
                  <c:v>3.4599999999999996E-9</c:v>
                </c:pt>
                <c:pt idx="2">
                  <c:v>4.4799999999999994E-9</c:v>
                </c:pt>
                <c:pt idx="3">
                  <c:v>6.2700000000000001E-9</c:v>
                </c:pt>
                <c:pt idx="4">
                  <c:v>6.3000000000000002E-9</c:v>
                </c:pt>
                <c:pt idx="5">
                  <c:v>3E-9</c:v>
                </c:pt>
                <c:pt idx="6">
                  <c:v>1.3999999999999999E-9</c:v>
                </c:pt>
                <c:pt idx="7">
                  <c:v>5.0000000000000003E-10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5-AA46-9003-8A0E26001C5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'RED data'!$C$35:$C$42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data'!$I$35:$I$42</c:f>
              <c:numCache>
                <c:formatCode>General</c:formatCode>
                <c:ptCount val="8"/>
                <c:pt idx="0">
                  <c:v>1.4699999999999999E-9</c:v>
                </c:pt>
                <c:pt idx="1">
                  <c:v>1.7899999999999998E-9</c:v>
                </c:pt>
                <c:pt idx="2">
                  <c:v>2.3199999999999998E-9</c:v>
                </c:pt>
                <c:pt idx="3">
                  <c:v>3.2399999999999996E-9</c:v>
                </c:pt>
                <c:pt idx="4">
                  <c:v>3.2399999999999996E-9</c:v>
                </c:pt>
                <c:pt idx="5">
                  <c:v>1.5699999999999997E-9</c:v>
                </c:pt>
                <c:pt idx="6">
                  <c:v>6.7999999999999993E-10</c:v>
                </c:pt>
                <c:pt idx="7">
                  <c:v>2.5000000000000002E-10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0-4C46-96EB-586C1AFA415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'RED data'!$C$45:$C$52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data'!$I$45:$I$52</c:f>
              <c:numCache>
                <c:formatCode>General</c:formatCode>
                <c:ptCount val="8"/>
                <c:pt idx="0">
                  <c:v>3.3000000000000002E-9</c:v>
                </c:pt>
                <c:pt idx="1">
                  <c:v>3.9899999999999997E-9</c:v>
                </c:pt>
                <c:pt idx="2">
                  <c:v>5.1799999999999999E-9</c:v>
                </c:pt>
                <c:pt idx="3">
                  <c:v>7.1999999999999991E-9</c:v>
                </c:pt>
                <c:pt idx="4">
                  <c:v>7.1999999999999991E-9</c:v>
                </c:pt>
                <c:pt idx="5">
                  <c:v>3.4999999999999999E-9</c:v>
                </c:pt>
                <c:pt idx="6">
                  <c:v>1.5E-9</c:v>
                </c:pt>
                <c:pt idx="7">
                  <c:v>5.9999999999999989E-10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0-4C46-96EB-586C1AFA415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'RED data'!$C$55:$C$62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data'!$I$55:$I$62</c:f>
              <c:numCache>
                <c:formatCode>General</c:formatCode>
                <c:ptCount val="8"/>
                <c:pt idx="0">
                  <c:v>4.0399999999999993E-9</c:v>
                </c:pt>
                <c:pt idx="1">
                  <c:v>4.8899999999999995E-9</c:v>
                </c:pt>
                <c:pt idx="2">
                  <c:v>6.3399999999999992E-9</c:v>
                </c:pt>
                <c:pt idx="3">
                  <c:v>8.9000000000000003E-9</c:v>
                </c:pt>
                <c:pt idx="4">
                  <c:v>8.9000000000000003E-9</c:v>
                </c:pt>
                <c:pt idx="5">
                  <c:v>4.2999999999999996E-9</c:v>
                </c:pt>
                <c:pt idx="6">
                  <c:v>1.9000000000000001E-9</c:v>
                </c:pt>
                <c:pt idx="7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0-4C46-96EB-586C1AFA4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05E-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4284248176843062"/>
                  <c:y val="-4.910445322965334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data'!$AC$12:$AC$17</c:f>
              <c:numCache>
                <c:formatCode>0.00E+00</c:formatCode>
                <c:ptCount val="6"/>
                <c:pt idx="0">
                  <c:v>2E+20</c:v>
                </c:pt>
                <c:pt idx="1">
                  <c:v>2.5E+20</c:v>
                </c:pt>
                <c:pt idx="2">
                  <c:v>5E+20</c:v>
                </c:pt>
                <c:pt idx="3">
                  <c:v>7.5E+20</c:v>
                </c:pt>
                <c:pt idx="4">
                  <c:v>1E+21</c:v>
                </c:pt>
                <c:pt idx="5">
                  <c:v>1.5E+21</c:v>
                </c:pt>
              </c:numCache>
            </c:numRef>
          </c:xVal>
          <c:yVal>
            <c:numRef>
              <c:f>'RED data'!$AD$12:$AD$17</c:f>
              <c:numCache>
                <c:formatCode>General</c:formatCode>
                <c:ptCount val="6"/>
                <c:pt idx="0">
                  <c:v>9.9509947904378817E-23</c:v>
                </c:pt>
                <c:pt idx="1">
                  <c:v>1.1121677270465229E-22</c:v>
                </c:pt>
                <c:pt idx="2">
                  <c:v>1.5695072125664396E-22</c:v>
                </c:pt>
                <c:pt idx="3">
                  <c:v>1.9314374773247335E-22</c:v>
                </c:pt>
                <c:pt idx="4">
                  <c:v>2.21784304767837E-22</c:v>
                </c:pt>
                <c:pt idx="5">
                  <c:v>2.7297037618579683E-22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BE4E-84BA-6E78DAD1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data'!$C$5:$C$12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data'!$J$5:$J$12</c:f>
              <c:numCache>
                <c:formatCode>General</c:formatCode>
                <c:ptCount val="8"/>
                <c:pt idx="0">
                  <c:v>1.7849999999999998E-8</c:v>
                </c:pt>
                <c:pt idx="1">
                  <c:v>2.5950000000000001E-8</c:v>
                </c:pt>
                <c:pt idx="2">
                  <c:v>4.2319999999999998E-8</c:v>
                </c:pt>
                <c:pt idx="3">
                  <c:v>7.9469999999999996E-8</c:v>
                </c:pt>
                <c:pt idx="4">
                  <c:v>1.1769999999999999E-7</c:v>
                </c:pt>
                <c:pt idx="5">
                  <c:v>9.9039999999999992E-8</c:v>
                </c:pt>
                <c:pt idx="6">
                  <c:v>9.6929999999999995E-8</c:v>
                </c:pt>
                <c:pt idx="7">
                  <c:v>1.3930000000000001E-7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C-1A41-B398-B2172543FE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data'!$C$15:$C$22</c:f>
              <c:numCache>
                <c:formatCode>General</c:formatCode>
                <c:ptCount val="8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</c:numCache>
            </c:numRef>
          </c:xVal>
          <c:yVal>
            <c:numRef>
              <c:f>'RED data'!$J$15:$J$22</c:f>
              <c:numCache>
                <c:formatCode>General</c:formatCode>
                <c:ptCount val="8"/>
                <c:pt idx="0">
                  <c:v>1.262E-8</c:v>
                </c:pt>
                <c:pt idx="1">
                  <c:v>1.8349999999999999E-8</c:v>
                </c:pt>
                <c:pt idx="2">
                  <c:v>2.9929999999999997E-8</c:v>
                </c:pt>
                <c:pt idx="3">
                  <c:v>5.6189999999999996E-8</c:v>
                </c:pt>
                <c:pt idx="4">
                  <c:v>8.3239999999999996E-8</c:v>
                </c:pt>
                <c:pt idx="5">
                  <c:v>7.0029999999999999E-8</c:v>
                </c:pt>
                <c:pt idx="6">
                  <c:v>6.3329999999999999E-8</c:v>
                </c:pt>
                <c:pt idx="7">
                  <c:v>9.8519999999999998E-8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C-1A41-B398-B2172543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1908949583549247"/>
                  <c:y val="0.32486167489933321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'RED data'!$P$5:$P$8</c:f>
              <c:numCache>
                <c:formatCode>General</c:formatCode>
                <c:ptCount val="4"/>
                <c:pt idx="0">
                  <c:v>4.4018098729438321E-18</c:v>
                </c:pt>
                <c:pt idx="1">
                  <c:v>2.8801938896438068E-18</c:v>
                </c:pt>
                <c:pt idx="2">
                  <c:v>1.7427915502181164E-18</c:v>
                </c:pt>
                <c:pt idx="3">
                  <c:v>9.2292108015007437E-19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0B48-87F5-F88FC4D2EDD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758104675117858"/>
                  <c:y val="-0.317878091325540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accent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'RED data'!$P$9:$P$12</c:f>
              <c:numCache>
                <c:formatCode>General</c:formatCode>
                <c:ptCount val="4"/>
                <c:pt idx="0">
                  <c:v>2.5591906219187452E-19</c:v>
                </c:pt>
                <c:pt idx="1">
                  <c:v>2.134296241181557E-20</c:v>
                </c:pt>
                <c:pt idx="2">
                  <c:v>6.784349064678691E-22</c:v>
                </c:pt>
                <c:pt idx="3">
                  <c:v>3.5627117863110637E-24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F0-0B48-87F5-F88FC4D2E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4015975531148497"/>
          <c:y val="7.2274661319508965E-2"/>
          <c:w val="0.26722387229686179"/>
          <c:h val="0.18464322394483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data'!$AK$22:$AK$29</c:f>
              <c:numCache>
                <c:formatCode>0.00E+00</c:formatCode>
                <c:ptCount val="8"/>
                <c:pt idx="0">
                  <c:v>8.6750767700778639E-18</c:v>
                </c:pt>
                <c:pt idx="1">
                  <c:v>5.0999109208555122E-18</c:v>
                </c:pt>
                <c:pt idx="2">
                  <c:v>2.6252711743288331E-18</c:v>
                </c:pt>
                <c:pt idx="3">
                  <c:v>1.1178642259613998E-18</c:v>
                </c:pt>
                <c:pt idx="4">
                  <c:v>1.9881090821386879E-19</c:v>
                </c:pt>
                <c:pt idx="5">
                  <c:v>1.4604467971265888E-20</c:v>
                </c:pt>
                <c:pt idx="6">
                  <c:v>2.9077297346894347E-22</c:v>
                </c:pt>
                <c:pt idx="7">
                  <c:v>4.2527305397658852E-25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F-0442-BEE9-F21EA9E54D10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data'!$AM$22:$AM$29</c:f>
              <c:numCache>
                <c:formatCode>0.00E+00</c:formatCode>
                <c:ptCount val="8"/>
                <c:pt idx="0">
                  <c:v>1.502567372533537E-17</c:v>
                </c:pt>
                <c:pt idx="1">
                  <c:v>8.8333048289971268E-18</c:v>
                </c:pt>
                <c:pt idx="2">
                  <c:v>4.5471030575835492E-18</c:v>
                </c:pt>
                <c:pt idx="3">
                  <c:v>1.9361976353288E-18</c:v>
                </c:pt>
                <c:pt idx="4">
                  <c:v>3.4435059412533334E-19</c:v>
                </c:pt>
                <c:pt idx="5">
                  <c:v>2.5295680543744882E-20</c:v>
                </c:pt>
                <c:pt idx="6">
                  <c:v>5.0363356351608722E-22</c:v>
                </c:pt>
                <c:pt idx="7">
                  <c:v>7.3659453657743283E-25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F-0442-BEE9-F21EA9E54D10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data'!$AO$22:$AO$29</c:f>
              <c:numCache>
                <c:formatCode>0.00E+00</c:formatCode>
                <c:ptCount val="8"/>
                <c:pt idx="0">
                  <c:v>1.9398061367923414E-17</c:v>
                </c:pt>
                <c:pt idx="1">
                  <c:v>1.1403747498226475E-17</c:v>
                </c:pt>
                <c:pt idx="2">
                  <c:v>5.8702848051699708E-18</c:v>
                </c:pt>
                <c:pt idx="3">
                  <c:v>2.4996203988648748E-18</c:v>
                </c:pt>
                <c:pt idx="4">
                  <c:v>4.445547054346819E-19</c:v>
                </c:pt>
                <c:pt idx="5">
                  <c:v>3.2656583158968969E-20</c:v>
                </c:pt>
                <c:pt idx="6">
                  <c:v>6.5018813469630036E-22</c:v>
                </c:pt>
                <c:pt idx="7">
                  <c:v>9.509394576905892E-25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9F-0442-BEE9-F21EA9E5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370719"/>
        <c:axId val="1891312223"/>
      </c:scatterChart>
      <c:valAx>
        <c:axId val="18913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12223"/>
        <c:crosses val="autoZero"/>
        <c:crossBetween val="midCat"/>
      </c:valAx>
      <c:valAx>
        <c:axId val="1891312223"/>
        <c:scaling>
          <c:logBase val="10"/>
          <c:orientation val="minMax"/>
          <c:max val="1.0000000000000011E-19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370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data'!$AJ$34:$AJ$41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data'!$AK$45:$AK$52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3-754D-AE83-C0E0A6E139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data'!$AJ$34:$AJ$41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data'!$AO$45:$AO$52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B3-754D-AE83-C0E0A6E139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data'!$AK$22:$AK$29</c:f>
              <c:numCache>
                <c:formatCode>0.00E+00</c:formatCode>
                <c:ptCount val="8"/>
                <c:pt idx="0">
                  <c:v>8.6750767700778639E-18</c:v>
                </c:pt>
                <c:pt idx="1">
                  <c:v>5.0999109208555122E-18</c:v>
                </c:pt>
                <c:pt idx="2">
                  <c:v>2.6252711743288331E-18</c:v>
                </c:pt>
                <c:pt idx="3">
                  <c:v>1.1178642259613998E-18</c:v>
                </c:pt>
                <c:pt idx="4">
                  <c:v>1.9881090821386879E-19</c:v>
                </c:pt>
                <c:pt idx="5">
                  <c:v>1.4604467971265888E-20</c:v>
                </c:pt>
                <c:pt idx="6">
                  <c:v>2.9077297346894347E-22</c:v>
                </c:pt>
                <c:pt idx="7">
                  <c:v>4.2527305397658852E-25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B3-754D-AE83-C0E0A6E139F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'RED data'!$AJ$22:$AJ$29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12.893958793486489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data'!$AO$22:$AO$29</c:f>
              <c:numCache>
                <c:formatCode>0.00E+00</c:formatCode>
                <c:ptCount val="8"/>
                <c:pt idx="0">
                  <c:v>1.9398061367923414E-17</c:v>
                </c:pt>
                <c:pt idx="1">
                  <c:v>1.1403747498226475E-17</c:v>
                </c:pt>
                <c:pt idx="2">
                  <c:v>5.8702848051699708E-18</c:v>
                </c:pt>
                <c:pt idx="3">
                  <c:v>2.4996203988648748E-18</c:v>
                </c:pt>
                <c:pt idx="4">
                  <c:v>4.445547054346819E-19</c:v>
                </c:pt>
                <c:pt idx="5">
                  <c:v>3.2656583158968969E-20</c:v>
                </c:pt>
                <c:pt idx="6">
                  <c:v>6.5018813469630036E-22</c:v>
                </c:pt>
                <c:pt idx="7">
                  <c:v>9.509394576905892E-25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B3-754D-AE83-C0E0A6E13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169584"/>
        <c:axId val="1315609504"/>
      </c:scatterChart>
      <c:valAx>
        <c:axId val="131516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609504"/>
        <c:crosses val="autoZero"/>
        <c:crossBetween val="midCat"/>
      </c:valAx>
      <c:valAx>
        <c:axId val="131560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16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'RED data'!$E$5:$E$12</c:f>
              <c:numCache>
                <c:formatCode>General</c:formatCode>
                <c:ptCount val="8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  <c:pt idx="4">
                  <c:v>19.340938190229732</c:v>
                </c:pt>
                <c:pt idx="5">
                  <c:v>23.209125828275678</c:v>
                </c:pt>
                <c:pt idx="6">
                  <c:v>29.0114072853446</c:v>
                </c:pt>
                <c:pt idx="7">
                  <c:v>38.681876380459464</c:v>
                </c:pt>
              </c:numCache>
            </c:numRef>
          </c:xVal>
          <c:yVal>
            <c:numRef>
              <c:f>'RED data'!$T$5:$T$12</c:f>
              <c:numCache>
                <c:formatCode>General</c:formatCode>
                <c:ptCount val="8"/>
                <c:pt idx="0">
                  <c:v>4.2264052361454052E-21</c:v>
                </c:pt>
                <c:pt idx="1">
                  <c:v>2.6063976177636525E-21</c:v>
                </c:pt>
                <c:pt idx="2">
                  <c:v>1.4557187496933705E-21</c:v>
                </c:pt>
                <c:pt idx="3">
                  <c:v>6.8900466278441405E-22</c:v>
                </c:pt>
                <c:pt idx="4">
                  <c:v>1.6213945695157345E-22</c:v>
                </c:pt>
                <c:pt idx="5">
                  <c:v>1.0443335853408044E-23</c:v>
                </c:pt>
                <c:pt idx="6">
                  <c:v>2.1574235243557976E-25</c:v>
                </c:pt>
                <c:pt idx="7">
                  <c:v>5.0624604510532358E-28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7-3A4E-817D-E9D23813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 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'RED data'!$O$5:$O$8</c:f>
              <c:numCache>
                <c:formatCode>General</c:formatCode>
                <c:ptCount val="4"/>
                <c:pt idx="0">
                  <c:v>1.1662722039343492E-17</c:v>
                </c:pt>
                <c:pt idx="1">
                  <c:v>6.7292642202575305E-18</c:v>
                </c:pt>
                <c:pt idx="2">
                  <c:v>3.4726033765790846E-18</c:v>
                </c:pt>
                <c:pt idx="3">
                  <c:v>1.4951384540538704E-18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EC-034C-ADF6-C98EC711D605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'RED data'!$E$9:$E$12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'RED data'!$O$9:$O$12</c:f>
              <c:numCache>
                <c:formatCode>General</c:formatCode>
                <c:ptCount val="4"/>
                <c:pt idx="0">
                  <c:v>3.1390144251328789E-19</c:v>
                </c:pt>
                <c:pt idx="1">
                  <c:v>1.7650206411226343E-20</c:v>
                </c:pt>
                <c:pt idx="2">
                  <c:v>3.1199034944931575E-22</c:v>
                </c:pt>
                <c:pt idx="3">
                  <c:v>6.3191800707633558E-25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EC-034C-ADF6-C98EC711D605}"/>
            </c:ext>
          </c:extLst>
        </c:ser>
        <c:ser>
          <c:idx val="2"/>
          <c:order val="2"/>
          <c:tx>
            <c:v>D Mo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data'!$E$5:$E$8</c:f>
              <c:numCache>
                <c:formatCode>General</c:formatCode>
                <c:ptCount val="4"/>
                <c:pt idx="0">
                  <c:v>11.604562914137839</c:v>
                </c:pt>
                <c:pt idx="1">
                  <c:v>12.893958793486487</c:v>
                </c:pt>
                <c:pt idx="2">
                  <c:v>14.5057036426723</c:v>
                </c:pt>
                <c:pt idx="3">
                  <c:v>16.577947020196913</c:v>
                </c:pt>
              </c:numCache>
            </c:numRef>
          </c:xVal>
          <c:yVal>
            <c:numRef>
              <c:f>'RED data'!$P$5:$P$8</c:f>
              <c:numCache>
                <c:formatCode>General</c:formatCode>
                <c:ptCount val="4"/>
                <c:pt idx="0">
                  <c:v>4.4018098729438321E-18</c:v>
                </c:pt>
                <c:pt idx="1">
                  <c:v>2.8801938896438068E-18</c:v>
                </c:pt>
                <c:pt idx="2">
                  <c:v>1.7427915502181164E-18</c:v>
                </c:pt>
                <c:pt idx="3">
                  <c:v>9.2292108015007437E-19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EC-034C-ADF6-C98EC711D605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'RED data'!$E$9:$E$12</c:f>
              <c:numCache>
                <c:formatCode>General</c:formatCode>
                <c:ptCount val="4"/>
                <c:pt idx="0">
                  <c:v>19.340938190229732</c:v>
                </c:pt>
                <c:pt idx="1">
                  <c:v>23.209125828275678</c:v>
                </c:pt>
                <c:pt idx="2">
                  <c:v>29.0114072853446</c:v>
                </c:pt>
                <c:pt idx="3">
                  <c:v>38.681876380459464</c:v>
                </c:pt>
              </c:numCache>
            </c:numRef>
          </c:xVal>
          <c:yVal>
            <c:numRef>
              <c:f>'RED data'!$P$9:$P$12</c:f>
              <c:numCache>
                <c:formatCode>General</c:formatCode>
                <c:ptCount val="4"/>
                <c:pt idx="0">
                  <c:v>2.5591906219187452E-19</c:v>
                </c:pt>
                <c:pt idx="1">
                  <c:v>2.134296241181557E-20</c:v>
                </c:pt>
                <c:pt idx="2">
                  <c:v>6.784349064678691E-22</c:v>
                </c:pt>
                <c:pt idx="3">
                  <c:v>3.5627117863110637E-24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EC-034C-ADF6-C98EC711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174576"/>
        <c:axId val="2048176256"/>
      </c:scatterChart>
      <c:valAx>
        <c:axId val="204817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6256"/>
        <c:crosses val="autoZero"/>
        <c:crossBetween val="midCat"/>
      </c:valAx>
      <c:valAx>
        <c:axId val="2048176256"/>
        <c:scaling>
          <c:logBase val="10"/>
          <c:orientation val="minMax"/>
          <c:max val="1.000000000000001E-1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Diffusion Coefficient (m2/s)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81745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54015975531148497"/>
          <c:y val="7.2274661319508965E-2"/>
          <c:w val="0.17969515046574233"/>
          <c:h val="0.149549567173668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781050</xdr:colOff>
      <xdr:row>1</xdr:row>
      <xdr:rowOff>120650</xdr:rowOff>
    </xdr:from>
    <xdr:to>
      <xdr:col>27</xdr:col>
      <xdr:colOff>609600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C2C99-2D31-8D40-9351-DB6F19167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431800</xdr:colOff>
      <xdr:row>18</xdr:row>
      <xdr:rowOff>139700</xdr:rowOff>
    </xdr:from>
    <xdr:to>
      <xdr:col>27</xdr:col>
      <xdr:colOff>260350</xdr:colOff>
      <xdr:row>33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1A5BB-8C14-064B-8367-4696AD6C9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38100</xdr:colOff>
      <xdr:row>1</xdr:row>
      <xdr:rowOff>139700</xdr:rowOff>
    </xdr:from>
    <xdr:to>
      <xdr:col>41</xdr:col>
      <xdr:colOff>692150</xdr:colOff>
      <xdr:row>16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3F6EB-A971-3A46-8DF1-5A4D27067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19</xdr:row>
      <xdr:rowOff>0</xdr:rowOff>
    </xdr:from>
    <xdr:to>
      <xdr:col>32</xdr:col>
      <xdr:colOff>552450</xdr:colOff>
      <xdr:row>34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71F67-D8E7-A14D-8003-652D3ABF9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228600</xdr:colOff>
      <xdr:row>35</xdr:row>
      <xdr:rowOff>25400</xdr:rowOff>
    </xdr:from>
    <xdr:to>
      <xdr:col>28</xdr:col>
      <xdr:colOff>57150</xdr:colOff>
      <xdr:row>50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21A41A-857A-2D43-80C8-3AE8C5831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412750</xdr:colOff>
      <xdr:row>12</xdr:row>
      <xdr:rowOff>25400</xdr:rowOff>
    </xdr:from>
    <xdr:to>
      <xdr:col>48</xdr:col>
      <xdr:colOff>774700</xdr:colOff>
      <xdr:row>30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C76EB7-024A-2146-A3B1-EE701B18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323850</xdr:colOff>
      <xdr:row>32</xdr:row>
      <xdr:rowOff>158750</xdr:rowOff>
    </xdr:from>
    <xdr:to>
      <xdr:col>49</xdr:col>
      <xdr:colOff>768350</xdr:colOff>
      <xdr:row>45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715A00-5924-2948-9B8E-320C346D8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63500</xdr:colOff>
      <xdr:row>36</xdr:row>
      <xdr:rowOff>101600</xdr:rowOff>
    </xdr:from>
    <xdr:to>
      <xdr:col>33</xdr:col>
      <xdr:colOff>514350</xdr:colOff>
      <xdr:row>51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BAAD0AF-F5A8-264F-A915-1B2E2C37B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52</xdr:row>
      <xdr:rowOff>0</xdr:rowOff>
    </xdr:from>
    <xdr:to>
      <xdr:col>27</xdr:col>
      <xdr:colOff>654050</xdr:colOff>
      <xdr:row>67</xdr:row>
      <xdr:rowOff>6350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28A087-E7DD-9B49-8F98-C705E20EA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69850</xdr:colOff>
      <xdr:row>1</xdr:row>
      <xdr:rowOff>107950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C4C17-7306-2D49-8517-03C25E9A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622300</xdr:colOff>
      <xdr:row>1</xdr:row>
      <xdr:rowOff>190500</xdr:rowOff>
    </xdr:from>
    <xdr:to>
      <xdr:col>31</xdr:col>
      <xdr:colOff>177800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650E9-FB72-A542-AF83-29C5A67D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1</xdr:row>
      <xdr:rowOff>114300</xdr:rowOff>
    </xdr:from>
    <xdr:to>
      <xdr:col>26</xdr:col>
      <xdr:colOff>88900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1FE333-66A5-C549-A552-3376208D9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20</xdr:col>
      <xdr:colOff>234950</xdr:colOff>
      <xdr:row>43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49B5FE-59CA-7C46-A991-3E6961B60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457200</xdr:colOff>
      <xdr:row>29</xdr:row>
      <xdr:rowOff>101600</xdr:rowOff>
    </xdr:from>
    <xdr:to>
      <xdr:col>25</xdr:col>
      <xdr:colOff>12700</xdr:colOff>
      <xdr:row>44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95DEB7-B012-6542-A965-41DBEF9A1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279400</xdr:colOff>
      <xdr:row>29</xdr:row>
      <xdr:rowOff>114300</xdr:rowOff>
    </xdr:from>
    <xdr:to>
      <xdr:col>29</xdr:col>
      <xdr:colOff>660400</xdr:colOff>
      <xdr:row>44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88D6CB-0021-8C41-A4FC-9480344D6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425450</xdr:colOff>
      <xdr:row>13</xdr:row>
      <xdr:rowOff>196850</xdr:rowOff>
    </xdr:from>
    <xdr:to>
      <xdr:col>14</xdr:col>
      <xdr:colOff>44450</xdr:colOff>
      <xdr:row>27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A9E66-1360-1A49-B77C-203B2DDAD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D1E67-ADEB-1A43-89D2-D807DE3FD994}">
  <dimension ref="B1:AP63"/>
  <sheetViews>
    <sheetView tabSelected="1" topLeftCell="Q1" zoomScaleNormal="100" workbookViewId="0">
      <selection activeCell="AF12" sqref="AF12"/>
    </sheetView>
  </sheetViews>
  <sheetFormatPr baseColWidth="10" defaultRowHeight="16" x14ac:dyDescent="0.2"/>
  <cols>
    <col min="2" max="9" width="11" bestFit="1" customWidth="1"/>
    <col min="10" max="16" width="13.5" bestFit="1" customWidth="1"/>
    <col min="18" max="20" width="13.5" bestFit="1" customWidth="1"/>
    <col min="21" max="22" width="12.1640625" customWidth="1"/>
    <col min="29" max="29" width="11" bestFit="1" customWidth="1"/>
    <col min="30" max="30" width="12.33203125" bestFit="1" customWidth="1"/>
    <col min="31" max="32" width="13.5" bestFit="1" customWidth="1"/>
    <col min="33" max="35" width="12.33203125" bestFit="1" customWidth="1"/>
    <col min="36" max="42" width="11" bestFit="1" customWidth="1"/>
  </cols>
  <sheetData>
    <row r="1" spans="2:37" ht="17" thickBot="1" x14ac:dyDescent="0.25">
      <c r="K1" s="19">
        <f>2000*0.000000000401</f>
        <v>8.0200000000000001E-7</v>
      </c>
      <c r="L1" s="19">
        <f>2000*0.0000000000799</f>
        <v>1.5980000000000001E-7</v>
      </c>
      <c r="M1" s="19">
        <f>2000*0.00000000123</f>
        <v>2.4600000000000002E-6</v>
      </c>
      <c r="N1" s="19">
        <f>2000*0.000000000143</f>
        <v>2.8599999999999999E-7</v>
      </c>
    </row>
    <row r="2" spans="2:37" x14ac:dyDescent="0.2">
      <c r="K2" t="s">
        <v>19</v>
      </c>
      <c r="R2" s="7" t="s">
        <v>18</v>
      </c>
      <c r="S2" s="8"/>
      <c r="T2" s="8"/>
      <c r="U2" s="8"/>
      <c r="V2" s="9"/>
      <c r="AC2" t="s">
        <v>10</v>
      </c>
    </row>
    <row r="3" spans="2:37" x14ac:dyDescent="0.2">
      <c r="R3" s="10"/>
      <c r="S3" s="11"/>
      <c r="T3" s="11"/>
      <c r="U3" s="11"/>
      <c r="V3" s="12"/>
      <c r="AC3" t="s">
        <v>9</v>
      </c>
      <c r="AD3" t="s">
        <v>26</v>
      </c>
    </row>
    <row r="4" spans="2:37" x14ac:dyDescent="0.2">
      <c r="B4" t="s">
        <v>3</v>
      </c>
      <c r="C4" t="s">
        <v>0</v>
      </c>
      <c r="D4" t="s">
        <v>8</v>
      </c>
      <c r="E4" t="s">
        <v>15</v>
      </c>
      <c r="F4" t="s">
        <v>1</v>
      </c>
      <c r="G4" t="s">
        <v>2</v>
      </c>
      <c r="H4" t="s">
        <v>4</v>
      </c>
      <c r="I4" t="s">
        <v>1</v>
      </c>
      <c r="J4" t="s">
        <v>2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R4" s="10" t="s">
        <v>5</v>
      </c>
      <c r="S4" s="11" t="s">
        <v>6</v>
      </c>
      <c r="T4" s="11" t="s">
        <v>7</v>
      </c>
      <c r="U4" s="11" t="s">
        <v>13</v>
      </c>
      <c r="V4" s="12"/>
      <c r="AE4" t="s">
        <v>11</v>
      </c>
      <c r="AF4" t="s">
        <v>12</v>
      </c>
      <c r="AG4" t="s">
        <v>30</v>
      </c>
    </row>
    <row r="5" spans="2:37" x14ac:dyDescent="0.2">
      <c r="B5" s="1">
        <v>5E+20</v>
      </c>
      <c r="C5">
        <v>1000</v>
      </c>
      <c r="D5">
        <f>1/C5</f>
        <v>1E-3</v>
      </c>
      <c r="E5">
        <f>1/((0.000086173)*C5)</f>
        <v>11.604562914137839</v>
      </c>
      <c r="F5">
        <v>2.3300000000000001E-2</v>
      </c>
      <c r="G5">
        <v>0.17849999999999999</v>
      </c>
      <c r="H5" s="1">
        <v>9.9999999999999995E-8</v>
      </c>
      <c r="I5">
        <f>F5*H5</f>
        <v>2.33E-9</v>
      </c>
      <c r="J5">
        <f>G5*H5</f>
        <v>1.7849999999999998E-8</v>
      </c>
      <c r="K5">
        <f>(0.000000802)*EXP(-0.522*E5)</f>
        <v>1.8767222416006389E-9</v>
      </c>
      <c r="L5">
        <f>(0.0000001598)*EXP(-0.433*E5)</f>
        <v>1.05037505067455E-9</v>
      </c>
      <c r="M5">
        <f>(0.00000246)*EXP(-0.75*E5)</f>
        <v>4.0840107654980419E-10</v>
      </c>
      <c r="N5">
        <f>(0.000000286)*EXP(-0.678*E5)</f>
        <v>1.0949221315810256E-10</v>
      </c>
      <c r="O5">
        <f>(I5*K5+J5*M5)</f>
        <v>1.1662722039343492E-17</v>
      </c>
      <c r="P5">
        <f>(I5*L5+J5*N5)</f>
        <v>4.4018098729438321E-18</v>
      </c>
      <c r="R5" s="10">
        <f xml:space="preserve"> 0.000000000392*EXP(-0.523/(0.000086173)/C5)</f>
        <v>9.0671730002506872E-13</v>
      </c>
      <c r="S5" s="11">
        <f>0.000000000266*EXP(-0.665/(0.000086173)/C5)</f>
        <v>1.1841758695165239E-13</v>
      </c>
      <c r="T5" s="11">
        <f>I5*R5+J5*S5</f>
        <v>4.2264052361454052E-21</v>
      </c>
      <c r="U5" s="11">
        <f>SQRT(C5)</f>
        <v>31.622776601683793</v>
      </c>
      <c r="V5" s="12">
        <f>T5/D5</f>
        <v>4.2264052361454049E-18</v>
      </c>
      <c r="AC5" s="1">
        <v>2E+20</v>
      </c>
      <c r="AD5">
        <v>9.9509947904378817E-23</v>
      </c>
      <c r="AE5">
        <f>SQRT(AC5)</f>
        <v>14142135623.730951</v>
      </c>
      <c r="AF5">
        <f>AD5/AE5</f>
        <v>7.0364158958706328E-33</v>
      </c>
      <c r="AG5" s="1">
        <f>AF5/(7.64E-18*EXP(-0.593/(0.000086173*600)))</f>
        <v>8.8157271849245168E-11</v>
      </c>
    </row>
    <row r="6" spans="2:37" x14ac:dyDescent="0.2">
      <c r="B6" s="1">
        <v>5E+20</v>
      </c>
      <c r="C6">
        <v>900</v>
      </c>
      <c r="D6">
        <f t="shared" ref="D6:D12" si="0">1/C6</f>
        <v>1.1111111111111111E-3</v>
      </c>
      <c r="E6">
        <f t="shared" ref="E6:E12" si="1">1/((0.000086173)*C6)</f>
        <v>12.893958793486487</v>
      </c>
      <c r="F6">
        <v>2.8199999999999999E-2</v>
      </c>
      <c r="G6">
        <v>0.25950000000000001</v>
      </c>
      <c r="H6" s="1">
        <v>9.9999999999999995E-8</v>
      </c>
      <c r="I6">
        <f t="shared" ref="I6:I12" si="2">F6*H6</f>
        <v>2.8199999999999998E-9</v>
      </c>
      <c r="J6">
        <f t="shared" ref="J6:J12" si="3">G6*H6</f>
        <v>2.5950000000000001E-8</v>
      </c>
      <c r="K6">
        <f t="shared" ref="K6:K12" si="4">(0.000000802)*EXP(-0.522*E6)</f>
        <v>9.5739628499869752E-10</v>
      </c>
      <c r="L6">
        <f t="shared" ref="L6:L12" si="5">(0.0000001598)*EXP(-0.433*E6)</f>
        <v>6.0099953134005541E-10</v>
      </c>
      <c r="M6">
        <f t="shared" ref="M6:M12" si="6">(0.00000246)*EXP(-0.75*E6)</f>
        <v>1.5527578792143367E-10</v>
      </c>
      <c r="N6">
        <f t="shared" ref="N6:N12" si="7">(0.000000286)*EXP(-0.678*E6)</f>
        <v>4.5679198892672476E-11</v>
      </c>
      <c r="O6">
        <f t="shared" ref="O6:O12" si="8">(I6*K6+J6*M6)</f>
        <v>6.7292642202575305E-18</v>
      </c>
      <c r="P6">
        <f t="shared" ref="P6:P12" si="9">(I6*L6+J6*N6)</f>
        <v>2.8801938896438068E-18</v>
      </c>
      <c r="R6" s="10">
        <f t="shared" ref="R6:R12" si="10" xml:space="preserve"> 0.000000000392*EXP(-0.523/(0.000086173)/C6)</f>
        <v>4.6195924355603135E-13</v>
      </c>
      <c r="S6" s="11">
        <f t="shared" ref="S6:S12" si="11">0.000000000266*EXP(-0.665/(0.000086173)/C6)</f>
        <v>5.0237863234514219E-14</v>
      </c>
      <c r="T6" s="11">
        <f t="shared" ref="T6:T12" si="12">I6*R6+J6*S6</f>
        <v>2.6063976177636525E-21</v>
      </c>
      <c r="U6" s="11">
        <f t="shared" ref="U6:U12" si="13">SQRT(C6)</f>
        <v>30</v>
      </c>
      <c r="V6" s="12">
        <f t="shared" ref="V6:V12" si="14">T6/D6</f>
        <v>2.3457578559872872E-18</v>
      </c>
      <c r="AC6" s="1">
        <v>2.5E+20</v>
      </c>
      <c r="AD6">
        <v>1.1121677270465229E-22</v>
      </c>
      <c r="AE6">
        <f t="shared" ref="AE6:AE10" si="15">SQRT(AC6)</f>
        <v>15811388300.841896</v>
      </c>
      <c r="AF6">
        <f t="shared" ref="AF6:AF10" si="16">AD6/AE6</f>
        <v>7.0339663151989272E-33</v>
      </c>
      <c r="AG6" s="1">
        <f t="shared" ref="AG6:AG10" si="17">AF6/(7.64E-18*EXP(-0.593/(0.000086173*600)))</f>
        <v>8.8126581743317947E-11</v>
      </c>
    </row>
    <row r="7" spans="2:37" x14ac:dyDescent="0.2">
      <c r="B7" s="1">
        <v>5E+20</v>
      </c>
      <c r="C7">
        <v>800</v>
      </c>
      <c r="D7">
        <f t="shared" si="0"/>
        <v>1.25E-3</v>
      </c>
      <c r="E7">
        <f t="shared" si="1"/>
        <v>14.5057036426723</v>
      </c>
      <c r="F7">
        <v>3.6600000000000001E-2</v>
      </c>
      <c r="G7">
        <v>0.42320000000000002</v>
      </c>
      <c r="H7" s="1">
        <v>9.9999999999999995E-8</v>
      </c>
      <c r="I7">
        <f t="shared" si="2"/>
        <v>3.6599999999999998E-9</v>
      </c>
      <c r="J7">
        <f t="shared" si="3"/>
        <v>4.2319999999999998E-8</v>
      </c>
      <c r="K7">
        <f t="shared" si="4"/>
        <v>4.1276836884592861E-10</v>
      </c>
      <c r="L7">
        <f t="shared" si="5"/>
        <v>2.9907926393675982E-10</v>
      </c>
      <c r="M7">
        <f t="shared" si="6"/>
        <v>4.635801386112917E-11</v>
      </c>
      <c r="N7">
        <f t="shared" si="7"/>
        <v>1.5315724107031564E-11</v>
      </c>
      <c r="O7">
        <f t="shared" si="8"/>
        <v>3.4726033765790846E-18</v>
      </c>
      <c r="P7">
        <f t="shared" si="9"/>
        <v>1.7427915502181164E-18</v>
      </c>
      <c r="R7" s="10">
        <f t="shared" si="10"/>
        <v>1.9884668758454518E-13</v>
      </c>
      <c r="S7" s="11">
        <f t="shared" si="11"/>
        <v>1.7200847663845354E-14</v>
      </c>
      <c r="T7" s="11">
        <f t="shared" si="12"/>
        <v>1.4557187496933705E-21</v>
      </c>
      <c r="U7" s="11">
        <f t="shared" si="13"/>
        <v>28.284271247461902</v>
      </c>
      <c r="V7" s="12">
        <f t="shared" si="14"/>
        <v>1.1645749997546964E-18</v>
      </c>
      <c r="AC7" s="1">
        <v>5E+20</v>
      </c>
      <c r="AD7">
        <v>1.5695072125664396E-22</v>
      </c>
      <c r="AE7">
        <f t="shared" si="15"/>
        <v>22360679774.997898</v>
      </c>
      <c r="AF7">
        <f t="shared" si="16"/>
        <v>7.0190496369495425E-33</v>
      </c>
      <c r="AG7" s="1">
        <f>AF7/(7.64E-18*EXP(-0.593/(0.000086173*600)))</f>
        <v>8.7939694885153346E-11</v>
      </c>
    </row>
    <row r="8" spans="2:37" x14ac:dyDescent="0.2">
      <c r="B8" s="1">
        <v>5E+20</v>
      </c>
      <c r="C8">
        <v>700</v>
      </c>
      <c r="D8">
        <f t="shared" si="0"/>
        <v>1.4285714285714286E-3</v>
      </c>
      <c r="E8">
        <f t="shared" si="1"/>
        <v>16.577947020196913</v>
      </c>
      <c r="F8">
        <v>5.1200000000000002E-2</v>
      </c>
      <c r="G8">
        <v>0.79469999999999996</v>
      </c>
      <c r="H8" s="1">
        <v>9.9999999999999995E-8</v>
      </c>
      <c r="I8">
        <f t="shared" si="2"/>
        <v>5.1199999999999997E-9</v>
      </c>
      <c r="J8">
        <f t="shared" si="3"/>
        <v>7.9469999999999996E-8</v>
      </c>
      <c r="K8">
        <f t="shared" si="4"/>
        <v>1.3993465201354922E-10</v>
      </c>
      <c r="L8">
        <f t="shared" si="5"/>
        <v>1.2192757885964729E-10</v>
      </c>
      <c r="M8">
        <f t="shared" si="6"/>
        <v>9.7983268622687619E-12</v>
      </c>
      <c r="N8">
        <f t="shared" si="7"/>
        <v>3.7580455063379915E-12</v>
      </c>
      <c r="O8">
        <f t="shared" si="8"/>
        <v>1.4951384540538704E-18</v>
      </c>
      <c r="P8">
        <f t="shared" si="9"/>
        <v>9.2292108015007437E-19</v>
      </c>
      <c r="R8" s="10">
        <f t="shared" si="10"/>
        <v>6.7272452384127942E-14</v>
      </c>
      <c r="S8" s="11">
        <f t="shared" si="11"/>
        <v>4.3358463140515789E-15</v>
      </c>
      <c r="T8" s="11">
        <f t="shared" si="12"/>
        <v>6.8900466278441405E-22</v>
      </c>
      <c r="U8" s="11">
        <f t="shared" si="13"/>
        <v>26.457513110645905</v>
      </c>
      <c r="V8" s="12">
        <f t="shared" si="14"/>
        <v>4.8230326394908985E-19</v>
      </c>
      <c r="AC8" s="1">
        <v>7.5E+20</v>
      </c>
      <c r="AD8">
        <v>1.9314374773247335E-22</v>
      </c>
      <c r="AE8">
        <f t="shared" si="15"/>
        <v>27386127875.258305</v>
      </c>
      <c r="AF8">
        <f t="shared" si="16"/>
        <v>7.0526124982775287E-33</v>
      </c>
      <c r="AG8" s="1">
        <f t="shared" si="17"/>
        <v>8.836019451648784E-11</v>
      </c>
    </row>
    <row r="9" spans="2:37" x14ac:dyDescent="0.2">
      <c r="B9" s="1">
        <v>5E+20</v>
      </c>
      <c r="C9">
        <v>600</v>
      </c>
      <c r="D9">
        <f t="shared" si="0"/>
        <v>1.6666666666666668E-3</v>
      </c>
      <c r="E9">
        <f t="shared" si="1"/>
        <v>19.340938190229732</v>
      </c>
      <c r="F9">
        <v>5.1000000000000004E-3</v>
      </c>
      <c r="G9">
        <v>0.1177</v>
      </c>
      <c r="H9" s="1">
        <v>9.9999999999999995E-7</v>
      </c>
      <c r="I9">
        <f t="shared" si="2"/>
        <v>5.1000000000000002E-9</v>
      </c>
      <c r="J9">
        <f t="shared" si="3"/>
        <v>1.1769999999999999E-7</v>
      </c>
      <c r="K9">
        <f t="shared" si="4"/>
        <v>3.3078851528425173E-11</v>
      </c>
      <c r="L9">
        <f t="shared" si="5"/>
        <v>3.6857240163022945E-11</v>
      </c>
      <c r="M9">
        <f t="shared" si="6"/>
        <v>1.2336389100961729E-12</v>
      </c>
      <c r="N9">
        <f t="shared" si="7"/>
        <v>5.7729088666488944E-13</v>
      </c>
      <c r="O9">
        <f t="shared" si="8"/>
        <v>3.1390144251328789E-19</v>
      </c>
      <c r="P9">
        <f t="shared" si="9"/>
        <v>2.5591906219187452E-19</v>
      </c>
      <c r="R9" s="10">
        <f t="shared" si="10"/>
        <v>1.5858512862867561E-14</v>
      </c>
      <c r="S9" s="11">
        <f t="shared" si="11"/>
        <v>6.9040816780755226E-16</v>
      </c>
      <c r="T9" s="11">
        <f t="shared" si="12"/>
        <v>1.6213945695157345E-22</v>
      </c>
      <c r="U9" s="11">
        <f t="shared" si="13"/>
        <v>24.494897427831781</v>
      </c>
      <c r="V9" s="12">
        <f t="shared" si="14"/>
        <v>9.7283674170944066E-20</v>
      </c>
      <c r="AC9" s="1">
        <v>1E+21</v>
      </c>
      <c r="AD9">
        <v>2.21784304767837E-22</v>
      </c>
      <c r="AE9">
        <f t="shared" si="15"/>
        <v>31622776601.683792</v>
      </c>
      <c r="AF9">
        <f t="shared" si="16"/>
        <v>7.0134355234330632E-33</v>
      </c>
      <c r="AG9" s="1">
        <f t="shared" si="17"/>
        <v>8.7869357239000965E-11</v>
      </c>
    </row>
    <row r="10" spans="2:37" x14ac:dyDescent="0.2">
      <c r="B10" s="1">
        <v>5E+20</v>
      </c>
      <c r="C10">
        <v>500</v>
      </c>
      <c r="D10">
        <f t="shared" si="0"/>
        <v>2E-3</v>
      </c>
      <c r="E10">
        <f t="shared" si="1"/>
        <v>23.209125828275678</v>
      </c>
      <c r="F10">
        <v>2.4899999999999999E-2</v>
      </c>
      <c r="G10">
        <v>0.99039999999999995</v>
      </c>
      <c r="H10" s="1">
        <v>9.9999999999999995E-8</v>
      </c>
      <c r="I10">
        <f t="shared" si="2"/>
        <v>2.4899999999999999E-9</v>
      </c>
      <c r="J10">
        <f t="shared" si="3"/>
        <v>9.9039999999999992E-8</v>
      </c>
      <c r="K10">
        <f t="shared" si="4"/>
        <v>4.3916288929158682E-12</v>
      </c>
      <c r="L10">
        <f t="shared" si="5"/>
        <v>6.9041786425504601E-12</v>
      </c>
      <c r="M10">
        <f t="shared" si="6"/>
        <v>6.7801398100422372E-14</v>
      </c>
      <c r="N10">
        <f t="shared" si="7"/>
        <v>4.1917988609298501E-14</v>
      </c>
      <c r="O10">
        <f t="shared" si="8"/>
        <v>1.7650206411226343E-20</v>
      </c>
      <c r="P10">
        <f t="shared" si="9"/>
        <v>2.134296241181557E-20</v>
      </c>
      <c r="R10" s="10">
        <f t="shared" si="10"/>
        <v>2.0972863830733434E-15</v>
      </c>
      <c r="S10" s="11">
        <f t="shared" si="11"/>
        <v>5.2717010900196067E-17</v>
      </c>
      <c r="T10" s="11">
        <f t="shared" si="12"/>
        <v>1.0443335853408044E-23</v>
      </c>
      <c r="U10" s="11">
        <f t="shared" si="13"/>
        <v>22.360679774997898</v>
      </c>
      <c r="V10" s="12">
        <f t="shared" si="14"/>
        <v>5.2216679267040219E-21</v>
      </c>
      <c r="AC10" s="1">
        <v>1.5E+21</v>
      </c>
      <c r="AD10">
        <v>2.7297037618579683E-22</v>
      </c>
      <c r="AE10">
        <f t="shared" si="15"/>
        <v>38729833462.074165</v>
      </c>
      <c r="AF10">
        <f t="shared" si="16"/>
        <v>7.0480648065037664E-33</v>
      </c>
      <c r="AG10" s="1">
        <f t="shared" si="17"/>
        <v>8.8303217767825011E-11</v>
      </c>
    </row>
    <row r="11" spans="2:37" x14ac:dyDescent="0.2">
      <c r="B11" s="1">
        <v>5E+20</v>
      </c>
      <c r="C11">
        <v>400</v>
      </c>
      <c r="D11">
        <f t="shared" si="0"/>
        <v>2.5000000000000001E-3</v>
      </c>
      <c r="E11">
        <f t="shared" si="1"/>
        <v>29.0114072853446</v>
      </c>
      <c r="F11">
        <v>1.0699999999999999E-2</v>
      </c>
      <c r="G11">
        <v>0.96930000000000005</v>
      </c>
      <c r="H11" s="1">
        <v>9.9999999999999995E-8</v>
      </c>
      <c r="I11">
        <f t="shared" si="2"/>
        <v>1.0699999999999998E-9</v>
      </c>
      <c r="J11">
        <f t="shared" si="3"/>
        <v>9.6929999999999995E-8</v>
      </c>
      <c r="K11">
        <f t="shared" si="4"/>
        <v>2.1244105526150701E-13</v>
      </c>
      <c r="L11">
        <f t="shared" si="5"/>
        <v>5.5975222851660851E-13</v>
      </c>
      <c r="M11">
        <f t="shared" si="6"/>
        <v>8.7360384111733513E-16</v>
      </c>
      <c r="N11">
        <f t="shared" si="7"/>
        <v>8.2017973749198517E-16</v>
      </c>
      <c r="O11">
        <f t="shared" si="8"/>
        <v>3.1199034944931575E-22</v>
      </c>
      <c r="P11">
        <f t="shared" si="9"/>
        <v>6.784349064678691E-22</v>
      </c>
      <c r="R11" s="10">
        <f t="shared" si="10"/>
        <v>1.0086736011057582E-16</v>
      </c>
      <c r="S11" s="11">
        <f t="shared" si="11"/>
        <v>1.1122900765218577E-18</v>
      </c>
      <c r="T11" s="11">
        <f t="shared" si="12"/>
        <v>2.1574235243557976E-25</v>
      </c>
      <c r="U11" s="11">
        <f t="shared" si="13"/>
        <v>20</v>
      </c>
      <c r="V11" s="12">
        <f t="shared" si="14"/>
        <v>8.6296940974231899E-23</v>
      </c>
      <c r="AD11" t="s">
        <v>26</v>
      </c>
      <c r="AE11" t="s">
        <v>27</v>
      </c>
      <c r="AF11" t="s">
        <v>28</v>
      </c>
      <c r="AG11" t="s">
        <v>29</v>
      </c>
      <c r="AH11" t="s">
        <v>31</v>
      </c>
      <c r="AI11" t="s">
        <v>32</v>
      </c>
    </row>
    <row r="12" spans="2:37" x14ac:dyDescent="0.2">
      <c r="B12" s="1">
        <v>5E+20</v>
      </c>
      <c r="C12">
        <v>300</v>
      </c>
      <c r="D12">
        <f t="shared" si="0"/>
        <v>3.3333333333333335E-3</v>
      </c>
      <c r="E12">
        <f t="shared" si="1"/>
        <v>38.681876380459464</v>
      </c>
      <c r="F12">
        <v>4.0000000000000002E-4</v>
      </c>
      <c r="G12">
        <v>0.13930000000000001</v>
      </c>
      <c r="H12" s="1">
        <v>9.9999999999999995E-7</v>
      </c>
      <c r="I12">
        <f t="shared" si="2"/>
        <v>4.0000000000000001E-10</v>
      </c>
      <c r="J12">
        <f t="shared" si="3"/>
        <v>1.3930000000000001E-7</v>
      </c>
      <c r="K12">
        <f t="shared" si="4"/>
        <v>1.3643521426927635E-15</v>
      </c>
      <c r="L12">
        <f t="shared" si="5"/>
        <v>8.5009771741849285E-15</v>
      </c>
      <c r="M12">
        <f t="shared" si="6"/>
        <v>6.1864429288750962E-19</v>
      </c>
      <c r="N12">
        <f t="shared" si="7"/>
        <v>1.1652614259662035E-18</v>
      </c>
      <c r="O12">
        <f t="shared" si="8"/>
        <v>6.3191800707633558E-25</v>
      </c>
      <c r="P12">
        <f t="shared" si="9"/>
        <v>3.5627117863110637E-24</v>
      </c>
      <c r="R12" s="10">
        <f t="shared" si="10"/>
        <v>6.4156232199422413E-19</v>
      </c>
      <c r="S12" s="11">
        <f t="shared" si="11"/>
        <v>1.7919678126894032E-21</v>
      </c>
      <c r="T12" s="11">
        <f t="shared" si="12"/>
        <v>5.0624604510532358E-28</v>
      </c>
      <c r="U12" s="11">
        <f t="shared" si="13"/>
        <v>17.320508075688775</v>
      </c>
      <c r="V12" s="12">
        <f t="shared" si="14"/>
        <v>1.5187381353159707E-25</v>
      </c>
      <c r="AC12" s="1">
        <v>2E+20</v>
      </c>
      <c r="AD12">
        <v>9.9509947904378817E-23</v>
      </c>
      <c r="AE12">
        <v>8.1198382320197675E-23</v>
      </c>
      <c r="AF12" s="1">
        <f>AD12/SQRT(AC12)</f>
        <v>7.0364158958706328E-33</v>
      </c>
      <c r="AG12" s="1">
        <f>AE12/SQRT(AC12)</f>
        <v>5.7415926759989645E-33</v>
      </c>
      <c r="AH12" s="1">
        <f>AF12/(0.000000000000000062*EXP(-0.675*$E$9))</f>
        <v>5.3055712951711848E-11</v>
      </c>
      <c r="AI12" s="1">
        <f>AG12/(7.35E-18*EXP(-0.575*$E$9))</f>
        <v>5.2789932949869268E-11</v>
      </c>
      <c r="AJ12" s="1"/>
      <c r="AK12" s="1"/>
    </row>
    <row r="13" spans="2:37" x14ac:dyDescent="0.2">
      <c r="R13" s="10"/>
      <c r="S13" s="11"/>
      <c r="T13" s="11"/>
      <c r="U13" s="11"/>
      <c r="V13" s="12"/>
      <c r="AC13" s="1">
        <v>2.5E+20</v>
      </c>
      <c r="AD13">
        <v>1.1121677270465229E-22</v>
      </c>
      <c r="AE13">
        <v>9.0738451398064224E-23</v>
      </c>
      <c r="AF13" s="1">
        <f t="shared" ref="AF13:AF17" si="18">AD13/SQRT(AC13)</f>
        <v>7.0339663151989272E-33</v>
      </c>
      <c r="AG13" s="1">
        <f t="shared" ref="AG13:AG17" si="19">AE13/SQRT(AC13)</f>
        <v>5.7388035554874552E-33</v>
      </c>
      <c r="AH13" s="1">
        <f t="shared" ref="AH13:AH17" si="20">AF13/(0.000000000000000062*EXP(-0.675*$E$9))</f>
        <v>5.3037242717590758E-11</v>
      </c>
      <c r="AI13" s="1">
        <f t="shared" ref="AI13:AI17" si="21">AG13/(7.35E-18*EXP(-0.575*$E$9))</f>
        <v>5.2764288935551232E-11</v>
      </c>
      <c r="AJ13" s="1"/>
      <c r="AK13" s="1"/>
    </row>
    <row r="14" spans="2:37" x14ac:dyDescent="0.2">
      <c r="B14" t="s">
        <v>3</v>
      </c>
      <c r="C14" t="s">
        <v>0</v>
      </c>
      <c r="D14" t="s">
        <v>8</v>
      </c>
      <c r="E14" t="s">
        <v>15</v>
      </c>
      <c r="F14" t="s">
        <v>1</v>
      </c>
      <c r="G14" t="s">
        <v>2</v>
      </c>
      <c r="H14" t="s">
        <v>4</v>
      </c>
      <c r="I14" t="s">
        <v>1</v>
      </c>
      <c r="J14" t="s">
        <v>2</v>
      </c>
      <c r="R14" s="10" t="s">
        <v>5</v>
      </c>
      <c r="S14" s="11" t="s">
        <v>6</v>
      </c>
      <c r="T14" s="11" t="s">
        <v>7</v>
      </c>
      <c r="U14" s="11"/>
      <c r="V14" s="12"/>
      <c r="AC14" s="1">
        <v>5E+20</v>
      </c>
      <c r="AD14">
        <v>1.5695072125664396E-22</v>
      </c>
      <c r="AE14">
        <v>1.2795953109593727E-22</v>
      </c>
      <c r="AF14" s="1">
        <f t="shared" si="18"/>
        <v>7.0190496369495425E-33</v>
      </c>
      <c r="AG14" s="1">
        <f t="shared" si="19"/>
        <v>5.7225241979902778E-33</v>
      </c>
      <c r="AH14" s="1">
        <f t="shared" si="20"/>
        <v>5.292476855302967E-11</v>
      </c>
      <c r="AI14" s="1">
        <f t="shared" si="21"/>
        <v>5.2614611617908104E-11</v>
      </c>
      <c r="AJ14" s="1"/>
      <c r="AK14" s="1"/>
    </row>
    <row r="15" spans="2:37" x14ac:dyDescent="0.2">
      <c r="B15" s="1">
        <v>2.5E+20</v>
      </c>
      <c r="C15">
        <v>1000</v>
      </c>
      <c r="D15">
        <f>1/C15</f>
        <v>1E-3</v>
      </c>
      <c r="E15">
        <f>1/((0.000086173)*C15)</f>
        <v>11.604562914137839</v>
      </c>
      <c r="F15">
        <v>1.6500000000000001E-2</v>
      </c>
      <c r="G15">
        <v>0.12620000000000001</v>
      </c>
      <c r="H15" s="1">
        <v>9.9999999999999995E-8</v>
      </c>
      <c r="I15">
        <f>F15*H15</f>
        <v>1.6500000000000001E-9</v>
      </c>
      <c r="J15">
        <f>G15*H15</f>
        <v>1.262E-8</v>
      </c>
      <c r="K15">
        <f>(2000*0.000000000401)*EXP(-0.522*E15)</f>
        <v>1.8767222416006389E-9</v>
      </c>
      <c r="L15">
        <f>(2000*0.0000000000799)*EXP(-0.433*E15)</f>
        <v>1.0503750506745502E-9</v>
      </c>
      <c r="M15">
        <f>(2000*0.00000000123)*EXP(-0.75*E15)</f>
        <v>4.0840107654980419E-10</v>
      </c>
      <c r="N15">
        <f>(2000*0.000000000143)*EXP(-0.678*E15)</f>
        <v>1.0949221315810256E-10</v>
      </c>
      <c r="O15">
        <f>(I15*K15+J15*M15)</f>
        <v>8.250613284699583E-18</v>
      </c>
      <c r="P15">
        <f>(I15*L15+J15*N15)</f>
        <v>3.1149105636682624E-18</v>
      </c>
      <c r="R15" s="10">
        <f xml:space="preserve"> 0.000000000392*EXP(-0.523/(0.000086173)/C15)</f>
        <v>9.0671730002506872E-13</v>
      </c>
      <c r="S15" s="11">
        <f>0.000000000266*EXP(-0.665/(0.000086173)/C15)</f>
        <v>1.1841758695165239E-13</v>
      </c>
      <c r="T15" s="11">
        <f>I15*R15+J15*S15</f>
        <v>2.9905134923712169E-21</v>
      </c>
      <c r="U15" s="11"/>
      <c r="V15" s="12"/>
      <c r="AC15" s="1">
        <v>7.5E+20</v>
      </c>
      <c r="AD15">
        <v>1.9314374773247335E-22</v>
      </c>
      <c r="AE15">
        <v>1.577229794420608E-22</v>
      </c>
      <c r="AF15" s="1">
        <f>AD15/SQRT(AC15)</f>
        <v>7.0526124982775287E-33</v>
      </c>
      <c r="AG15" s="1">
        <f t="shared" si="19"/>
        <v>5.7592289118226854E-33</v>
      </c>
      <c r="AH15" s="1">
        <f t="shared" si="20"/>
        <v>5.3177837951258502E-11</v>
      </c>
      <c r="AI15" s="1">
        <f t="shared" si="21"/>
        <v>5.2952085815661047E-11</v>
      </c>
      <c r="AJ15" s="1"/>
      <c r="AK15" s="1"/>
    </row>
    <row r="16" spans="2:37" x14ac:dyDescent="0.2">
      <c r="B16" s="1">
        <v>2.5E+20</v>
      </c>
      <c r="C16">
        <v>900</v>
      </c>
      <c r="D16">
        <f t="shared" ref="D16:D22" si="22">1/C16</f>
        <v>1.1111111111111111E-3</v>
      </c>
      <c r="E16">
        <f t="shared" ref="E16:E22" si="23">1/((0.000086173)*C16)</f>
        <v>12.893958793486487</v>
      </c>
      <c r="F16">
        <v>0.02</v>
      </c>
      <c r="G16">
        <v>0.1835</v>
      </c>
      <c r="H16" s="1">
        <v>9.9999999999999995E-8</v>
      </c>
      <c r="I16">
        <f t="shared" ref="I16:I22" si="24">F16*H16</f>
        <v>2.0000000000000001E-9</v>
      </c>
      <c r="J16">
        <f t="shared" ref="J16:J22" si="25">G16*H16</f>
        <v>1.8349999999999999E-8</v>
      </c>
      <c r="K16">
        <f t="shared" ref="K16:K22" si="26">(2000*0.000000000401)*EXP(-0.522*E16)</f>
        <v>9.5739628499869752E-10</v>
      </c>
      <c r="L16">
        <f t="shared" ref="L16:L22" si="27">(2000*0.0000000000799)*EXP(-0.433*E16)</f>
        <v>6.0099953134005551E-10</v>
      </c>
      <c r="M16">
        <f t="shared" ref="M16:M22" si="28">(2000*0.00000000123)*EXP(-0.75*E16)</f>
        <v>1.5527578792143367E-10</v>
      </c>
      <c r="N16">
        <f t="shared" ref="N16:N22" si="29">(2000*0.000000000143)*EXP(-0.678*E16)</f>
        <v>4.5679198892672476E-11</v>
      </c>
      <c r="O16">
        <f t="shared" ref="O16:O22" si="30">(I16*K16+J16*M16)</f>
        <v>4.7641032783557026E-18</v>
      </c>
      <c r="P16">
        <f t="shared" ref="P16:P22" si="31">(I16*L16+J16*N16)</f>
        <v>2.0402123623606511E-18</v>
      </c>
      <c r="R16" s="10">
        <f t="shared" ref="R16:R22" si="32" xml:space="preserve"> 0.000000000392*EXP(-0.523/(0.000086173)/C16)</f>
        <v>4.6195924355603135E-13</v>
      </c>
      <c r="S16" s="11">
        <f t="shared" ref="S16:S22" si="33">0.000000000266*EXP(-0.665/(0.000086173)/C16)</f>
        <v>5.0237863234514219E-14</v>
      </c>
      <c r="T16" s="11">
        <f t="shared" ref="T16:T22" si="34">I16*R16+J16*S16</f>
        <v>1.8457832774653986E-21</v>
      </c>
      <c r="U16" s="11"/>
      <c r="V16" s="12"/>
      <c r="AC16" s="1">
        <v>1E+21</v>
      </c>
      <c r="AD16">
        <v>2.21784304767837E-22</v>
      </c>
      <c r="AE16">
        <v>1.8074553090173464E-22</v>
      </c>
      <c r="AF16" s="1">
        <f t="shared" si="18"/>
        <v>7.0134355234330632E-33</v>
      </c>
      <c r="AG16" s="1">
        <f t="shared" si="19"/>
        <v>5.7156755454582897E-33</v>
      </c>
      <c r="AH16" s="1">
        <f t="shared" si="20"/>
        <v>5.2882437229865072E-11</v>
      </c>
      <c r="AI16" s="1">
        <f t="shared" si="21"/>
        <v>5.2551643043095768E-11</v>
      </c>
      <c r="AJ16" s="1"/>
      <c r="AK16" s="1"/>
    </row>
    <row r="17" spans="2:42" x14ac:dyDescent="0.2">
      <c r="B17" s="1">
        <v>2.5E+20</v>
      </c>
      <c r="C17">
        <v>800</v>
      </c>
      <c r="D17">
        <f t="shared" si="22"/>
        <v>1.25E-3</v>
      </c>
      <c r="E17">
        <f t="shared" si="23"/>
        <v>14.5057036426723</v>
      </c>
      <c r="F17">
        <v>2.5899999999999999E-2</v>
      </c>
      <c r="G17">
        <v>0.29930000000000001</v>
      </c>
      <c r="H17" s="1">
        <v>9.9999999999999995E-8</v>
      </c>
      <c r="I17">
        <f t="shared" si="24"/>
        <v>2.5899999999999999E-9</v>
      </c>
      <c r="J17">
        <f t="shared" si="25"/>
        <v>2.9929999999999997E-8</v>
      </c>
      <c r="K17">
        <f t="shared" si="26"/>
        <v>4.1276836884592861E-10</v>
      </c>
      <c r="L17">
        <f t="shared" si="27"/>
        <v>2.9907926393675988E-10</v>
      </c>
      <c r="M17">
        <f t="shared" si="28"/>
        <v>4.635801386112917E-11</v>
      </c>
      <c r="N17">
        <f t="shared" si="29"/>
        <v>1.5315724107031564E-11</v>
      </c>
      <c r="O17">
        <f t="shared" si="30"/>
        <v>2.4565654301745513E-18</v>
      </c>
      <c r="P17">
        <f t="shared" si="31"/>
        <v>1.2330149161196628E-18</v>
      </c>
      <c r="R17" s="10">
        <f t="shared" si="32"/>
        <v>1.9884668758454518E-13</v>
      </c>
      <c r="S17" s="11">
        <f t="shared" si="33"/>
        <v>1.7200847663845354E-14</v>
      </c>
      <c r="T17" s="11">
        <f t="shared" si="34"/>
        <v>1.0298342914228633E-21</v>
      </c>
      <c r="U17" s="11"/>
      <c r="V17" s="12"/>
      <c r="AC17" s="1">
        <v>1.5E+21</v>
      </c>
      <c r="AD17">
        <v>2.7297037618579683E-22</v>
      </c>
      <c r="AE17">
        <v>2.2286952462093757E-22</v>
      </c>
      <c r="AF17" s="1">
        <f t="shared" si="18"/>
        <v>7.0480648065037664E-33</v>
      </c>
      <c r="AG17" s="1">
        <f t="shared" si="19"/>
        <v>5.7544663815603679E-33</v>
      </c>
      <c r="AH17" s="1">
        <f t="shared" si="20"/>
        <v>5.3143547620369564E-11</v>
      </c>
      <c r="AI17" s="1">
        <f t="shared" si="21"/>
        <v>5.2908297677524667E-11</v>
      </c>
      <c r="AJ17" s="1"/>
      <c r="AK17" s="1"/>
    </row>
    <row r="18" spans="2:42" x14ac:dyDescent="0.2">
      <c r="B18" s="1">
        <v>2.5E+20</v>
      </c>
      <c r="C18">
        <v>700</v>
      </c>
      <c r="D18">
        <f t="shared" si="22"/>
        <v>1.4285714285714286E-3</v>
      </c>
      <c r="E18">
        <f t="shared" si="23"/>
        <v>16.577947020196913</v>
      </c>
      <c r="F18">
        <v>3.6200000000000003E-2</v>
      </c>
      <c r="G18">
        <v>0.56189999999999996</v>
      </c>
      <c r="H18" s="1">
        <v>9.9999999999999995E-8</v>
      </c>
      <c r="I18">
        <f t="shared" si="24"/>
        <v>3.6200000000000003E-9</v>
      </c>
      <c r="J18">
        <f t="shared" si="25"/>
        <v>5.6189999999999996E-8</v>
      </c>
      <c r="K18">
        <f t="shared" si="26"/>
        <v>1.3993465201354922E-10</v>
      </c>
      <c r="L18">
        <f t="shared" si="27"/>
        <v>1.2192757885964732E-10</v>
      </c>
      <c r="M18">
        <f t="shared" si="28"/>
        <v>9.7983268622687619E-12</v>
      </c>
      <c r="N18">
        <f t="shared" si="29"/>
        <v>3.7580455063379915E-12</v>
      </c>
      <c r="O18">
        <f t="shared" si="30"/>
        <v>1.0571314266799298E-18</v>
      </c>
      <c r="P18">
        <f t="shared" si="31"/>
        <v>6.5254241247305506E-19</v>
      </c>
      <c r="R18" s="10">
        <f t="shared" si="32"/>
        <v>6.7272452384127942E-14</v>
      </c>
      <c r="S18" s="11">
        <f t="shared" si="33"/>
        <v>4.3358463140515789E-15</v>
      </c>
      <c r="T18" s="11">
        <f t="shared" si="34"/>
        <v>4.8715748201710129E-22</v>
      </c>
      <c r="U18" s="11"/>
      <c r="V18" s="12"/>
      <c r="AF18" s="1">
        <f>AVERAGE(AF12:AF17)</f>
        <v>7.0339241127055775E-33</v>
      </c>
      <c r="AG18" s="1">
        <f>AVERAGE(AG12:AG17)</f>
        <v>5.7387152113863389E-33</v>
      </c>
      <c r="AH18" s="1">
        <f t="shared" ref="AH18:AI18" si="35">AVERAGE(AH12:AH17)</f>
        <v>5.303692450397091E-11</v>
      </c>
      <c r="AI18" s="1">
        <f t="shared" si="35"/>
        <v>5.2763476673268354E-11</v>
      </c>
    </row>
    <row r="19" spans="2:42" x14ac:dyDescent="0.2">
      <c r="B19" s="1">
        <v>2.5E+20</v>
      </c>
      <c r="C19">
        <v>600</v>
      </c>
      <c r="D19">
        <f t="shared" si="22"/>
        <v>1.6666666666666668E-3</v>
      </c>
      <c r="E19">
        <f t="shared" si="23"/>
        <v>19.340938190229732</v>
      </c>
      <c r="F19">
        <v>3.6200000000000003E-2</v>
      </c>
      <c r="G19">
        <v>0.83240000000000003</v>
      </c>
      <c r="H19" s="1">
        <v>9.9999999999999995E-8</v>
      </c>
      <c r="I19">
        <f t="shared" si="24"/>
        <v>3.6200000000000003E-9</v>
      </c>
      <c r="J19">
        <f t="shared" si="25"/>
        <v>8.3239999999999996E-8</v>
      </c>
      <c r="K19">
        <f t="shared" si="26"/>
        <v>3.3078851528425173E-11</v>
      </c>
      <c r="L19">
        <f t="shared" si="27"/>
        <v>3.6857240163022951E-11</v>
      </c>
      <c r="M19">
        <f t="shared" si="28"/>
        <v>1.2336389100961729E-12</v>
      </c>
      <c r="N19">
        <f t="shared" si="29"/>
        <v>5.7729088666488944E-13</v>
      </c>
      <c r="O19">
        <f t="shared" si="30"/>
        <v>2.2243354540930456E-19</v>
      </c>
      <c r="P19">
        <f t="shared" si="31"/>
        <v>1.8147690279612849E-19</v>
      </c>
      <c r="R19" s="10">
        <f t="shared" si="32"/>
        <v>1.5858512862867561E-14</v>
      </c>
      <c r="S19" s="11">
        <f t="shared" si="33"/>
        <v>6.9040816780755226E-16</v>
      </c>
      <c r="T19" s="11">
        <f t="shared" si="34"/>
        <v>1.1487739245188123E-22</v>
      </c>
      <c r="U19" s="11"/>
      <c r="V19" s="12"/>
      <c r="AJ19" t="s">
        <v>16</v>
      </c>
    </row>
    <row r="20" spans="2:42" x14ac:dyDescent="0.2">
      <c r="B20" s="1">
        <v>2.5E+20</v>
      </c>
      <c r="C20">
        <v>500</v>
      </c>
      <c r="D20">
        <f t="shared" si="22"/>
        <v>2E-3</v>
      </c>
      <c r="E20">
        <f t="shared" si="23"/>
        <v>23.209125828275678</v>
      </c>
      <c r="F20">
        <v>1.7600000000000001E-2</v>
      </c>
      <c r="G20">
        <v>0.70030000000000003</v>
      </c>
      <c r="H20" s="1">
        <v>9.9999999999999995E-8</v>
      </c>
      <c r="I20">
        <f t="shared" si="24"/>
        <v>1.7600000000000001E-9</v>
      </c>
      <c r="J20">
        <f t="shared" si="25"/>
        <v>7.0029999999999999E-8</v>
      </c>
      <c r="K20">
        <f t="shared" si="26"/>
        <v>4.3916288929158682E-12</v>
      </c>
      <c r="L20">
        <f t="shared" si="27"/>
        <v>6.9041786425504617E-12</v>
      </c>
      <c r="M20">
        <f t="shared" si="28"/>
        <v>6.7801398100422372E-14</v>
      </c>
      <c r="N20">
        <f t="shared" si="29"/>
        <v>4.1917988609298501E-14</v>
      </c>
      <c r="O20">
        <f t="shared" si="30"/>
        <v>1.2477398760504507E-20</v>
      </c>
      <c r="P20">
        <f t="shared" si="31"/>
        <v>1.5086871153197988E-20</v>
      </c>
      <c r="R20" s="10">
        <f t="shared" si="32"/>
        <v>2.0972863830733434E-15</v>
      </c>
      <c r="S20" s="11">
        <f t="shared" si="33"/>
        <v>5.2717010900196067E-17</v>
      </c>
      <c r="T20" s="11">
        <f t="shared" si="34"/>
        <v>7.382996307549815E-24</v>
      </c>
      <c r="U20" s="11"/>
      <c r="V20" s="12"/>
      <c r="AK20" t="s">
        <v>14</v>
      </c>
    </row>
    <row r="21" spans="2:42" x14ac:dyDescent="0.2">
      <c r="B21" s="1">
        <v>2.5E+20</v>
      </c>
      <c r="C21">
        <v>400</v>
      </c>
      <c r="D21">
        <f t="shared" si="22"/>
        <v>2.5000000000000001E-3</v>
      </c>
      <c r="E21">
        <f t="shared" si="23"/>
        <v>29.0114072853446</v>
      </c>
      <c r="F21">
        <v>8.2000000000000007E-3</v>
      </c>
      <c r="G21">
        <v>0.63329999999999997</v>
      </c>
      <c r="H21" s="1">
        <v>9.9999999999999995E-8</v>
      </c>
      <c r="I21">
        <f t="shared" si="24"/>
        <v>8.2000000000000006E-10</v>
      </c>
      <c r="J21">
        <f t="shared" si="25"/>
        <v>6.3329999999999999E-8</v>
      </c>
      <c r="K21">
        <f t="shared" si="26"/>
        <v>2.1244105526150701E-13</v>
      </c>
      <c r="L21">
        <f t="shared" si="27"/>
        <v>5.5975222851660861E-13</v>
      </c>
      <c r="M21">
        <f t="shared" si="28"/>
        <v>8.7360384111733513E-16</v>
      </c>
      <c r="N21">
        <f t="shared" si="29"/>
        <v>8.2017973749198517E-16</v>
      </c>
      <c r="O21">
        <f t="shared" si="30"/>
        <v>2.2952699657239656E-22</v>
      </c>
      <c r="P21">
        <f t="shared" si="31"/>
        <v>5.1093881015898651E-22</v>
      </c>
      <c r="R21" s="10">
        <f t="shared" si="32"/>
        <v>1.0086736011057582E-16</v>
      </c>
      <c r="S21" s="11">
        <f t="shared" si="33"/>
        <v>1.1122900765218577E-18</v>
      </c>
      <c r="T21" s="11">
        <f t="shared" si="34"/>
        <v>1.5315256583680143E-25</v>
      </c>
      <c r="U21" s="11"/>
      <c r="V21" s="12"/>
      <c r="AI21" t="s">
        <v>0</v>
      </c>
      <c r="AJ21" t="s">
        <v>15</v>
      </c>
      <c r="AK21" s="1">
        <v>2E+20</v>
      </c>
      <c r="AL21" s="1">
        <v>4E+20</v>
      </c>
      <c r="AM21" s="1">
        <v>6E+20</v>
      </c>
      <c r="AN21" s="1">
        <v>8E+20</v>
      </c>
      <c r="AO21" s="1">
        <v>1E+21</v>
      </c>
      <c r="AP21" s="1">
        <v>1.2E+21</v>
      </c>
    </row>
    <row r="22" spans="2:42" x14ac:dyDescent="0.2">
      <c r="B22" s="1">
        <v>2.5E+20</v>
      </c>
      <c r="C22">
        <v>300</v>
      </c>
      <c r="D22">
        <f t="shared" si="22"/>
        <v>3.3333333333333335E-3</v>
      </c>
      <c r="E22">
        <f t="shared" si="23"/>
        <v>38.681876380459464</v>
      </c>
      <c r="F22">
        <v>2.8E-3</v>
      </c>
      <c r="G22">
        <v>0.98519999999999996</v>
      </c>
      <c r="H22" s="1">
        <v>9.9999999999999995E-8</v>
      </c>
      <c r="I22">
        <f t="shared" si="24"/>
        <v>2.7999999999999996E-10</v>
      </c>
      <c r="J22">
        <f t="shared" si="25"/>
        <v>9.8519999999999998E-8</v>
      </c>
      <c r="K22">
        <f t="shared" si="26"/>
        <v>1.3643521426927635E-15</v>
      </c>
      <c r="L22">
        <f t="shared" si="27"/>
        <v>8.50097717418493E-15</v>
      </c>
      <c r="M22">
        <f t="shared" si="28"/>
        <v>6.1864429288750962E-19</v>
      </c>
      <c r="N22">
        <f t="shared" si="29"/>
        <v>1.1652614259662035E-18</v>
      </c>
      <c r="O22">
        <f t="shared" si="30"/>
        <v>4.4296743568925123E-25</v>
      </c>
      <c r="P22">
        <f t="shared" si="31"/>
        <v>2.4950751644579705E-24</v>
      </c>
      <c r="R22" s="10">
        <f t="shared" si="32"/>
        <v>6.4156232199422413E-19</v>
      </c>
      <c r="S22" s="11">
        <f t="shared" si="33"/>
        <v>1.7919678126894032E-21</v>
      </c>
      <c r="T22" s="11">
        <f t="shared" si="34"/>
        <v>3.5618211906454273E-28</v>
      </c>
      <c r="U22" s="11"/>
      <c r="V22" s="12"/>
      <c r="AH22" t="s">
        <v>0</v>
      </c>
      <c r="AI22">
        <v>1000</v>
      </c>
      <c r="AJ22">
        <f>1/(0.000086173)/AI22</f>
        <v>11.604562914137839</v>
      </c>
      <c r="AK22" s="1">
        <f>(0.00000000000000138)*EXP(-0.412*$AJ22)*0.000000000053*SQRT(AK$21)</f>
        <v>8.6750767700778639E-18</v>
      </c>
      <c r="AL22" s="1">
        <f t="shared" ref="AL22:AP22" si="36">(0.00000000000000138)*EXP(-0.412*$AJ22)*0.000000000053*SQRT(AL$21)</f>
        <v>1.2268411222871897E-17</v>
      </c>
      <c r="AM22" s="1">
        <f t="shared" si="36"/>
        <v>1.502567372533537E-17</v>
      </c>
      <c r="AN22" s="1">
        <f t="shared" si="36"/>
        <v>1.7350153540155728E-17</v>
      </c>
      <c r="AO22" s="1">
        <f t="shared" si="36"/>
        <v>1.9398061367923414E-17</v>
      </c>
      <c r="AP22" s="1">
        <f t="shared" si="36"/>
        <v>2.124951156616235E-17</v>
      </c>
    </row>
    <row r="23" spans="2:42" x14ac:dyDescent="0.2">
      <c r="R23" s="10"/>
      <c r="S23" s="11"/>
      <c r="T23" s="11"/>
      <c r="U23" s="11"/>
      <c r="V23" s="12"/>
      <c r="AI23">
        <v>900</v>
      </c>
      <c r="AJ23">
        <f t="shared" ref="AJ23:AJ29" si="37">1/(0.000086173)/AI23</f>
        <v>12.893958793486489</v>
      </c>
      <c r="AK23" s="1">
        <f t="shared" ref="AK23:AP25" si="38">(0.00000000000000138)*EXP(-0.412*$AJ23)*0.000000000053*SQRT(AK$21)</f>
        <v>5.0999109208555122E-18</v>
      </c>
      <c r="AL23" s="1">
        <f t="shared" si="38"/>
        <v>7.2123631911685256E-18</v>
      </c>
      <c r="AM23" s="1">
        <f t="shared" si="38"/>
        <v>8.8333048289971268E-18</v>
      </c>
      <c r="AN23" s="1">
        <f t="shared" si="38"/>
        <v>1.0199821841711024E-17</v>
      </c>
      <c r="AO23" s="1">
        <f t="shared" si="38"/>
        <v>1.1403747498226475E-17</v>
      </c>
      <c r="AP23" s="1">
        <f t="shared" si="38"/>
        <v>1.249217948974349E-17</v>
      </c>
    </row>
    <row r="24" spans="2:42" x14ac:dyDescent="0.2">
      <c r="B24" t="s">
        <v>3</v>
      </c>
      <c r="C24" t="s">
        <v>0</v>
      </c>
      <c r="D24" t="s">
        <v>8</v>
      </c>
      <c r="E24" t="s">
        <v>15</v>
      </c>
      <c r="F24" t="s">
        <v>1</v>
      </c>
      <c r="G24" t="s">
        <v>2</v>
      </c>
      <c r="H24" t="s">
        <v>4</v>
      </c>
      <c r="I24" t="s">
        <v>1</v>
      </c>
      <c r="J24" t="s">
        <v>2</v>
      </c>
      <c r="R24" s="10" t="s">
        <v>5</v>
      </c>
      <c r="S24" s="11" t="s">
        <v>6</v>
      </c>
      <c r="T24" s="11" t="s">
        <v>7</v>
      </c>
      <c r="U24" s="11"/>
      <c r="V24" s="12"/>
      <c r="AI24">
        <v>800</v>
      </c>
      <c r="AJ24">
        <f t="shared" si="37"/>
        <v>14.5057036426723</v>
      </c>
      <c r="AK24" s="1">
        <f t="shared" si="38"/>
        <v>2.6252711743288331E-18</v>
      </c>
      <c r="AL24" s="1">
        <f t="shared" si="38"/>
        <v>3.712694099642977E-18</v>
      </c>
      <c r="AM24" s="1">
        <f t="shared" si="38"/>
        <v>4.5471030575835492E-18</v>
      </c>
      <c r="AN24" s="1">
        <f t="shared" si="38"/>
        <v>5.2505423486576662E-18</v>
      </c>
      <c r="AO24" s="1">
        <f t="shared" si="38"/>
        <v>5.8702848051699708E-18</v>
      </c>
      <c r="AP24" s="1">
        <f t="shared" si="38"/>
        <v>6.4305748135428252E-18</v>
      </c>
    </row>
    <row r="25" spans="2:42" x14ac:dyDescent="0.2">
      <c r="B25" s="1">
        <v>7.5E+20</v>
      </c>
      <c r="C25">
        <v>1000</v>
      </c>
      <c r="D25">
        <f>1/C25</f>
        <v>1E-3</v>
      </c>
      <c r="E25">
        <f>1/((0.000086173)*C25)</f>
        <v>11.604562914137839</v>
      </c>
      <c r="F25">
        <v>2.8500000000000001E-2</v>
      </c>
      <c r="G25">
        <v>0.21859999999999999</v>
      </c>
      <c r="H25" s="1">
        <v>9.9999999999999995E-8</v>
      </c>
      <c r="I25">
        <f>F25*H25</f>
        <v>2.8499999999999999E-9</v>
      </c>
      <c r="J25">
        <f>G25*H25</f>
        <v>2.1859999999999999E-8</v>
      </c>
      <c r="K25">
        <f>(2000*0.000000000401)*EXP(-0.522*E25)</f>
        <v>1.8767222416006389E-9</v>
      </c>
      <c r="L25">
        <f>(2000*0.0000000000799)*EXP(-0.433*E25)</f>
        <v>1.0503750506745502E-9</v>
      </c>
      <c r="M25">
        <f>(2000*0.00000000123)*EXP(-0.75*E25)</f>
        <v>4.0840107654980419E-10</v>
      </c>
      <c r="N25">
        <f>(2000*0.000000000143)*EXP(-0.678*E25)</f>
        <v>1.0949221315810256E-10</v>
      </c>
      <c r="O25">
        <f>(I25*K25+J25*M25)</f>
        <v>1.4276305921940539E-17</v>
      </c>
      <c r="P25">
        <f>(I25*L25+J25*N25)</f>
        <v>5.38706867405859E-18</v>
      </c>
      <c r="R25" s="10">
        <f xml:space="preserve"> 0.000000000392*EXP(-0.523/(0.000086173)/C25)</f>
        <v>9.0671730002506872E-13</v>
      </c>
      <c r="S25" s="11">
        <f>0.000000000266*EXP(-0.665/(0.000086173)/C25)</f>
        <v>1.1841758695165239E-13</v>
      </c>
      <c r="T25" s="11">
        <f>I25*R25+J25*S25</f>
        <v>5.1727527558345672E-21</v>
      </c>
      <c r="U25" s="11"/>
      <c r="V25" s="12"/>
      <c r="AI25">
        <v>700</v>
      </c>
      <c r="AJ25">
        <f t="shared" si="37"/>
        <v>16.577947020196913</v>
      </c>
      <c r="AK25" s="1">
        <f t="shared" si="38"/>
        <v>1.1178642259613998E-18</v>
      </c>
      <c r="AL25" s="1">
        <f t="shared" si="38"/>
        <v>1.5808987492463135E-18</v>
      </c>
      <c r="AM25" s="1">
        <f t="shared" si="38"/>
        <v>1.9361976353288E-18</v>
      </c>
      <c r="AN25" s="1">
        <f t="shared" si="38"/>
        <v>2.2357284519227996E-18</v>
      </c>
      <c r="AO25" s="1">
        <f t="shared" si="38"/>
        <v>2.4996203988648748E-18</v>
      </c>
      <c r="AP25" s="1">
        <f t="shared" si="38"/>
        <v>2.7381969553167055E-18</v>
      </c>
    </row>
    <row r="26" spans="2:42" x14ac:dyDescent="0.2">
      <c r="B26" s="1">
        <v>7.5E+20</v>
      </c>
      <c r="C26">
        <v>900</v>
      </c>
      <c r="D26">
        <f t="shared" ref="D26:D32" si="39">1/C26</f>
        <v>1.1111111111111111E-3</v>
      </c>
      <c r="E26">
        <f t="shared" ref="E26:E32" si="40">1/((0.000086173)*C26)</f>
        <v>12.893958793486487</v>
      </c>
      <c r="F26">
        <v>3.4599999999999999E-2</v>
      </c>
      <c r="G26">
        <v>0.31790000000000002</v>
      </c>
      <c r="H26" s="1">
        <v>9.9999999999999995E-8</v>
      </c>
      <c r="I26">
        <f t="shared" ref="I26:I32" si="41">F26*H26</f>
        <v>3.4599999999999996E-9</v>
      </c>
      <c r="J26">
        <f t="shared" ref="J26:J32" si="42">G26*H26</f>
        <v>3.1790000000000002E-8</v>
      </c>
      <c r="K26">
        <f t="shared" ref="K26:K32" si="43">(2000*0.000000000401)*EXP(-0.522*E26)</f>
        <v>9.5739628499869752E-10</v>
      </c>
      <c r="L26">
        <f t="shared" ref="L26:L32" si="44">(2000*0.0000000000799)*EXP(-0.433*E26)</f>
        <v>6.0099953134005551E-10</v>
      </c>
      <c r="M26">
        <f t="shared" ref="M26:M32" si="45">(2000*0.00000000123)*EXP(-0.75*E26)</f>
        <v>1.5527578792143367E-10</v>
      </c>
      <c r="N26">
        <f t="shared" ref="N26:N32" si="46">(2000*0.000000000143)*EXP(-0.678*E26)</f>
        <v>4.5679198892672476E-11</v>
      </c>
      <c r="O26">
        <f t="shared" ref="O26:O32" si="47">(I26*K26+J26*M26)</f>
        <v>8.2488084441178685E-18</v>
      </c>
      <c r="P26">
        <f t="shared" ref="P26:P32" si="48">(I26*L26+J26*N26)</f>
        <v>3.5316001112346498E-18</v>
      </c>
      <c r="R26" s="10">
        <f t="shared" ref="R26:R32" si="49" xml:space="preserve"> 0.000000000392*EXP(-0.523/(0.000086173)/C26)</f>
        <v>4.6195924355603135E-13</v>
      </c>
      <c r="S26" s="11">
        <f t="shared" ref="S26:S32" si="50">0.000000000266*EXP(-0.665/(0.000086173)/C26)</f>
        <v>5.0237863234514219E-14</v>
      </c>
      <c r="T26" s="11">
        <f t="shared" ref="T26:T32" si="51">I26*R26+J26*S26</f>
        <v>3.1954406549290755E-21</v>
      </c>
      <c r="U26" s="11"/>
      <c r="V26" s="12"/>
      <c r="AI26">
        <v>600</v>
      </c>
      <c r="AJ26">
        <f t="shared" si="37"/>
        <v>19.340938190229732</v>
      </c>
      <c r="AK26" s="1">
        <f>(0.000000000000124)*EXP(-0.675*$AJ26)*0.000000000053*SQRT(AK$21)</f>
        <v>1.9881090821386879E-19</v>
      </c>
      <c r="AL26" s="1">
        <f t="shared" ref="AL26:AP26" si="52">(0.000000000000124)*EXP(-0.675*$AJ26)*0.000000000053*SQRT(AL$21)</f>
        <v>2.8116108274376577E-19</v>
      </c>
      <c r="AM26" s="1">
        <f t="shared" si="52"/>
        <v>3.4435059412533334E-19</v>
      </c>
      <c r="AN26" s="1">
        <f t="shared" si="52"/>
        <v>3.9762181642773758E-19</v>
      </c>
      <c r="AO26" s="1">
        <f t="shared" si="52"/>
        <v>4.445547054346819E-19</v>
      </c>
      <c r="AP26" s="1">
        <f t="shared" si="52"/>
        <v>4.8698528042327955E-19</v>
      </c>
    </row>
    <row r="27" spans="2:42" x14ac:dyDescent="0.2">
      <c r="B27" s="1">
        <v>7.5E+20</v>
      </c>
      <c r="C27">
        <v>800</v>
      </c>
      <c r="D27">
        <f t="shared" si="39"/>
        <v>1.25E-3</v>
      </c>
      <c r="E27">
        <f t="shared" si="40"/>
        <v>14.5057036426723</v>
      </c>
      <c r="F27">
        <v>4.48E-2</v>
      </c>
      <c r="G27">
        <v>0.51829999999999998</v>
      </c>
      <c r="H27" s="1">
        <v>9.9999999999999995E-8</v>
      </c>
      <c r="I27">
        <f t="shared" si="41"/>
        <v>4.4799999999999994E-9</v>
      </c>
      <c r="J27">
        <f t="shared" si="42"/>
        <v>5.1829999999999995E-8</v>
      </c>
      <c r="K27">
        <f t="shared" si="43"/>
        <v>4.1276836884592861E-10</v>
      </c>
      <c r="L27">
        <f t="shared" si="44"/>
        <v>2.9907926393675988E-10</v>
      </c>
      <c r="M27">
        <f t="shared" si="45"/>
        <v>4.635801386112917E-11</v>
      </c>
      <c r="N27">
        <f t="shared" si="46"/>
        <v>1.5315724107031564E-11</v>
      </c>
      <c r="O27">
        <f t="shared" si="47"/>
        <v>4.2519381508520848E-18</v>
      </c>
      <c r="P27">
        <f t="shared" si="48"/>
        <v>2.1336890829041301E-18</v>
      </c>
      <c r="R27" s="10">
        <f t="shared" si="49"/>
        <v>1.9884668758454518E-13</v>
      </c>
      <c r="S27" s="11">
        <f t="shared" si="50"/>
        <v>1.7200847663845354E-14</v>
      </c>
      <c r="T27" s="11">
        <f t="shared" si="51"/>
        <v>1.7823530947958667E-21</v>
      </c>
      <c r="U27" s="11"/>
      <c r="V27" s="12"/>
      <c r="AI27">
        <v>500</v>
      </c>
      <c r="AJ27">
        <f t="shared" si="37"/>
        <v>23.209125828275678</v>
      </c>
      <c r="AK27" s="1">
        <f t="shared" ref="AK27:AP29" si="53">(0.000000000000124)*EXP(-0.675*$AJ27)*0.000000000053*SQRT(AK$21)</f>
        <v>1.4604467971265888E-20</v>
      </c>
      <c r="AL27" s="1">
        <f t="shared" si="53"/>
        <v>2.0653836676207699E-20</v>
      </c>
      <c r="AM27" s="1">
        <f t="shared" si="53"/>
        <v>2.5295680543744882E-20</v>
      </c>
      <c r="AN27" s="1">
        <f t="shared" si="53"/>
        <v>2.9208935942531775E-20</v>
      </c>
      <c r="AO27" s="1">
        <f t="shared" si="53"/>
        <v>3.2656583158968969E-20</v>
      </c>
      <c r="AP27" s="1">
        <f t="shared" si="53"/>
        <v>3.5773494494421244E-20</v>
      </c>
    </row>
    <row r="28" spans="2:42" x14ac:dyDescent="0.2">
      <c r="B28" s="1">
        <v>7.5E+20</v>
      </c>
      <c r="C28">
        <v>700</v>
      </c>
      <c r="D28">
        <f t="shared" si="39"/>
        <v>1.4285714285714286E-3</v>
      </c>
      <c r="E28">
        <f t="shared" si="40"/>
        <v>16.577947020196913</v>
      </c>
      <c r="F28">
        <v>6.2700000000000006E-2</v>
      </c>
      <c r="G28">
        <v>0.97330000000000005</v>
      </c>
      <c r="H28" s="1">
        <v>9.9999999999999995E-8</v>
      </c>
      <c r="I28">
        <f t="shared" si="41"/>
        <v>6.2700000000000001E-9</v>
      </c>
      <c r="J28">
        <f t="shared" si="42"/>
        <v>9.7329999999999999E-8</v>
      </c>
      <c r="K28">
        <f t="shared" si="43"/>
        <v>1.3993465201354922E-10</v>
      </c>
      <c r="L28">
        <f t="shared" si="44"/>
        <v>1.2192757885964732E-10</v>
      </c>
      <c r="M28">
        <f t="shared" si="45"/>
        <v>9.7983268622687619E-12</v>
      </c>
      <c r="N28">
        <f t="shared" si="46"/>
        <v>3.7580455063379915E-12</v>
      </c>
      <c r="O28">
        <f t="shared" si="47"/>
        <v>1.8310614216295724E-18</v>
      </c>
      <c r="P28">
        <f t="shared" si="48"/>
        <v>1.1302564885818654E-18</v>
      </c>
      <c r="R28" s="10">
        <f t="shared" si="49"/>
        <v>6.7272452384127942E-14</v>
      </c>
      <c r="S28" s="11">
        <f t="shared" si="50"/>
        <v>4.3358463140515789E-15</v>
      </c>
      <c r="T28" s="11">
        <f t="shared" si="51"/>
        <v>8.4380619819512237E-22</v>
      </c>
      <c r="U28" s="11"/>
      <c r="V28" s="12"/>
      <c r="AI28">
        <v>400</v>
      </c>
      <c r="AJ28">
        <f t="shared" si="37"/>
        <v>29.0114072853446</v>
      </c>
      <c r="AK28" s="1">
        <f t="shared" si="53"/>
        <v>2.9077297346894347E-22</v>
      </c>
      <c r="AL28" s="1">
        <f t="shared" si="53"/>
        <v>4.1121508265133195E-22</v>
      </c>
      <c r="AM28" s="1">
        <f t="shared" si="53"/>
        <v>5.0363356351608722E-22</v>
      </c>
      <c r="AN28" s="1">
        <f t="shared" si="53"/>
        <v>5.8154594693788695E-22</v>
      </c>
      <c r="AO28" s="1">
        <f t="shared" si="53"/>
        <v>6.5018813469630036E-22</v>
      </c>
      <c r="AP28" s="1">
        <f t="shared" si="53"/>
        <v>7.1224541599074216E-22</v>
      </c>
    </row>
    <row r="29" spans="2:42" x14ac:dyDescent="0.2">
      <c r="B29" s="1">
        <v>7.5E+20</v>
      </c>
      <c r="C29">
        <v>600</v>
      </c>
      <c r="D29">
        <f t="shared" si="39"/>
        <v>1.6666666666666668E-3</v>
      </c>
      <c r="E29">
        <f t="shared" si="40"/>
        <v>19.340938190229732</v>
      </c>
      <c r="F29">
        <v>6.3E-3</v>
      </c>
      <c r="G29">
        <v>0.14419999999999999</v>
      </c>
      <c r="H29" s="1">
        <v>9.9999999999999995E-7</v>
      </c>
      <c r="I29">
        <f t="shared" si="41"/>
        <v>6.3000000000000002E-9</v>
      </c>
      <c r="J29">
        <f t="shared" si="42"/>
        <v>1.4419999999999998E-7</v>
      </c>
      <c r="K29">
        <f t="shared" si="43"/>
        <v>3.3078851528425173E-11</v>
      </c>
      <c r="L29">
        <f t="shared" si="44"/>
        <v>3.6857240163022951E-11</v>
      </c>
      <c r="M29">
        <f t="shared" si="45"/>
        <v>1.2336389100961729E-12</v>
      </c>
      <c r="N29">
        <f t="shared" si="46"/>
        <v>5.7729088666488944E-13</v>
      </c>
      <c r="O29">
        <f t="shared" si="47"/>
        <v>3.862874954649467E-19</v>
      </c>
      <c r="P29">
        <f t="shared" si="48"/>
        <v>3.154459588841216E-19</v>
      </c>
      <c r="R29" s="10">
        <f t="shared" si="49"/>
        <v>1.5858512862867561E-14</v>
      </c>
      <c r="S29" s="11">
        <f t="shared" si="50"/>
        <v>6.9040816780755226E-16</v>
      </c>
      <c r="T29" s="11">
        <f t="shared" si="51"/>
        <v>1.9946548883391466E-22</v>
      </c>
      <c r="U29" s="11"/>
      <c r="V29" s="12"/>
      <c r="AI29">
        <v>300</v>
      </c>
      <c r="AJ29">
        <f t="shared" si="37"/>
        <v>38.681876380459464</v>
      </c>
      <c r="AK29" s="1">
        <f t="shared" si="53"/>
        <v>4.2527305397658852E-25</v>
      </c>
      <c r="AL29" s="1">
        <f t="shared" si="53"/>
        <v>6.0142692064551676E-25</v>
      </c>
      <c r="AM29" s="1">
        <f t="shared" si="53"/>
        <v>7.3659453657743283E-25</v>
      </c>
      <c r="AN29" s="1">
        <f t="shared" si="53"/>
        <v>8.5054610795317704E-25</v>
      </c>
      <c r="AO29" s="1">
        <f t="shared" si="53"/>
        <v>9.509394576905892E-25</v>
      </c>
      <c r="AP29" s="1">
        <f t="shared" si="53"/>
        <v>1.0417019835977304E-24</v>
      </c>
    </row>
    <row r="30" spans="2:42" x14ac:dyDescent="0.2">
      <c r="B30" s="1">
        <v>7.5E+20</v>
      </c>
      <c r="C30">
        <v>500</v>
      </c>
      <c r="D30">
        <f t="shared" si="39"/>
        <v>2E-3</v>
      </c>
      <c r="E30">
        <f t="shared" si="40"/>
        <v>23.209125828275678</v>
      </c>
      <c r="F30">
        <v>3.0000000000000001E-3</v>
      </c>
      <c r="G30">
        <v>0.12130000000000001</v>
      </c>
      <c r="H30" s="1">
        <v>9.9999999999999995E-7</v>
      </c>
      <c r="I30">
        <f t="shared" si="41"/>
        <v>3E-9</v>
      </c>
      <c r="J30">
        <f t="shared" si="42"/>
        <v>1.2130000000000001E-7</v>
      </c>
      <c r="K30">
        <f t="shared" si="43"/>
        <v>4.3916288929158682E-12</v>
      </c>
      <c r="L30">
        <f t="shared" si="44"/>
        <v>6.9041786425504617E-12</v>
      </c>
      <c r="M30">
        <f t="shared" si="45"/>
        <v>6.7801398100422372E-14</v>
      </c>
      <c r="N30">
        <f t="shared" si="46"/>
        <v>4.1917988609298501E-14</v>
      </c>
      <c r="O30">
        <f t="shared" si="47"/>
        <v>2.1399196268328838E-20</v>
      </c>
      <c r="P30">
        <f t="shared" si="48"/>
        <v>2.5797187945959292E-20</v>
      </c>
      <c r="R30" s="10">
        <f t="shared" si="49"/>
        <v>2.0972863830733434E-15</v>
      </c>
      <c r="S30" s="11">
        <f t="shared" si="50"/>
        <v>5.2717010900196067E-17</v>
      </c>
      <c r="T30" s="11">
        <f t="shared" si="51"/>
        <v>1.2686432571413813E-23</v>
      </c>
      <c r="U30" s="11"/>
      <c r="V30" s="12"/>
    </row>
    <row r="31" spans="2:42" x14ac:dyDescent="0.2">
      <c r="B31" s="1">
        <v>7.5E+20</v>
      </c>
      <c r="C31">
        <v>400</v>
      </c>
      <c r="D31">
        <f t="shared" si="39"/>
        <v>2.5000000000000001E-3</v>
      </c>
      <c r="E31">
        <f t="shared" si="40"/>
        <v>29.0114072853446</v>
      </c>
      <c r="F31">
        <v>1.4E-3</v>
      </c>
      <c r="G31">
        <v>0.107</v>
      </c>
      <c r="H31" s="1">
        <v>9.9999999999999995E-7</v>
      </c>
      <c r="I31">
        <f t="shared" si="41"/>
        <v>1.3999999999999999E-9</v>
      </c>
      <c r="J31">
        <f t="shared" si="42"/>
        <v>1.0699999999999999E-7</v>
      </c>
      <c r="K31">
        <f t="shared" si="43"/>
        <v>2.1244105526150701E-13</v>
      </c>
      <c r="L31">
        <f t="shared" si="44"/>
        <v>5.5975222851660861E-13</v>
      </c>
      <c r="M31">
        <f t="shared" si="45"/>
        <v>8.7360384111733513E-16</v>
      </c>
      <c r="N31">
        <f t="shared" si="46"/>
        <v>8.2017973749198517E-16</v>
      </c>
      <c r="O31">
        <f t="shared" si="47"/>
        <v>3.9089308836566465E-22</v>
      </c>
      <c r="P31">
        <f t="shared" si="48"/>
        <v>8.7141235183489448E-22</v>
      </c>
      <c r="R31" s="10">
        <f t="shared" si="49"/>
        <v>1.0086736011057582E-16</v>
      </c>
      <c r="S31" s="11">
        <f t="shared" si="50"/>
        <v>1.1122900765218577E-18</v>
      </c>
      <c r="T31" s="11">
        <f t="shared" si="51"/>
        <v>2.6022934234264492E-25</v>
      </c>
      <c r="U31" s="11"/>
      <c r="V31" s="12"/>
      <c r="AJ31" t="s">
        <v>17</v>
      </c>
    </row>
    <row r="32" spans="2:42" x14ac:dyDescent="0.2">
      <c r="B32" s="1">
        <v>7.5E+20</v>
      </c>
      <c r="C32">
        <v>300</v>
      </c>
      <c r="D32">
        <f t="shared" si="39"/>
        <v>3.3333333333333335E-3</v>
      </c>
      <c r="E32">
        <f t="shared" si="40"/>
        <v>38.681876380459464</v>
      </c>
      <c r="F32">
        <v>5.0000000000000001E-4</v>
      </c>
      <c r="G32">
        <v>0.17069999999999999</v>
      </c>
      <c r="H32" s="1">
        <v>9.9999999999999995E-7</v>
      </c>
      <c r="I32">
        <f t="shared" si="41"/>
        <v>5.0000000000000003E-10</v>
      </c>
      <c r="J32">
        <f t="shared" si="42"/>
        <v>1.7069999999999999E-7</v>
      </c>
      <c r="K32">
        <f t="shared" si="43"/>
        <v>1.3643521426927635E-15</v>
      </c>
      <c r="L32">
        <f t="shared" si="44"/>
        <v>8.50097717418493E-15</v>
      </c>
      <c r="M32">
        <f t="shared" si="45"/>
        <v>6.1864429288750962E-19</v>
      </c>
      <c r="N32">
        <f t="shared" si="46"/>
        <v>1.1652614259662035E-18</v>
      </c>
      <c r="O32">
        <f t="shared" si="47"/>
        <v>7.8777865214227969E-25</v>
      </c>
      <c r="P32">
        <f t="shared" si="48"/>
        <v>4.4493987125048961E-24</v>
      </c>
      <c r="R32" s="10">
        <f t="shared" si="49"/>
        <v>6.4156232199422413E-19</v>
      </c>
      <c r="S32" s="11">
        <f t="shared" si="50"/>
        <v>1.7919678126894032E-21</v>
      </c>
      <c r="T32" s="11">
        <f t="shared" si="51"/>
        <v>6.2667006662319313E-28</v>
      </c>
      <c r="U32" s="11"/>
      <c r="V32" s="12"/>
      <c r="AK32" t="s">
        <v>14</v>
      </c>
    </row>
    <row r="33" spans="2:42" x14ac:dyDescent="0.2">
      <c r="R33" s="10"/>
      <c r="S33" s="11"/>
      <c r="T33" s="11"/>
      <c r="U33" s="11"/>
      <c r="V33" s="12"/>
      <c r="AI33" t="s">
        <v>0</v>
      </c>
      <c r="AJ33" t="s">
        <v>15</v>
      </c>
      <c r="AK33" s="1">
        <v>2E+20</v>
      </c>
      <c r="AL33" s="1">
        <v>4E+20</v>
      </c>
      <c r="AM33" s="1">
        <v>6E+20</v>
      </c>
      <c r="AN33" s="1">
        <v>8E+20</v>
      </c>
      <c r="AO33" s="1">
        <v>1E+21</v>
      </c>
      <c r="AP33" s="1">
        <v>1.2E+21</v>
      </c>
    </row>
    <row r="34" spans="2:42" x14ac:dyDescent="0.2">
      <c r="B34" t="s">
        <v>3</v>
      </c>
      <c r="C34" t="s">
        <v>0</v>
      </c>
      <c r="D34" t="s">
        <v>8</v>
      </c>
      <c r="E34" t="s">
        <v>15</v>
      </c>
      <c r="F34" t="s">
        <v>1</v>
      </c>
      <c r="G34" t="s">
        <v>2</v>
      </c>
      <c r="H34" t="s">
        <v>4</v>
      </c>
      <c r="I34" t="s">
        <v>1</v>
      </c>
      <c r="J34" t="s">
        <v>2</v>
      </c>
      <c r="R34" s="10" t="s">
        <v>5</v>
      </c>
      <c r="S34" s="11" t="s">
        <v>6</v>
      </c>
      <c r="T34" s="11" t="s">
        <v>7</v>
      </c>
      <c r="U34" s="11"/>
      <c r="V34" s="12"/>
      <c r="AI34">
        <v>1000</v>
      </c>
      <c r="AJ34">
        <f>1/(0.000086173)/AI34</f>
        <v>11.604562914137839</v>
      </c>
      <c r="AK34" s="1">
        <f>(0.000000000000000165)*EXP(-0.313*$AJ34)*0.000000000053*SQRT(AK$21)</f>
        <v>3.2720365840404117E-18</v>
      </c>
      <c r="AL34" s="1">
        <f t="shared" ref="AL34:AP34" si="54">(0.000000000000000165)*EXP(-0.313*$AJ34)*0.000000000053*SQRT(AL$21)</f>
        <v>4.6273585137308836E-18</v>
      </c>
      <c r="AM34" s="1">
        <f t="shared" si="54"/>
        <v>5.6673336077821052E-18</v>
      </c>
      <c r="AN34" s="1">
        <f t="shared" si="54"/>
        <v>6.5440731680808233E-18</v>
      </c>
      <c r="AO34" s="1">
        <f t="shared" si="54"/>
        <v>7.3164962267805636E-18</v>
      </c>
      <c r="AP34" s="1">
        <f t="shared" si="54"/>
        <v>8.0148200506182963E-18</v>
      </c>
    </row>
    <row r="35" spans="2:42" x14ac:dyDescent="0.2">
      <c r="B35" s="1">
        <v>2E+20</v>
      </c>
      <c r="C35">
        <v>1000</v>
      </c>
      <c r="D35">
        <f>1/C35</f>
        <v>1E-3</v>
      </c>
      <c r="E35">
        <f>1/((0.000086173)*C35)</f>
        <v>11.604562914137839</v>
      </c>
      <c r="F35">
        <v>1.47E-2</v>
      </c>
      <c r="G35">
        <v>0.1129</v>
      </c>
      <c r="H35" s="1">
        <v>9.9999999999999995E-8</v>
      </c>
      <c r="I35">
        <f>F35*H35</f>
        <v>1.4699999999999999E-9</v>
      </c>
      <c r="J35">
        <f>G35*H35</f>
        <v>1.1289999999999999E-8</v>
      </c>
      <c r="K35">
        <f>(2000*0.000000000401)*EXP(-0.522*E35)</f>
        <v>1.8767222416006389E-9</v>
      </c>
      <c r="L35">
        <f>(2000*0.0000000000799)*EXP(-0.433*E35)</f>
        <v>1.0503750506745502E-9</v>
      </c>
      <c r="M35">
        <f>(2000*0.00000000123)*EXP(-0.75*E35)</f>
        <v>4.0840107654980419E-10</v>
      </c>
      <c r="N35">
        <f>(2000*0.000000000143)*EXP(-0.678*E35)</f>
        <v>1.0949221315810256E-10</v>
      </c>
      <c r="O35">
        <f>(I35*K35+J35*M35)</f>
        <v>7.3696298494002275E-18</v>
      </c>
      <c r="P35">
        <f>(I35*L35+J35*N35)</f>
        <v>2.7802184110465666E-18</v>
      </c>
      <c r="R35" s="10">
        <f xml:space="preserve"> 0.000000000392*EXP(-0.523/(0.000086173)/C35)</f>
        <v>9.0671730002506872E-13</v>
      </c>
      <c r="S35" s="11">
        <f>0.000000000266*EXP(-0.665/(0.000086173)/C35)</f>
        <v>1.1841758695165239E-13</v>
      </c>
      <c r="T35" s="11">
        <f>I35*R35+J35*S35</f>
        <v>2.6698089877210065E-21</v>
      </c>
      <c r="U35" s="11"/>
      <c r="V35" s="12"/>
      <c r="AI35">
        <v>900</v>
      </c>
      <c r="AJ35">
        <f t="shared" ref="AJ35:AJ41" si="55">1/(0.000086173)/AI35</f>
        <v>12.893958793486489</v>
      </c>
      <c r="AK35" s="1">
        <f t="shared" ref="AK35:AP37" si="56">(0.000000000000000165)*EXP(-0.313*$AJ35)*0.000000000053*SQRT(AK$21)</f>
        <v>2.1854717068358185E-18</v>
      </c>
      <c r="AL35" s="1">
        <f t="shared" si="56"/>
        <v>3.090723727989891E-18</v>
      </c>
      <c r="AM35" s="1">
        <f t="shared" si="56"/>
        <v>3.7853480347439116E-18</v>
      </c>
      <c r="AN35" s="1">
        <f t="shared" si="56"/>
        <v>4.3709434136716369E-18</v>
      </c>
      <c r="AO35" s="1">
        <f t="shared" si="56"/>
        <v>4.8868632993873815E-18</v>
      </c>
      <c r="AP35" s="1">
        <f t="shared" si="56"/>
        <v>5.3532905290371825E-18</v>
      </c>
    </row>
    <row r="36" spans="2:42" x14ac:dyDescent="0.2">
      <c r="B36" s="1">
        <v>2E+20</v>
      </c>
      <c r="C36">
        <v>900</v>
      </c>
      <c r="D36">
        <f t="shared" ref="D36:D42" si="57">1/C36</f>
        <v>1.1111111111111111E-3</v>
      </c>
      <c r="E36">
        <f t="shared" ref="E36:E42" si="58">1/((0.000086173)*C36)</f>
        <v>12.893958793486487</v>
      </c>
      <c r="F36">
        <v>1.7899999999999999E-2</v>
      </c>
      <c r="G36">
        <v>0.16420000000000001</v>
      </c>
      <c r="H36" s="1">
        <v>9.9999999999999995E-8</v>
      </c>
      <c r="I36">
        <f t="shared" ref="I36:I42" si="59">F36*H36</f>
        <v>1.7899999999999998E-9</v>
      </c>
      <c r="J36">
        <f t="shared" ref="J36:J42" si="60">G36*H36</f>
        <v>1.6420000000000001E-8</v>
      </c>
      <c r="K36">
        <f t="shared" ref="K36:K42" si="61">(2000*0.000000000401)*EXP(-0.522*E36)</f>
        <v>9.5739628499869752E-10</v>
      </c>
      <c r="L36">
        <f t="shared" ref="L36:L42" si="62">(2000*0.0000000000799)*EXP(-0.433*E36)</f>
        <v>6.0099953134005551E-10</v>
      </c>
      <c r="M36">
        <f t="shared" ref="M36:M42" si="63">(2000*0.00000000123)*EXP(-0.75*E36)</f>
        <v>1.5527578792143367E-10</v>
      </c>
      <c r="N36">
        <f t="shared" ref="N36:N42" si="64">(2000*0.000000000143)*EXP(-0.678*E36)</f>
        <v>4.5679198892672476E-11</v>
      </c>
      <c r="O36">
        <f t="shared" ref="O36:O42" si="65">(I36*K36+J36*M36)</f>
        <v>4.2633677878176096E-18</v>
      </c>
      <c r="P36">
        <f t="shared" ref="P36:P42" si="66">(I36*L36+J36*N36)</f>
        <v>1.8258416069163813E-18</v>
      </c>
      <c r="R36" s="10">
        <f t="shared" ref="R36:R42" si="67" xml:space="preserve"> 0.000000000392*EXP(-0.523/(0.000086173)/C36)</f>
        <v>4.6195924355603135E-13</v>
      </c>
      <c r="S36" s="11">
        <f t="shared" ref="S36:S42" si="68">0.000000000266*EXP(-0.665/(0.000086173)/C36)</f>
        <v>5.0237863234514219E-14</v>
      </c>
      <c r="T36" s="11">
        <f t="shared" ref="T36:T42" si="69">I36*R36+J36*S36</f>
        <v>1.6518127602760194E-21</v>
      </c>
      <c r="U36" s="11"/>
      <c r="V36" s="12"/>
      <c r="AI36">
        <v>800</v>
      </c>
      <c r="AJ36">
        <f t="shared" si="55"/>
        <v>14.5057036426723</v>
      </c>
      <c r="AK36" s="1">
        <f t="shared" si="56"/>
        <v>1.3196354861255854E-18</v>
      </c>
      <c r="AL36" s="1">
        <f t="shared" si="56"/>
        <v>1.8662464018676152E-18</v>
      </c>
      <c r="AM36" s="1">
        <f t="shared" si="56"/>
        <v>2.285675709440368E-18</v>
      </c>
      <c r="AN36" s="1">
        <f t="shared" si="56"/>
        <v>2.6392709722511707E-18</v>
      </c>
      <c r="AO36" s="1">
        <f t="shared" si="56"/>
        <v>2.9507946524977893E-18</v>
      </c>
      <c r="AP36" s="1">
        <f t="shared" si="56"/>
        <v>3.2324335874773147E-18</v>
      </c>
    </row>
    <row r="37" spans="2:42" x14ac:dyDescent="0.2">
      <c r="B37" s="1">
        <v>2E+20</v>
      </c>
      <c r="C37">
        <v>800</v>
      </c>
      <c r="D37">
        <f t="shared" si="57"/>
        <v>1.25E-3</v>
      </c>
      <c r="E37">
        <f t="shared" si="58"/>
        <v>14.5057036426723</v>
      </c>
      <c r="F37">
        <v>2.3199999999999998E-2</v>
      </c>
      <c r="G37">
        <v>0.26769999999999999</v>
      </c>
      <c r="H37" s="1">
        <v>9.9999999999999995E-8</v>
      </c>
      <c r="I37">
        <f t="shared" si="59"/>
        <v>2.3199999999999998E-9</v>
      </c>
      <c r="J37">
        <f t="shared" si="60"/>
        <v>2.6769999999999998E-8</v>
      </c>
      <c r="K37">
        <f t="shared" si="61"/>
        <v>4.1276836884592861E-10</v>
      </c>
      <c r="L37">
        <f t="shared" si="62"/>
        <v>2.9907926393675988E-10</v>
      </c>
      <c r="M37">
        <f t="shared" si="63"/>
        <v>4.635801386112917E-11</v>
      </c>
      <c r="N37">
        <f t="shared" si="64"/>
        <v>1.5315724107031564E-11</v>
      </c>
      <c r="O37">
        <f t="shared" si="65"/>
        <v>2.198626646784982E-18</v>
      </c>
      <c r="P37">
        <f t="shared" si="66"/>
        <v>1.1038658266785177E-18</v>
      </c>
      <c r="R37" s="10">
        <f t="shared" si="67"/>
        <v>1.9884668758454518E-13</v>
      </c>
      <c r="S37" s="11">
        <f t="shared" si="68"/>
        <v>1.7200847663845354E-14</v>
      </c>
      <c r="T37" s="11">
        <f t="shared" si="69"/>
        <v>9.2179100715728501E-22</v>
      </c>
      <c r="U37" s="11"/>
      <c r="V37" s="12"/>
      <c r="AI37">
        <v>700</v>
      </c>
      <c r="AJ37">
        <f t="shared" si="55"/>
        <v>16.577947020196913</v>
      </c>
      <c r="AK37" s="1">
        <f t="shared" si="56"/>
        <v>6.898668813541567E-19</v>
      </c>
      <c r="AL37" s="1">
        <f t="shared" si="56"/>
        <v>9.756190998430793E-19</v>
      </c>
      <c r="AM37" s="1">
        <f t="shared" si="56"/>
        <v>1.1948844889644899E-18</v>
      </c>
      <c r="AN37" s="1">
        <f t="shared" si="56"/>
        <v>1.3797337627083134E-18</v>
      </c>
      <c r="AO37" s="1">
        <f t="shared" si="56"/>
        <v>1.5425892421336765E-18</v>
      </c>
      <c r="AP37" s="1">
        <f t="shared" si="56"/>
        <v>1.6898218497628266E-18</v>
      </c>
    </row>
    <row r="38" spans="2:42" x14ac:dyDescent="0.2">
      <c r="B38" s="1">
        <v>2E+20</v>
      </c>
      <c r="C38">
        <v>700</v>
      </c>
      <c r="D38">
        <f t="shared" si="57"/>
        <v>1.4285714285714286E-3</v>
      </c>
      <c r="E38">
        <f t="shared" si="58"/>
        <v>16.577947020196913</v>
      </c>
      <c r="F38">
        <v>3.2399999999999998E-2</v>
      </c>
      <c r="G38">
        <v>0.50260000000000005</v>
      </c>
      <c r="H38" s="1">
        <v>9.9999999999999995E-8</v>
      </c>
      <c r="I38">
        <f t="shared" si="59"/>
        <v>3.2399999999999996E-9</v>
      </c>
      <c r="J38">
        <f t="shared" si="60"/>
        <v>5.0260000000000001E-8</v>
      </c>
      <c r="K38">
        <f t="shared" si="61"/>
        <v>1.3993465201354922E-10</v>
      </c>
      <c r="L38">
        <f t="shared" si="62"/>
        <v>1.2192757885964732E-10</v>
      </c>
      <c r="M38">
        <f t="shared" si="63"/>
        <v>9.7983268622687619E-12</v>
      </c>
      <c r="N38">
        <f t="shared" si="64"/>
        <v>3.7580455063379915E-12</v>
      </c>
      <c r="O38">
        <f t="shared" si="65"/>
        <v>9.4585218062152738E-19</v>
      </c>
      <c r="P38">
        <f t="shared" si="66"/>
        <v>5.8392472265380477E-19</v>
      </c>
      <c r="R38" s="10">
        <f t="shared" si="67"/>
        <v>6.7272452384127942E-14</v>
      </c>
      <c r="S38" s="11">
        <f t="shared" si="68"/>
        <v>4.3358463140515789E-15</v>
      </c>
      <c r="T38" s="11">
        <f t="shared" si="69"/>
        <v>4.3588238146880682E-22</v>
      </c>
      <c r="U38" s="11"/>
      <c r="V38" s="12"/>
      <c r="AI38">
        <v>600</v>
      </c>
      <c r="AJ38">
        <f t="shared" si="55"/>
        <v>19.340938190229732</v>
      </c>
      <c r="AK38" s="1">
        <f>(0.0000000000000147)*EXP(-0.575*$AJ38)*0.000000000053*SQRT(AK$21)</f>
        <v>1.6304299030109427E-19</v>
      </c>
      <c r="AL38" s="1">
        <f t="shared" ref="AL38:AP38" si="70">(0.0000000000000147)*EXP(-0.575*$AJ38)*0.000000000053*SQRT(AL$21)</f>
        <v>2.305776081336725E-19</v>
      </c>
      <c r="AM38" s="1">
        <f t="shared" si="70"/>
        <v>2.8239874301945495E-19</v>
      </c>
      <c r="AN38" s="1">
        <f t="shared" si="70"/>
        <v>3.2608598060218853E-19</v>
      </c>
      <c r="AO38" s="1">
        <f t="shared" si="70"/>
        <v>3.6457520956808564E-19</v>
      </c>
      <c r="AP38" s="1">
        <f t="shared" si="70"/>
        <v>3.9937213237522758E-19</v>
      </c>
    </row>
    <row r="39" spans="2:42" x14ac:dyDescent="0.2">
      <c r="B39" s="1">
        <v>2E+20</v>
      </c>
      <c r="C39">
        <v>600</v>
      </c>
      <c r="D39">
        <f t="shared" si="57"/>
        <v>1.6666666666666668E-3</v>
      </c>
      <c r="E39">
        <f t="shared" si="58"/>
        <v>19.340938190229732</v>
      </c>
      <c r="F39">
        <v>3.2399999999999998E-2</v>
      </c>
      <c r="G39">
        <v>0.74450000000000005</v>
      </c>
      <c r="H39" s="1">
        <v>9.9999999999999995E-8</v>
      </c>
      <c r="I39">
        <f t="shared" si="59"/>
        <v>3.2399999999999996E-9</v>
      </c>
      <c r="J39">
        <f t="shared" si="60"/>
        <v>7.4450000000000008E-8</v>
      </c>
      <c r="K39">
        <f t="shared" si="61"/>
        <v>3.3078851528425173E-11</v>
      </c>
      <c r="L39">
        <f t="shared" si="62"/>
        <v>3.6857240163022951E-11</v>
      </c>
      <c r="M39">
        <f t="shared" si="63"/>
        <v>1.2336389100961729E-12</v>
      </c>
      <c r="N39">
        <f t="shared" si="64"/>
        <v>5.7729088666488944E-13</v>
      </c>
      <c r="O39">
        <f t="shared" si="65"/>
        <v>1.9901989580875764E-19</v>
      </c>
      <c r="P39">
        <f t="shared" si="66"/>
        <v>1.6239676464039539E-19</v>
      </c>
      <c r="R39" s="10">
        <f t="shared" si="67"/>
        <v>1.5858512862867561E-14</v>
      </c>
      <c r="S39" s="11">
        <f t="shared" si="68"/>
        <v>6.9040816780755226E-16</v>
      </c>
      <c r="T39" s="11">
        <f t="shared" si="69"/>
        <v>1.0278246976896316E-22</v>
      </c>
      <c r="U39" s="11"/>
      <c r="V39" s="12"/>
      <c r="AI39">
        <v>500</v>
      </c>
      <c r="AJ39">
        <f t="shared" si="55"/>
        <v>23.209125828275678</v>
      </c>
      <c r="AK39" s="1">
        <f t="shared" ref="AK39:AP41" si="71">(0.0000000000000147)*EXP(-0.575*$AJ39)*0.000000000053*SQRT(AK$21)</f>
        <v>1.7633597273480866E-20</v>
      </c>
      <c r="AL39" s="1">
        <f t="shared" si="71"/>
        <v>2.4937672417581871E-20</v>
      </c>
      <c r="AM39" s="1">
        <f t="shared" si="71"/>
        <v>3.0542286397876881E-20</v>
      </c>
      <c r="AN39" s="1">
        <f t="shared" si="71"/>
        <v>3.5267194546961731E-20</v>
      </c>
      <c r="AO39" s="1">
        <f t="shared" si="71"/>
        <v>3.9429922191358159E-20</v>
      </c>
      <c r="AP39" s="1">
        <f t="shared" si="71"/>
        <v>4.3193315649760796E-20</v>
      </c>
    </row>
    <row r="40" spans="2:42" x14ac:dyDescent="0.2">
      <c r="B40" s="1">
        <v>2E+20</v>
      </c>
      <c r="C40">
        <v>500</v>
      </c>
      <c r="D40">
        <f t="shared" si="57"/>
        <v>2E-3</v>
      </c>
      <c r="E40">
        <f t="shared" si="58"/>
        <v>23.209125828275678</v>
      </c>
      <c r="F40">
        <v>1.5699999999999999E-2</v>
      </c>
      <c r="G40">
        <v>0.62639999999999996</v>
      </c>
      <c r="H40" s="1">
        <v>9.9999999999999995E-8</v>
      </c>
      <c r="I40">
        <f t="shared" si="59"/>
        <v>1.5699999999999997E-9</v>
      </c>
      <c r="J40">
        <f t="shared" si="60"/>
        <v>6.2639999999999997E-8</v>
      </c>
      <c r="K40">
        <f t="shared" si="61"/>
        <v>4.3916288929158682E-12</v>
      </c>
      <c r="L40">
        <f t="shared" si="62"/>
        <v>6.9041786425504617E-12</v>
      </c>
      <c r="M40">
        <f t="shared" si="63"/>
        <v>6.7801398100422372E-14</v>
      </c>
      <c r="N40">
        <f t="shared" si="64"/>
        <v>4.1917988609298501E-14</v>
      </c>
      <c r="O40">
        <f t="shared" si="65"/>
        <v>1.1141936938888369E-20</v>
      </c>
      <c r="P40">
        <f t="shared" si="66"/>
        <v>1.3465303275290682E-20</v>
      </c>
      <c r="R40" s="10">
        <f t="shared" si="67"/>
        <v>2.0972863830733434E-15</v>
      </c>
      <c r="S40" s="11">
        <f t="shared" si="68"/>
        <v>5.2717010900196067E-17</v>
      </c>
      <c r="T40" s="11">
        <f t="shared" si="69"/>
        <v>6.5949331842134302E-24</v>
      </c>
      <c r="U40" s="11"/>
      <c r="V40" s="12"/>
      <c r="AI40">
        <v>400</v>
      </c>
      <c r="AJ40">
        <f t="shared" si="55"/>
        <v>29.0114072853446</v>
      </c>
      <c r="AK40" s="1">
        <f t="shared" si="71"/>
        <v>6.2718995890050292E-22</v>
      </c>
      <c r="AL40" s="1">
        <f t="shared" si="71"/>
        <v>8.8698054606131519E-22</v>
      </c>
      <c r="AM40" s="1">
        <f t="shared" si="71"/>
        <v>1.0863248748127069E-21</v>
      </c>
      <c r="AN40" s="1">
        <f t="shared" si="71"/>
        <v>1.2543799178010058E-21</v>
      </c>
      <c r="AO40" s="1">
        <f t="shared" si="71"/>
        <v>1.4024393829068235E-21</v>
      </c>
      <c r="AP40" s="1">
        <f t="shared" si="71"/>
        <v>1.536295371103385E-21</v>
      </c>
    </row>
    <row r="41" spans="2:42" x14ac:dyDescent="0.2">
      <c r="B41" s="1">
        <v>2E+20</v>
      </c>
      <c r="C41">
        <v>400</v>
      </c>
      <c r="D41">
        <f t="shared" si="57"/>
        <v>2.5000000000000001E-3</v>
      </c>
      <c r="E41">
        <f t="shared" si="58"/>
        <v>29.0114072853446</v>
      </c>
      <c r="F41">
        <v>6.7999999999999996E-3</v>
      </c>
      <c r="G41">
        <v>0.61299999999999999</v>
      </c>
      <c r="H41" s="1">
        <v>9.9999999999999995E-8</v>
      </c>
      <c r="I41">
        <f t="shared" si="59"/>
        <v>6.7999999999999993E-10</v>
      </c>
      <c r="J41">
        <f t="shared" si="60"/>
        <v>6.13E-8</v>
      </c>
      <c r="K41">
        <f t="shared" si="61"/>
        <v>2.1244105526150701E-13</v>
      </c>
      <c r="L41">
        <f t="shared" si="62"/>
        <v>5.5975222851660861E-13</v>
      </c>
      <c r="M41">
        <f t="shared" si="63"/>
        <v>8.7360384111733513E-16</v>
      </c>
      <c r="N41">
        <f t="shared" si="64"/>
        <v>8.2017973749198517E-16</v>
      </c>
      <c r="O41">
        <f t="shared" si="65"/>
        <v>1.9801183303831738E-22</v>
      </c>
      <c r="P41">
        <f t="shared" si="66"/>
        <v>4.3090853329955252E-22</v>
      </c>
      <c r="R41" s="10">
        <f t="shared" si="67"/>
        <v>1.0086736011057582E-16</v>
      </c>
      <c r="S41" s="11">
        <f t="shared" si="68"/>
        <v>1.1122900765218577E-18</v>
      </c>
      <c r="T41" s="11">
        <f t="shared" si="69"/>
        <v>1.3677318656598143E-25</v>
      </c>
      <c r="U41" s="11"/>
      <c r="V41" s="12"/>
      <c r="AI41">
        <v>300</v>
      </c>
      <c r="AJ41">
        <f t="shared" si="55"/>
        <v>38.681876380459464</v>
      </c>
      <c r="AK41" s="1">
        <f t="shared" si="71"/>
        <v>2.4126596538690722E-24</v>
      </c>
      <c r="AL41" s="1">
        <f t="shared" si="71"/>
        <v>3.4120160038920191E-24</v>
      </c>
      <c r="AM41" s="1">
        <f t="shared" si="71"/>
        <v>4.1788491018727742E-24</v>
      </c>
      <c r="AN41" s="1">
        <f t="shared" si="71"/>
        <v>4.8253193077381443E-24</v>
      </c>
      <c r="AO41" s="1">
        <f t="shared" si="71"/>
        <v>5.3948709926223588E-24</v>
      </c>
      <c r="AP41" s="1">
        <f t="shared" si="71"/>
        <v>5.9097850749791053E-24</v>
      </c>
    </row>
    <row r="42" spans="2:42" x14ac:dyDescent="0.2">
      <c r="B42" s="1">
        <v>2E+20</v>
      </c>
      <c r="C42">
        <v>300</v>
      </c>
      <c r="D42">
        <f t="shared" si="57"/>
        <v>3.3333333333333335E-3</v>
      </c>
      <c r="E42">
        <f t="shared" si="58"/>
        <v>38.681876380459464</v>
      </c>
      <c r="F42">
        <v>2.5000000000000001E-3</v>
      </c>
      <c r="G42">
        <v>0.88109999999999999</v>
      </c>
      <c r="H42" s="1">
        <v>9.9999999999999995E-8</v>
      </c>
      <c r="I42">
        <f t="shared" si="59"/>
        <v>2.5000000000000002E-10</v>
      </c>
      <c r="J42">
        <f t="shared" si="60"/>
        <v>8.811E-8</v>
      </c>
      <c r="K42">
        <f t="shared" si="61"/>
        <v>1.3643521426927635E-15</v>
      </c>
      <c r="L42">
        <f t="shared" si="62"/>
        <v>8.50097717418493E-15</v>
      </c>
      <c r="M42">
        <f t="shared" si="63"/>
        <v>6.1864429288750962E-19</v>
      </c>
      <c r="N42">
        <f t="shared" si="64"/>
        <v>1.1652614259662035E-18</v>
      </c>
      <c r="O42">
        <f t="shared" si="65"/>
        <v>3.9559678431950936E-25</v>
      </c>
      <c r="P42">
        <f t="shared" si="66"/>
        <v>2.2279154777881146E-24</v>
      </c>
      <c r="R42" s="10">
        <f t="shared" si="67"/>
        <v>6.4156232199422413E-19</v>
      </c>
      <c r="S42" s="11">
        <f t="shared" si="68"/>
        <v>1.7919678126894032E-21</v>
      </c>
      <c r="T42" s="11">
        <f t="shared" si="69"/>
        <v>3.1828086447461937E-28</v>
      </c>
      <c r="U42" s="11"/>
      <c r="V42" s="12"/>
    </row>
    <row r="43" spans="2:42" x14ac:dyDescent="0.2">
      <c r="R43" s="10"/>
      <c r="S43" s="11"/>
      <c r="T43" s="11"/>
      <c r="U43" s="11"/>
      <c r="V43" s="12"/>
    </row>
    <row r="44" spans="2:42" x14ac:dyDescent="0.2">
      <c r="B44" t="s">
        <v>3</v>
      </c>
      <c r="C44" t="s">
        <v>0</v>
      </c>
      <c r="D44" t="s">
        <v>8</v>
      </c>
      <c r="E44" t="s">
        <v>15</v>
      </c>
      <c r="F44" t="s">
        <v>1</v>
      </c>
      <c r="G44" t="s">
        <v>2</v>
      </c>
      <c r="H44" t="s">
        <v>4</v>
      </c>
      <c r="I44" t="s">
        <v>1</v>
      </c>
      <c r="J44" t="s">
        <v>2</v>
      </c>
      <c r="R44" s="10" t="s">
        <v>5</v>
      </c>
      <c r="S44" s="11" t="s">
        <v>6</v>
      </c>
      <c r="T44" s="11" t="s">
        <v>7</v>
      </c>
      <c r="U44" s="11"/>
      <c r="V44" s="12"/>
    </row>
    <row r="45" spans="2:42" x14ac:dyDescent="0.2">
      <c r="B45" s="1">
        <v>1E+21</v>
      </c>
      <c r="C45">
        <v>1000</v>
      </c>
      <c r="D45">
        <f>1/C45</f>
        <v>1E-3</v>
      </c>
      <c r="E45">
        <f>1/((0.000086173)*C45)</f>
        <v>11.604562914137839</v>
      </c>
      <c r="F45">
        <v>3.3000000000000002E-2</v>
      </c>
      <c r="G45">
        <v>0.25240000000000001</v>
      </c>
      <c r="H45" s="1">
        <v>9.9999999999999995E-8</v>
      </c>
      <c r="I45">
        <f>F45*H45</f>
        <v>3.3000000000000002E-9</v>
      </c>
      <c r="J45">
        <f>G45*H45</f>
        <v>2.524E-8</v>
      </c>
      <c r="K45">
        <f>(2000*0.000000000401)*EXP(-0.522*E45)</f>
        <v>1.8767222416006389E-9</v>
      </c>
      <c r="L45">
        <f>(2000*0.0000000000799)*EXP(-0.433*E45)</f>
        <v>1.0503750506745502E-9</v>
      </c>
      <c r="M45">
        <f>(2000*0.00000000123)*EXP(-0.75*E45)</f>
        <v>4.0840107654980419E-10</v>
      </c>
      <c r="N45">
        <f>(2000*0.000000000143)*EXP(-0.678*E45)</f>
        <v>1.0949221315810256E-10</v>
      </c>
      <c r="O45">
        <f>(I45*K45+J45*M45)</f>
        <v>1.6501226569399166E-17</v>
      </c>
      <c r="P45">
        <f>(I45*L45+J45*N45)</f>
        <v>6.2298211273365248E-18</v>
      </c>
      <c r="R45" s="10">
        <f xml:space="preserve"> 0.000000000392*EXP(-0.523/(0.000086173)/C45)</f>
        <v>9.0671730002506872E-13</v>
      </c>
      <c r="S45" s="11">
        <f>0.000000000266*EXP(-0.665/(0.000086173)/C45)</f>
        <v>1.1841758695165239E-13</v>
      </c>
      <c r="T45" s="11">
        <f>I45*R45+J45*S45</f>
        <v>5.9810269847424339E-21</v>
      </c>
      <c r="U45" s="11"/>
      <c r="V45" s="12"/>
    </row>
    <row r="46" spans="2:42" x14ac:dyDescent="0.2">
      <c r="B46" s="1">
        <v>1E+21</v>
      </c>
      <c r="C46">
        <v>900</v>
      </c>
      <c r="D46">
        <f t="shared" ref="D46:D52" si="72">1/C46</f>
        <v>1.1111111111111111E-3</v>
      </c>
      <c r="E46">
        <f t="shared" ref="E46:E52" si="73">1/((0.000086173)*C46)</f>
        <v>12.893958793486487</v>
      </c>
      <c r="F46">
        <v>3.9899999999999998E-2</v>
      </c>
      <c r="G46">
        <v>0.36709999999999998</v>
      </c>
      <c r="H46" s="1">
        <v>9.9999999999999995E-8</v>
      </c>
      <c r="I46">
        <f t="shared" ref="I46:I52" si="74">F46*H46</f>
        <v>3.9899999999999997E-9</v>
      </c>
      <c r="J46">
        <f t="shared" ref="J46:J52" si="75">G46*H46</f>
        <v>3.6709999999999996E-8</v>
      </c>
      <c r="K46">
        <f t="shared" ref="K46:K52" si="76">(2000*0.000000000401)*EXP(-0.522*E46)</f>
        <v>9.5739628499869752E-10</v>
      </c>
      <c r="L46">
        <f t="shared" ref="L46:L52" si="77">(2000*0.0000000000799)*EXP(-0.433*E46)</f>
        <v>6.0099953134005551E-10</v>
      </c>
      <c r="M46">
        <f t="shared" ref="M46:M52" si="78">(2000*0.00000000123)*EXP(-0.75*E46)</f>
        <v>1.5527578792143367E-10</v>
      </c>
      <c r="N46">
        <f t="shared" ref="N46:N52" si="79">(2000*0.000000000143)*EXP(-0.678*E46)</f>
        <v>4.5679198892672476E-11</v>
      </c>
      <c r="O46">
        <f t="shared" ref="O46:O52" si="80">(I46*K46+J46*M46)</f>
        <v>9.5201853517406323E-18</v>
      </c>
      <c r="P46">
        <f t="shared" ref="P46:P52" si="81">(I46*L46+J46*N46)</f>
        <v>4.0748715213968281E-18</v>
      </c>
      <c r="R46" s="10">
        <f t="shared" ref="R46:R52" si="82" xml:space="preserve"> 0.000000000392*EXP(-0.523/(0.000086173)/C46)</f>
        <v>4.6195924355603135E-13</v>
      </c>
      <c r="S46" s="11">
        <f t="shared" ref="S46:S52" si="83">0.000000000266*EXP(-0.665/(0.000086173)/C46)</f>
        <v>5.0237863234514219E-14</v>
      </c>
      <c r="T46" s="11">
        <f t="shared" ref="T46:T52" si="84">I46*R46+J46*S46</f>
        <v>3.6874493411275817E-21</v>
      </c>
      <c r="U46" s="11"/>
      <c r="V46" s="12"/>
    </row>
    <row r="47" spans="2:42" x14ac:dyDescent="0.2">
      <c r="B47" s="1">
        <v>1E+21</v>
      </c>
      <c r="C47">
        <v>800</v>
      </c>
      <c r="D47">
        <f t="shared" si="72"/>
        <v>1.25E-3</v>
      </c>
      <c r="E47">
        <f t="shared" si="73"/>
        <v>14.5057036426723</v>
      </c>
      <c r="F47">
        <v>5.1799999999999999E-2</v>
      </c>
      <c r="G47">
        <v>0.59850000000000003</v>
      </c>
      <c r="H47" s="1">
        <v>9.9999999999999995E-8</v>
      </c>
      <c r="I47">
        <f t="shared" si="74"/>
        <v>5.1799999999999999E-9</v>
      </c>
      <c r="J47">
        <f t="shared" si="75"/>
        <v>5.9849999999999997E-8</v>
      </c>
      <c r="K47">
        <f t="shared" si="76"/>
        <v>4.1276836884592861E-10</v>
      </c>
      <c r="L47">
        <f t="shared" si="77"/>
        <v>2.9907926393675988E-10</v>
      </c>
      <c r="M47">
        <f t="shared" si="78"/>
        <v>4.635801386112917E-11</v>
      </c>
      <c r="N47">
        <f t="shared" si="79"/>
        <v>1.5315724107031564E-11</v>
      </c>
      <c r="O47">
        <f t="shared" si="80"/>
        <v>4.912667280210491E-18</v>
      </c>
      <c r="P47">
        <f t="shared" si="81"/>
        <v>2.4658766749982555E-18</v>
      </c>
      <c r="R47" s="10">
        <f t="shared" si="82"/>
        <v>1.9884668758454518E-13</v>
      </c>
      <c r="S47" s="11">
        <f t="shared" si="83"/>
        <v>1.7200847663845354E-14</v>
      </c>
      <c r="T47" s="11">
        <f t="shared" si="84"/>
        <v>2.0594965743690882E-21</v>
      </c>
      <c r="U47" s="11"/>
      <c r="V47" s="12"/>
    </row>
    <row r="48" spans="2:42" x14ac:dyDescent="0.2">
      <c r="B48" s="1">
        <v>1E+21</v>
      </c>
      <c r="C48">
        <v>700</v>
      </c>
      <c r="D48">
        <f t="shared" si="72"/>
        <v>1.4285714285714286E-3</v>
      </c>
      <c r="E48">
        <f t="shared" si="73"/>
        <v>16.577947020196913</v>
      </c>
      <c r="F48">
        <v>7.1999999999999998E-3</v>
      </c>
      <c r="G48">
        <v>0.1124</v>
      </c>
      <c r="H48" s="1">
        <v>9.9999999999999995E-7</v>
      </c>
      <c r="I48">
        <f t="shared" si="74"/>
        <v>7.1999999999999991E-9</v>
      </c>
      <c r="J48">
        <f t="shared" si="75"/>
        <v>1.124E-7</v>
      </c>
      <c r="K48">
        <f t="shared" si="76"/>
        <v>1.3993465201354922E-10</v>
      </c>
      <c r="L48">
        <f t="shared" si="77"/>
        <v>1.2192757885964732E-10</v>
      </c>
      <c r="M48">
        <f t="shared" si="78"/>
        <v>9.7983268622687619E-12</v>
      </c>
      <c r="N48">
        <f t="shared" si="79"/>
        <v>3.7580455063379915E-12</v>
      </c>
      <c r="O48">
        <f t="shared" si="80"/>
        <v>2.1088614338165629E-18</v>
      </c>
      <c r="P48">
        <f t="shared" si="81"/>
        <v>1.3002828827018509E-18</v>
      </c>
      <c r="R48" s="10">
        <f t="shared" si="82"/>
        <v>6.7272452384127942E-14</v>
      </c>
      <c r="S48" s="11">
        <f t="shared" si="83"/>
        <v>4.3358463140515789E-15</v>
      </c>
      <c r="T48" s="11">
        <f t="shared" si="84"/>
        <v>9.7171078286511847E-22</v>
      </c>
      <c r="U48" s="11"/>
      <c r="V48" s="12"/>
      <c r="AO48" s="1"/>
    </row>
    <row r="49" spans="2:33" x14ac:dyDescent="0.2">
      <c r="B49" s="1">
        <v>1E+21</v>
      </c>
      <c r="C49">
        <v>600</v>
      </c>
      <c r="D49">
        <f t="shared" si="72"/>
        <v>1.6666666666666668E-3</v>
      </c>
      <c r="E49">
        <f t="shared" si="73"/>
        <v>19.340938190229732</v>
      </c>
      <c r="F49">
        <v>7.1999999999999998E-3</v>
      </c>
      <c r="G49">
        <v>0.16650000000000001</v>
      </c>
      <c r="H49" s="1">
        <v>9.9999999999999995E-7</v>
      </c>
      <c r="I49">
        <f t="shared" si="74"/>
        <v>7.1999999999999991E-9</v>
      </c>
      <c r="J49">
        <f t="shared" si="75"/>
        <v>1.6649999999999999E-7</v>
      </c>
      <c r="K49">
        <f t="shared" si="76"/>
        <v>3.3078851528425173E-11</v>
      </c>
      <c r="L49">
        <f t="shared" si="77"/>
        <v>3.6857240163022951E-11</v>
      </c>
      <c r="M49">
        <f t="shared" si="78"/>
        <v>1.2336389100961729E-12</v>
      </c>
      <c r="N49">
        <f t="shared" si="79"/>
        <v>5.7729088666488944E-13</v>
      </c>
      <c r="O49">
        <f t="shared" si="80"/>
        <v>4.4356860953567396E-19</v>
      </c>
      <c r="P49">
        <f t="shared" si="81"/>
        <v>3.6149106180346928E-19</v>
      </c>
      <c r="R49" s="10">
        <f t="shared" si="82"/>
        <v>1.5858512862867561E-14</v>
      </c>
      <c r="S49" s="11">
        <f t="shared" si="83"/>
        <v>6.9040816780755226E-16</v>
      </c>
      <c r="T49" s="11">
        <f t="shared" si="84"/>
        <v>2.2913425255260386E-22</v>
      </c>
      <c r="U49" s="11"/>
      <c r="V49" s="12"/>
    </row>
    <row r="50" spans="2:33" x14ac:dyDescent="0.2">
      <c r="B50" s="1">
        <v>1E+21</v>
      </c>
      <c r="C50">
        <v>500</v>
      </c>
      <c r="D50">
        <f t="shared" si="72"/>
        <v>2E-3</v>
      </c>
      <c r="E50">
        <f t="shared" si="73"/>
        <v>23.209125828275678</v>
      </c>
      <c r="F50">
        <v>3.5000000000000001E-3</v>
      </c>
      <c r="G50">
        <v>0.1401</v>
      </c>
      <c r="H50" s="1">
        <v>9.9999999999999995E-7</v>
      </c>
      <c r="I50">
        <f t="shared" si="74"/>
        <v>3.4999999999999999E-9</v>
      </c>
      <c r="J50">
        <f t="shared" si="75"/>
        <v>1.4009999999999999E-7</v>
      </c>
      <c r="K50">
        <f t="shared" si="76"/>
        <v>4.3916288929158682E-12</v>
      </c>
      <c r="L50">
        <f t="shared" si="77"/>
        <v>6.9041786425504617E-12</v>
      </c>
      <c r="M50">
        <f t="shared" si="78"/>
        <v>6.7801398100422372E-14</v>
      </c>
      <c r="N50">
        <f t="shared" si="79"/>
        <v>4.1917988609298501E-14</v>
      </c>
      <c r="O50">
        <f t="shared" si="80"/>
        <v>2.4869676999074712E-20</v>
      </c>
      <c r="P50">
        <f t="shared" si="81"/>
        <v>3.0037335453089336E-20</v>
      </c>
      <c r="R50" s="10">
        <f t="shared" si="82"/>
        <v>2.0972863830733434E-15</v>
      </c>
      <c r="S50" s="11">
        <f t="shared" si="83"/>
        <v>5.2717010900196067E-17</v>
      </c>
      <c r="T50" s="11">
        <f t="shared" si="84"/>
        <v>1.4726155567874169E-23</v>
      </c>
      <c r="U50" s="11"/>
      <c r="V50" s="12"/>
    </row>
    <row r="51" spans="2:33" x14ac:dyDescent="0.2">
      <c r="B51" s="1">
        <v>1E+21</v>
      </c>
      <c r="C51">
        <v>400</v>
      </c>
      <c r="D51">
        <f t="shared" si="72"/>
        <v>2.5000000000000001E-3</v>
      </c>
      <c r="E51">
        <f t="shared" si="73"/>
        <v>29.0114072853446</v>
      </c>
      <c r="F51">
        <v>1.5E-3</v>
      </c>
      <c r="G51">
        <v>0.1371</v>
      </c>
      <c r="H51" s="1">
        <v>9.9999999999999995E-7</v>
      </c>
      <c r="I51">
        <f t="shared" si="74"/>
        <v>1.5E-9</v>
      </c>
      <c r="J51">
        <f t="shared" si="75"/>
        <v>1.371E-7</v>
      </c>
      <c r="K51">
        <f t="shared" si="76"/>
        <v>2.1244105526150701E-13</v>
      </c>
      <c r="L51">
        <f t="shared" si="77"/>
        <v>5.5975222851660861E-13</v>
      </c>
      <c r="M51">
        <f t="shared" si="78"/>
        <v>8.7360384111733513E-16</v>
      </c>
      <c r="N51">
        <f t="shared" si="79"/>
        <v>8.2017973749198517E-16</v>
      </c>
      <c r="O51">
        <f t="shared" si="80"/>
        <v>4.3843266950944709E-22</v>
      </c>
      <c r="P51">
        <f t="shared" si="81"/>
        <v>9.5207498478506408E-22</v>
      </c>
      <c r="R51" s="10">
        <f t="shared" si="82"/>
        <v>1.0086736011057582E-16</v>
      </c>
      <c r="S51" s="11">
        <f t="shared" si="83"/>
        <v>1.1122900765218577E-18</v>
      </c>
      <c r="T51" s="11">
        <f t="shared" si="84"/>
        <v>3.0379600965701041E-25</v>
      </c>
      <c r="U51" s="11"/>
      <c r="V51" s="12"/>
    </row>
    <row r="52" spans="2:33" x14ac:dyDescent="0.2">
      <c r="B52" s="1">
        <v>1E+21</v>
      </c>
      <c r="C52">
        <v>300</v>
      </c>
      <c r="D52">
        <f t="shared" si="72"/>
        <v>3.3333333333333335E-3</v>
      </c>
      <c r="E52">
        <f t="shared" si="73"/>
        <v>38.681876380459464</v>
      </c>
      <c r="F52">
        <v>5.9999999999999995E-4</v>
      </c>
      <c r="G52">
        <v>0.19700000000000001</v>
      </c>
      <c r="H52" s="1">
        <v>9.9999999999999995E-7</v>
      </c>
      <c r="I52">
        <f t="shared" si="74"/>
        <v>5.9999999999999989E-10</v>
      </c>
      <c r="J52">
        <f t="shared" si="75"/>
        <v>1.97E-7</v>
      </c>
      <c r="K52">
        <f t="shared" si="76"/>
        <v>1.3643521426927635E-15</v>
      </c>
      <c r="L52">
        <f t="shared" si="77"/>
        <v>8.50097717418493E-15</v>
      </c>
      <c r="M52">
        <f t="shared" si="78"/>
        <v>6.1864429288750962E-19</v>
      </c>
      <c r="N52">
        <f t="shared" si="79"/>
        <v>1.1652614259662035E-18</v>
      </c>
      <c r="O52">
        <f t="shared" si="80"/>
        <v>9.4048421131449728E-25</v>
      </c>
      <c r="P52">
        <f t="shared" si="81"/>
        <v>5.3301428054262992E-24</v>
      </c>
      <c r="R52" s="10">
        <f t="shared" si="82"/>
        <v>6.4156232199422413E-19</v>
      </c>
      <c r="S52" s="11">
        <f t="shared" si="83"/>
        <v>1.7919678126894032E-21</v>
      </c>
      <c r="T52" s="11">
        <f t="shared" si="84"/>
        <v>7.3795505229634685E-28</v>
      </c>
      <c r="U52" s="11"/>
      <c r="V52" s="12"/>
    </row>
    <row r="53" spans="2:33" x14ac:dyDescent="0.2">
      <c r="R53" s="10"/>
      <c r="S53" s="11"/>
      <c r="T53" s="11"/>
      <c r="U53" s="11"/>
      <c r="V53" s="12"/>
      <c r="AG53" t="s">
        <v>15</v>
      </c>
    </row>
    <row r="54" spans="2:33" x14ac:dyDescent="0.2">
      <c r="B54" t="s">
        <v>3</v>
      </c>
      <c r="C54" t="s">
        <v>0</v>
      </c>
      <c r="D54" t="s">
        <v>8</v>
      </c>
      <c r="E54" t="s">
        <v>15</v>
      </c>
      <c r="F54" t="s">
        <v>1</v>
      </c>
      <c r="G54" t="s">
        <v>2</v>
      </c>
      <c r="H54" t="s">
        <v>4</v>
      </c>
      <c r="I54" t="s">
        <v>1</v>
      </c>
      <c r="J54" t="s">
        <v>2</v>
      </c>
      <c r="R54" s="10" t="s">
        <v>5</v>
      </c>
      <c r="S54" s="11" t="s">
        <v>6</v>
      </c>
      <c r="T54" s="11" t="s">
        <v>7</v>
      </c>
      <c r="U54" s="11"/>
      <c r="V54" s="12"/>
      <c r="AD54" t="s">
        <v>37</v>
      </c>
      <c r="AE54" t="s">
        <v>41</v>
      </c>
      <c r="AG54">
        <v>12</v>
      </c>
    </row>
    <row r="55" spans="2:33" x14ac:dyDescent="0.2">
      <c r="B55" s="1">
        <v>1.5E+21</v>
      </c>
      <c r="C55">
        <v>1000</v>
      </c>
      <c r="D55">
        <f>1/C55</f>
        <v>1E-3</v>
      </c>
      <c r="E55">
        <f>1/((0.000086173)*C55)</f>
        <v>11.604562914137839</v>
      </c>
      <c r="F55">
        <v>4.0399999999999998E-2</v>
      </c>
      <c r="G55">
        <v>0.30890000000000001</v>
      </c>
      <c r="H55" s="1">
        <v>9.9999999999999995E-8</v>
      </c>
      <c r="I55">
        <f>F55*H55</f>
        <v>4.0399999999999993E-9</v>
      </c>
      <c r="J55">
        <f>G55*H55</f>
        <v>3.0890000000000001E-8</v>
      </c>
      <c r="K55">
        <f>(2000*0.000000000401)*EXP(-0.522*E55)</f>
        <v>1.8767222416006389E-9</v>
      </c>
      <c r="L55">
        <f>(2000*0.0000000000799)*EXP(-0.433*E55)</f>
        <v>1.0503750506745502E-9</v>
      </c>
      <c r="M55">
        <f>(2000*0.00000000123)*EXP(-0.75*E55)</f>
        <v>4.0840107654980419E-10</v>
      </c>
      <c r="N55">
        <f>(2000*0.000000000143)*EXP(-0.678*E55)</f>
        <v>1.0949221315810256E-10</v>
      </c>
      <c r="O55">
        <f>(I55*K55+J55*M55)</f>
        <v>2.0197467110690031E-17</v>
      </c>
      <c r="P55">
        <f>(I55*L55+J55*N55)</f>
        <v>7.6257296691789707E-18</v>
      </c>
      <c r="R55" s="10">
        <f xml:space="preserve"> 0.000000000392*EXP(-0.523/(0.000086173)/C55)</f>
        <v>9.0671730002506872E-13</v>
      </c>
      <c r="S55" s="11">
        <f>0.000000000266*EXP(-0.665/(0.000086173)/C55)</f>
        <v>1.1841758695165239E-13</v>
      </c>
      <c r="T55" s="11">
        <f>I55*R55+J55*S55</f>
        <v>7.3210571530378203E-21</v>
      </c>
      <c r="U55" s="11"/>
      <c r="V55" s="12"/>
      <c r="AD55" t="s">
        <v>38</v>
      </c>
      <c r="AE55" t="s">
        <v>42</v>
      </c>
      <c r="AG55">
        <v>20</v>
      </c>
    </row>
    <row r="56" spans="2:33" x14ac:dyDescent="0.2">
      <c r="B56" s="1">
        <v>1.5E+21</v>
      </c>
      <c r="C56">
        <v>900</v>
      </c>
      <c r="D56">
        <f t="shared" ref="D56:D62" si="85">1/C56</f>
        <v>1.1111111111111111E-3</v>
      </c>
      <c r="E56">
        <f t="shared" ref="E56:E62" si="86">1/((0.000086173)*C56)</f>
        <v>12.893958793486487</v>
      </c>
      <c r="F56">
        <v>4.8899999999999999E-2</v>
      </c>
      <c r="G56">
        <v>0.4496</v>
      </c>
      <c r="H56" s="1">
        <v>9.9999999999999995E-8</v>
      </c>
      <c r="I56">
        <f t="shared" ref="I56:I62" si="87">F56*H56</f>
        <v>4.8899999999999995E-9</v>
      </c>
      <c r="J56">
        <f t="shared" ref="J56:J62" si="88">G56*H56</f>
        <v>4.496E-8</v>
      </c>
      <c r="K56">
        <f t="shared" ref="K56:K62" si="89">(2000*0.000000000401)*EXP(-0.522*E56)</f>
        <v>9.5739628499869752E-10</v>
      </c>
      <c r="L56">
        <f t="shared" ref="L56:L62" si="90">(2000*0.0000000000799)*EXP(-0.433*E56)</f>
        <v>6.0099953134005551E-10</v>
      </c>
      <c r="M56">
        <f t="shared" ref="M56:M62" si="91">(2000*0.00000000123)*EXP(-0.75*E56)</f>
        <v>1.5527578792143367E-10</v>
      </c>
      <c r="N56">
        <f t="shared" ref="N56:N62" si="92">(2000*0.000000000143)*EXP(-0.678*E56)</f>
        <v>4.5679198892672476E-11</v>
      </c>
      <c r="O56">
        <f t="shared" ref="O56:O62" si="93">(I56*K56+J56*M56)</f>
        <v>1.1662867258591288E-17</v>
      </c>
      <c r="P56">
        <f t="shared" ref="P56:P62" si="94">(I56*L56+J56*N56)</f>
        <v>4.9926244904674251E-18</v>
      </c>
      <c r="R56" s="10">
        <f t="shared" ref="R56:R62" si="95" xml:space="preserve"> 0.000000000392*EXP(-0.523/(0.000086173)/C56)</f>
        <v>4.6195924355603135E-13</v>
      </c>
      <c r="S56" s="11">
        <f t="shared" ref="S56:S62" si="96">0.000000000266*EXP(-0.665/(0.000086173)/C56)</f>
        <v>5.0237863234514219E-14</v>
      </c>
      <c r="T56" s="11">
        <f t="shared" ref="T56:T62" si="97">I56*R56+J56*S56</f>
        <v>4.517675032012752E-21</v>
      </c>
      <c r="U56" s="11"/>
      <c r="V56" s="12"/>
      <c r="AD56" t="s">
        <v>39</v>
      </c>
      <c r="AE56" t="s">
        <v>43</v>
      </c>
      <c r="AG56">
        <v>12</v>
      </c>
    </row>
    <row r="57" spans="2:33" x14ac:dyDescent="0.2">
      <c r="B57" s="1">
        <v>1.5E+21</v>
      </c>
      <c r="C57">
        <v>800</v>
      </c>
      <c r="D57">
        <f t="shared" si="85"/>
        <v>1.25E-3</v>
      </c>
      <c r="E57">
        <f t="shared" si="86"/>
        <v>14.5057036426723</v>
      </c>
      <c r="F57">
        <v>6.3399999999999998E-2</v>
      </c>
      <c r="G57">
        <v>0.73299999999999998</v>
      </c>
      <c r="H57" s="1">
        <v>9.9999999999999995E-8</v>
      </c>
      <c r="I57">
        <f t="shared" si="87"/>
        <v>6.3399999999999992E-9</v>
      </c>
      <c r="J57">
        <f t="shared" si="88"/>
        <v>7.3300000000000001E-8</v>
      </c>
      <c r="K57">
        <f t="shared" si="89"/>
        <v>4.1276836884592861E-10</v>
      </c>
      <c r="L57">
        <f t="shared" si="90"/>
        <v>2.9907926393675988E-10</v>
      </c>
      <c r="M57">
        <f t="shared" si="91"/>
        <v>4.635801386112917E-11</v>
      </c>
      <c r="N57">
        <f t="shared" si="92"/>
        <v>1.5315724107031564E-11</v>
      </c>
      <c r="O57">
        <f t="shared" si="93"/>
        <v>6.0149938745039556E-18</v>
      </c>
      <c r="P57">
        <f t="shared" si="94"/>
        <v>3.0188051104044713E-18</v>
      </c>
      <c r="R57" s="10">
        <f t="shared" si="95"/>
        <v>1.9884668758454518E-13</v>
      </c>
      <c r="S57" s="11">
        <f t="shared" si="96"/>
        <v>1.7200847663845354E-14</v>
      </c>
      <c r="T57" s="11">
        <f t="shared" si="97"/>
        <v>2.5215101330458806E-21</v>
      </c>
      <c r="U57" s="11"/>
      <c r="V57" s="12"/>
      <c r="AD57" t="s">
        <v>40</v>
      </c>
      <c r="AE57" t="s">
        <v>44</v>
      </c>
      <c r="AG57">
        <v>20</v>
      </c>
    </row>
    <row r="58" spans="2:33" x14ac:dyDescent="0.2">
      <c r="B58" s="1">
        <v>1.5E+21</v>
      </c>
      <c r="C58">
        <v>700</v>
      </c>
      <c r="D58">
        <f t="shared" si="85"/>
        <v>1.4285714285714286E-3</v>
      </c>
      <c r="E58">
        <f t="shared" si="86"/>
        <v>16.577947020196913</v>
      </c>
      <c r="F58">
        <v>8.8999999999999999E-3</v>
      </c>
      <c r="G58">
        <v>0.1376</v>
      </c>
      <c r="H58" s="1">
        <v>9.9999999999999995E-7</v>
      </c>
      <c r="I58">
        <f t="shared" si="87"/>
        <v>8.9000000000000003E-9</v>
      </c>
      <c r="J58">
        <f t="shared" si="88"/>
        <v>1.3759999999999999E-7</v>
      </c>
      <c r="K58">
        <f t="shared" si="89"/>
        <v>1.3993465201354922E-10</v>
      </c>
      <c r="L58">
        <f t="shared" si="90"/>
        <v>1.2192757885964732E-10</v>
      </c>
      <c r="M58">
        <f t="shared" si="91"/>
        <v>9.7983268622687619E-12</v>
      </c>
      <c r="N58">
        <f t="shared" si="92"/>
        <v>3.7580455063379915E-12</v>
      </c>
      <c r="O58">
        <f t="shared" si="93"/>
        <v>2.5936681791687694E-18</v>
      </c>
      <c r="P58">
        <f t="shared" si="94"/>
        <v>1.6022625135229689E-18</v>
      </c>
      <c r="R58" s="10">
        <f t="shared" si="95"/>
        <v>6.7272452384127942E-14</v>
      </c>
      <c r="S58" s="11">
        <f t="shared" si="96"/>
        <v>4.3358463140515789E-15</v>
      </c>
      <c r="T58" s="11">
        <f t="shared" si="97"/>
        <v>1.195337279032236E-21</v>
      </c>
      <c r="U58" s="11"/>
      <c r="V58" s="12"/>
    </row>
    <row r="59" spans="2:33" x14ac:dyDescent="0.2">
      <c r="B59" s="1">
        <v>1.5E+21</v>
      </c>
      <c r="C59">
        <v>600</v>
      </c>
      <c r="D59">
        <f t="shared" si="85"/>
        <v>1.6666666666666668E-3</v>
      </c>
      <c r="E59">
        <f t="shared" si="86"/>
        <v>19.340938190229732</v>
      </c>
      <c r="F59">
        <v>8.8999999999999999E-3</v>
      </c>
      <c r="G59">
        <v>0.2039</v>
      </c>
      <c r="H59" s="1">
        <v>9.9999999999999995E-7</v>
      </c>
      <c r="I59">
        <f t="shared" si="87"/>
        <v>8.9000000000000003E-9</v>
      </c>
      <c r="J59">
        <f t="shared" si="88"/>
        <v>2.0389999999999999E-7</v>
      </c>
      <c r="K59">
        <f t="shared" si="89"/>
        <v>3.3078851528425173E-11</v>
      </c>
      <c r="L59">
        <f t="shared" si="90"/>
        <v>3.6857240163022951E-11</v>
      </c>
      <c r="M59">
        <f t="shared" si="91"/>
        <v>1.2336389100961729E-12</v>
      </c>
      <c r="N59">
        <f t="shared" si="92"/>
        <v>5.7729088666488944E-13</v>
      </c>
      <c r="O59">
        <f t="shared" si="93"/>
        <v>5.4594075237159366E-19</v>
      </c>
      <c r="P59">
        <f t="shared" si="94"/>
        <v>4.4573904924187521E-19</v>
      </c>
      <c r="R59" s="10">
        <f t="shared" si="95"/>
        <v>1.5858512862867561E-14</v>
      </c>
      <c r="S59" s="11">
        <f t="shared" si="96"/>
        <v>6.9040816780755226E-16</v>
      </c>
      <c r="T59" s="11">
        <f t="shared" si="97"/>
        <v>2.8191498989548117E-22</v>
      </c>
      <c r="U59" s="11"/>
      <c r="V59" s="12"/>
    </row>
    <row r="60" spans="2:33" x14ac:dyDescent="0.2">
      <c r="B60" s="1">
        <v>1.5E+21</v>
      </c>
      <c r="C60">
        <v>500</v>
      </c>
      <c r="D60">
        <f t="shared" si="85"/>
        <v>2E-3</v>
      </c>
      <c r="E60">
        <f t="shared" si="86"/>
        <v>23.209125828275678</v>
      </c>
      <c r="F60">
        <v>4.3E-3</v>
      </c>
      <c r="G60">
        <v>0.17150000000000001</v>
      </c>
      <c r="H60" s="1">
        <v>9.9999999999999995E-7</v>
      </c>
      <c r="I60">
        <f t="shared" si="87"/>
        <v>4.2999999999999996E-9</v>
      </c>
      <c r="J60">
        <f t="shared" si="88"/>
        <v>1.7149999999999999E-7</v>
      </c>
      <c r="K60">
        <f t="shared" si="89"/>
        <v>4.3916288929158682E-12</v>
      </c>
      <c r="L60">
        <f t="shared" si="90"/>
        <v>6.9041786425504617E-12</v>
      </c>
      <c r="M60">
        <f t="shared" si="91"/>
        <v>6.7801398100422372E-14</v>
      </c>
      <c r="N60">
        <f t="shared" si="92"/>
        <v>4.1917988609298501E-14</v>
      </c>
      <c r="O60">
        <f t="shared" si="93"/>
        <v>3.0511944013760669E-20</v>
      </c>
      <c r="P60">
        <f t="shared" si="94"/>
        <v>3.6876903209461674E-20</v>
      </c>
      <c r="R60" s="10">
        <f t="shared" si="95"/>
        <v>2.0972863830733434E-15</v>
      </c>
      <c r="S60" s="11">
        <f t="shared" si="96"/>
        <v>5.2717010900196067E-17</v>
      </c>
      <c r="T60" s="11">
        <f t="shared" si="97"/>
        <v>1.8059298816599001E-23</v>
      </c>
      <c r="U60" s="11"/>
      <c r="V60" s="12"/>
    </row>
    <row r="61" spans="2:33" x14ac:dyDescent="0.2">
      <c r="B61" s="1">
        <v>1.5E+21</v>
      </c>
      <c r="C61">
        <v>400</v>
      </c>
      <c r="D61">
        <f t="shared" si="85"/>
        <v>2.5000000000000001E-3</v>
      </c>
      <c r="E61">
        <f t="shared" si="86"/>
        <v>29.0114072853446</v>
      </c>
      <c r="F61">
        <v>1.9E-3</v>
      </c>
      <c r="G61">
        <v>0.16789999999999999</v>
      </c>
      <c r="H61" s="1">
        <v>9.9999999999999995E-7</v>
      </c>
      <c r="I61">
        <f t="shared" si="87"/>
        <v>1.9000000000000001E-9</v>
      </c>
      <c r="J61">
        <f t="shared" si="88"/>
        <v>1.6789999999999999E-7</v>
      </c>
      <c r="K61">
        <f t="shared" si="89"/>
        <v>2.1244105526150701E-13</v>
      </c>
      <c r="L61">
        <f t="shared" si="90"/>
        <v>5.5975222851660861E-13</v>
      </c>
      <c r="M61">
        <f t="shared" si="91"/>
        <v>8.7360384111733513E-16</v>
      </c>
      <c r="N61">
        <f t="shared" si="92"/>
        <v>8.2017973749198517E-16</v>
      </c>
      <c r="O61">
        <f t="shared" si="93"/>
        <v>5.5031608992046388E-22</v>
      </c>
      <c r="P61">
        <f t="shared" si="94"/>
        <v>1.2012374121064609E-21</v>
      </c>
      <c r="R61" s="10">
        <f t="shared" si="95"/>
        <v>1.0086736011057582E-16</v>
      </c>
      <c r="S61" s="11">
        <f t="shared" si="96"/>
        <v>1.1122900765218577E-18</v>
      </c>
      <c r="T61" s="11">
        <f t="shared" si="97"/>
        <v>3.7840148805811396E-25</v>
      </c>
      <c r="U61" s="11"/>
      <c r="V61" s="12"/>
    </row>
    <row r="62" spans="2:33" x14ac:dyDescent="0.2">
      <c r="B62" s="1">
        <v>1.5E+21</v>
      </c>
      <c r="C62">
        <v>300</v>
      </c>
      <c r="D62">
        <f t="shared" si="85"/>
        <v>3.3333333333333335E-3</v>
      </c>
      <c r="E62">
        <f t="shared" si="86"/>
        <v>38.681876380459464</v>
      </c>
      <c r="F62">
        <v>1E-4</v>
      </c>
      <c r="G62">
        <v>2.41E-2</v>
      </c>
      <c r="H62" s="1">
        <v>1.0000000000000001E-5</v>
      </c>
      <c r="I62">
        <f t="shared" si="87"/>
        <v>1.0000000000000001E-9</v>
      </c>
      <c r="J62">
        <f t="shared" si="88"/>
        <v>2.41E-7</v>
      </c>
      <c r="K62">
        <f t="shared" si="89"/>
        <v>1.3643521426927635E-15</v>
      </c>
      <c r="L62">
        <f t="shared" si="90"/>
        <v>8.50097717418493E-15</v>
      </c>
      <c r="M62">
        <f t="shared" si="91"/>
        <v>6.1864429288750962E-19</v>
      </c>
      <c r="N62">
        <f t="shared" si="92"/>
        <v>1.1652614259662035E-18</v>
      </c>
      <c r="O62">
        <f t="shared" si="93"/>
        <v>1.5134454172786534E-24</v>
      </c>
      <c r="P62">
        <f t="shared" si="94"/>
        <v>8.7818051778427855E-24</v>
      </c>
      <c r="R62" s="10">
        <f t="shared" si="95"/>
        <v>6.4156232199422413E-19</v>
      </c>
      <c r="S62" s="11">
        <f t="shared" si="96"/>
        <v>1.7919678126894032E-21</v>
      </c>
      <c r="T62" s="11">
        <f t="shared" si="97"/>
        <v>1.0734265648523704E-27</v>
      </c>
      <c r="U62" s="11"/>
      <c r="V62" s="12"/>
    </row>
    <row r="63" spans="2:33" ht="17" thickBot="1" x14ac:dyDescent="0.25">
      <c r="R63" s="13"/>
      <c r="S63" s="14"/>
      <c r="T63" s="14"/>
      <c r="U63" s="14"/>
      <c r="V63" s="15"/>
    </row>
  </sheetData>
  <sortState xmlns:xlrd2="http://schemas.microsoft.com/office/spreadsheetml/2017/richdata2" ref="AC12:AE17">
    <sortCondition ref="AC12:AC17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C3D3-E460-544A-834C-EC7269D6D64D}">
  <dimension ref="C2:O45"/>
  <sheetViews>
    <sheetView workbookViewId="0">
      <selection activeCell="E8" sqref="E8"/>
    </sheetView>
  </sheetViews>
  <sheetFormatPr baseColWidth="10" defaultRowHeight="16" x14ac:dyDescent="0.2"/>
  <sheetData>
    <row r="2" spans="3:15" x14ac:dyDescent="0.2">
      <c r="N2" t="s">
        <v>37</v>
      </c>
      <c r="O2" t="s">
        <v>41</v>
      </c>
    </row>
    <row r="3" spans="3:15" x14ac:dyDescent="0.2">
      <c r="G3" s="1">
        <f>G5*500000000000000000000</f>
        <v>1.3104166666666667E-20</v>
      </c>
      <c r="N3" t="s">
        <v>38</v>
      </c>
      <c r="O3" t="s">
        <v>42</v>
      </c>
    </row>
    <row r="4" spans="3:15" x14ac:dyDescent="0.2">
      <c r="N4" t="s">
        <v>39</v>
      </c>
      <c r="O4" t="s">
        <v>43</v>
      </c>
    </row>
    <row r="5" spans="3:15" x14ac:dyDescent="0.2">
      <c r="G5" s="2">
        <v>2.6208333333333334E-41</v>
      </c>
      <c r="H5" s="2">
        <v>2.691666666666667E-41</v>
      </c>
      <c r="J5" t="s">
        <v>3</v>
      </c>
      <c r="N5" t="s">
        <v>40</v>
      </c>
      <c r="O5" t="s">
        <v>44</v>
      </c>
    </row>
    <row r="6" spans="3:15" x14ac:dyDescent="0.2">
      <c r="G6" s="1">
        <v>1.3104166666666667E-20</v>
      </c>
      <c r="H6" s="1">
        <v>1.3458333333333334E-20</v>
      </c>
      <c r="J6" s="1">
        <v>5E+20</v>
      </c>
    </row>
    <row r="7" spans="3:15" x14ac:dyDescent="0.2">
      <c r="C7" t="s">
        <v>0</v>
      </c>
      <c r="D7" t="s">
        <v>15</v>
      </c>
      <c r="E7" t="s">
        <v>16</v>
      </c>
      <c r="F7" t="s">
        <v>17</v>
      </c>
      <c r="G7" t="s">
        <v>35</v>
      </c>
      <c r="H7" t="s">
        <v>36</v>
      </c>
      <c r="J7" t="s">
        <v>33</v>
      </c>
      <c r="K7" t="s">
        <v>34</v>
      </c>
      <c r="N7" t="s">
        <v>16</v>
      </c>
      <c r="O7" t="s">
        <v>17</v>
      </c>
    </row>
    <row r="8" spans="3:15" x14ac:dyDescent="0.2">
      <c r="C8" s="3">
        <v>300</v>
      </c>
      <c r="D8" s="4">
        <f t="shared" ref="D8:D24" si="0">1/((8.6173*10^-5)*C8)</f>
        <v>38.681876380459464</v>
      </c>
      <c r="E8" s="1">
        <f t="shared" ref="E8:E13" si="1">(0.0000128)*EXP(-1.76*D8)</f>
        <v>3.4705408214644281E-35</v>
      </c>
      <c r="F8">
        <f>(0.0000162)*EXP(-1.97*D8)</f>
        <v>1.302698325798746E-38</v>
      </c>
      <c r="G8" s="1">
        <f>$G$6</f>
        <v>1.3104166666666667E-20</v>
      </c>
      <c r="H8" s="1">
        <f>$H$6</f>
        <v>1.3458333333333334E-20</v>
      </c>
      <c r="J8" s="1">
        <f>(0.000000000000124)*EXP(-0.675*$D8)*0.000000000053*SQRT(J$6)</f>
        <v>6.7241573903087365E-25</v>
      </c>
      <c r="K8" s="1">
        <f>(0.0000000000000147)*EXP(-0.575*$D8)*0.000000000053*SQRT(J$6)</f>
        <v>3.8147498625098711E-24</v>
      </c>
      <c r="L8" s="16">
        <f>J8/N8</f>
        <v>5.1310491857442506E-5</v>
      </c>
      <c r="N8" s="1">
        <f>E8+G8+J8</f>
        <v>1.3104839082405733E-20</v>
      </c>
      <c r="O8" s="1">
        <f>F8+H8+K8</f>
        <v>1.3462148083195844E-20</v>
      </c>
    </row>
    <row r="9" spans="3:15" x14ac:dyDescent="0.2">
      <c r="C9" s="3">
        <v>350</v>
      </c>
      <c r="D9" s="4">
        <f t="shared" si="0"/>
        <v>33.155894040393825</v>
      </c>
      <c r="E9" s="1">
        <f t="shared" si="1"/>
        <v>5.8106880250278615E-31</v>
      </c>
      <c r="F9">
        <f>(0.0000162)*EXP(-1.97*D9)</f>
        <v>6.9607176975612092E-34</v>
      </c>
      <c r="G9" s="1">
        <f t="shared" ref="G9:G24" si="2">$G$6</f>
        <v>1.3104166666666667E-20</v>
      </c>
      <c r="H9" s="1">
        <f t="shared" ref="H9:H24" si="3">$H$6</f>
        <v>1.3458333333333334E-20</v>
      </c>
      <c r="J9" s="1">
        <f t="shared" ref="J9:J15" si="4">(0.000000000000124)*EXP(-0.675*$D9)*0.000000000053*SQRT(J$6)</f>
        <v>2.8026755544023039E-23</v>
      </c>
      <c r="K9" s="1">
        <f t="shared" ref="K9:K15" si="5">(0.0000000000000147)*EXP(-0.575*$D9)*0.000000000053*SQRT(J$6)</f>
        <v>9.1497801190309543E-23</v>
      </c>
      <c r="L9" s="16">
        <f t="shared" ref="L9:L24" si="6">J9/N9</f>
        <v>2.1342021581391589E-3</v>
      </c>
      <c r="N9" s="1">
        <f t="shared" ref="N9:N24" si="7">E9+G9+J9</f>
        <v>1.3132193422791759E-20</v>
      </c>
      <c r="O9" s="1">
        <f t="shared" ref="O9:O24" si="8">F9+H9+K9</f>
        <v>1.3549831134524341E-20</v>
      </c>
    </row>
    <row r="10" spans="3:15" x14ac:dyDescent="0.2">
      <c r="C10" s="3">
        <v>400</v>
      </c>
      <c r="D10" s="4">
        <f t="shared" si="0"/>
        <v>29.0114072853446</v>
      </c>
      <c r="E10" s="1">
        <f t="shared" si="1"/>
        <v>8.5526433130353248E-28</v>
      </c>
      <c r="F10">
        <f>(0.0000162)*EXP(-1.97*D10)</f>
        <v>2.4463108689330224E-30</v>
      </c>
      <c r="G10" s="1">
        <f t="shared" si="2"/>
        <v>1.3104166666666667E-20</v>
      </c>
      <c r="H10" s="1">
        <f t="shared" si="3"/>
        <v>1.3458333333333334E-20</v>
      </c>
      <c r="J10" s="1">
        <f t="shared" si="4"/>
        <v>4.5975243909078641E-22</v>
      </c>
      <c r="K10" s="1">
        <f t="shared" si="5"/>
        <v>9.9167439785649209E-22</v>
      </c>
      <c r="L10" s="16">
        <f t="shared" si="6"/>
        <v>3.3895248601581454E-2</v>
      </c>
      <c r="N10" s="1">
        <f t="shared" si="7"/>
        <v>1.3563919961021784E-20</v>
      </c>
      <c r="O10" s="1">
        <f t="shared" si="8"/>
        <v>1.4450007733636136E-20</v>
      </c>
    </row>
    <row r="11" spans="3:15" x14ac:dyDescent="0.2">
      <c r="C11" s="3">
        <v>450</v>
      </c>
      <c r="D11" s="4">
        <f t="shared" si="0"/>
        <v>25.787917586972974</v>
      </c>
      <c r="E11" s="1">
        <f t="shared" si="1"/>
        <v>2.4888655014455689E-25</v>
      </c>
      <c r="F11">
        <f>(0.0000162)*EXP(-1.97*D11)</f>
        <v>1.4008799134186587E-27</v>
      </c>
      <c r="G11" s="1">
        <f t="shared" si="2"/>
        <v>1.3104166666666667E-20</v>
      </c>
      <c r="H11" s="1">
        <f t="shared" si="3"/>
        <v>1.3458333333333334E-20</v>
      </c>
      <c r="J11" s="1">
        <f t="shared" si="4"/>
        <v>4.0502898082204914E-21</v>
      </c>
      <c r="K11" s="1">
        <f t="shared" si="5"/>
        <v>6.3290245390199085E-21</v>
      </c>
      <c r="L11" s="16">
        <f t="shared" si="6"/>
        <v>0.23610372331577831</v>
      </c>
      <c r="N11" s="1">
        <f t="shared" si="7"/>
        <v>1.7154705361437302E-20</v>
      </c>
      <c r="O11" s="1">
        <f t="shared" si="8"/>
        <v>1.9787359273233155E-20</v>
      </c>
    </row>
    <row r="12" spans="3:15" x14ac:dyDescent="0.2">
      <c r="C12" s="3">
        <v>500</v>
      </c>
      <c r="D12" s="4">
        <f t="shared" si="0"/>
        <v>23.209125828275678</v>
      </c>
      <c r="E12" s="1">
        <f t="shared" si="1"/>
        <v>2.328746858810618E-23</v>
      </c>
      <c r="F12">
        <f>(0.0000162)*EXP(-1.97*D12)</f>
        <v>2.2527464751003093E-25</v>
      </c>
      <c r="G12" s="1">
        <f t="shared" si="2"/>
        <v>1.3104166666666667E-20</v>
      </c>
      <c r="H12" s="1">
        <f t="shared" si="3"/>
        <v>1.3458333333333334E-20</v>
      </c>
      <c r="J12" s="1">
        <f t="shared" si="4"/>
        <v>2.3091691402089365E-20</v>
      </c>
      <c r="K12" s="1">
        <f t="shared" si="5"/>
        <v>2.7881165363167295E-20</v>
      </c>
      <c r="L12" s="17">
        <f t="shared" si="6"/>
        <v>0.63755483624759812</v>
      </c>
      <c r="N12" s="1">
        <f t="shared" si="7"/>
        <v>3.6219145537344138E-20</v>
      </c>
      <c r="O12" s="1">
        <f t="shared" si="8"/>
        <v>4.1339723971148136E-20</v>
      </c>
    </row>
    <row r="13" spans="3:15" x14ac:dyDescent="0.2">
      <c r="C13" s="3">
        <v>550</v>
      </c>
      <c r="D13" s="4">
        <f t="shared" si="0"/>
        <v>21.099205298432434</v>
      </c>
      <c r="E13" s="1">
        <f t="shared" si="1"/>
        <v>9.5467934488159123E-22</v>
      </c>
      <c r="F13">
        <f t="shared" ref="F13:F24" si="9">(0.0000162)*EXP(-1.97*D13)</f>
        <v>1.4383884935508383E-23</v>
      </c>
      <c r="G13" s="1">
        <f t="shared" si="2"/>
        <v>1.3104166666666667E-20</v>
      </c>
      <c r="H13" s="1">
        <f t="shared" si="3"/>
        <v>1.3458333333333334E-20</v>
      </c>
      <c r="J13" s="1">
        <f t="shared" si="4"/>
        <v>9.5934841908693688E-20</v>
      </c>
      <c r="K13" s="1">
        <f t="shared" si="5"/>
        <v>9.3799140131763943E-20</v>
      </c>
      <c r="L13" s="17">
        <f t="shared" si="6"/>
        <v>0.87218497463470324</v>
      </c>
      <c r="N13" s="1">
        <f t="shared" si="7"/>
        <v>1.0999368792024195E-19</v>
      </c>
      <c r="O13" s="1">
        <f t="shared" si="8"/>
        <v>1.0727185735003278E-19</v>
      </c>
    </row>
    <row r="14" spans="3:15" x14ac:dyDescent="0.2">
      <c r="C14" s="5">
        <v>600</v>
      </c>
      <c r="D14" s="4">
        <f t="shared" si="0"/>
        <v>19.340938190229732</v>
      </c>
      <c r="E14" s="2">
        <f t="shared" ref="E14:E24" si="10">(0.0000128)*EXP(-1.76*D14)</f>
        <v>2.1076746075887681E-20</v>
      </c>
      <c r="F14">
        <f t="shared" si="9"/>
        <v>4.5938777604481041E-22</v>
      </c>
      <c r="G14" s="1">
        <f t="shared" si="2"/>
        <v>1.3104166666666667E-20</v>
      </c>
      <c r="H14" s="1">
        <f t="shared" si="3"/>
        <v>1.3458333333333334E-20</v>
      </c>
      <c r="J14" s="1">
        <f t="shared" si="4"/>
        <v>3.1434764682125171E-19</v>
      </c>
      <c r="K14" s="1">
        <f t="shared" si="5"/>
        <v>2.5779360293810008E-19</v>
      </c>
      <c r="L14" s="17">
        <f t="shared" si="6"/>
        <v>0.90192794304910684</v>
      </c>
      <c r="N14" s="1">
        <f t="shared" si="7"/>
        <v>3.4852855956380606E-19</v>
      </c>
      <c r="O14" s="1">
        <f t="shared" si="8"/>
        <v>2.7171132404747822E-19</v>
      </c>
    </row>
    <row r="15" spans="3:15" x14ac:dyDescent="0.2">
      <c r="C15" s="5">
        <v>650</v>
      </c>
      <c r="D15" s="4">
        <f t="shared" si="0"/>
        <v>17.853173714058212</v>
      </c>
      <c r="E15" s="1">
        <f t="shared" si="10"/>
        <v>2.8906044806447953E-19</v>
      </c>
      <c r="F15" s="6">
        <f t="shared" si="9"/>
        <v>8.6109566414880778E-21</v>
      </c>
      <c r="G15" s="1">
        <f t="shared" si="2"/>
        <v>1.3104166666666667E-20</v>
      </c>
      <c r="H15" s="1">
        <f t="shared" si="3"/>
        <v>1.3458333333333334E-20</v>
      </c>
      <c r="J15" s="1">
        <f t="shared" si="4"/>
        <v>8.5811708283699691E-19</v>
      </c>
      <c r="K15" s="1">
        <f t="shared" si="5"/>
        <v>6.0645094921124043E-19</v>
      </c>
      <c r="L15" s="17">
        <f t="shared" si="6"/>
        <v>0.7395765051155605</v>
      </c>
      <c r="N15" s="1">
        <f t="shared" si="7"/>
        <v>1.160281697568143E-18</v>
      </c>
      <c r="O15" s="1">
        <f t="shared" si="8"/>
        <v>6.2852023918606187E-19</v>
      </c>
    </row>
    <row r="16" spans="3:15" x14ac:dyDescent="0.2">
      <c r="C16" s="3">
        <v>700</v>
      </c>
      <c r="D16" s="4">
        <f t="shared" si="0"/>
        <v>16.577947020196913</v>
      </c>
      <c r="E16" s="1">
        <f t="shared" si="10"/>
        <v>2.7272111528144761E-18</v>
      </c>
      <c r="F16">
        <f t="shared" si="9"/>
        <v>1.0619021927677313E-19</v>
      </c>
      <c r="G16" s="1">
        <f t="shared" si="2"/>
        <v>1.3104166666666667E-20</v>
      </c>
      <c r="H16" s="1">
        <f t="shared" si="3"/>
        <v>1.3458333333333334E-20</v>
      </c>
      <c r="J16" s="1">
        <f>(0.00000000000000138)*EXP(-0.412*$D16)*0.000000000053*SQRT(J$6)</f>
        <v>1.7674985344295757E-18</v>
      </c>
      <c r="K16" s="1">
        <f>(0.000000000000000165)*EXP(-0.313*$D16)*0.000000000053*SQRT(J$6)</f>
        <v>1.0907753136981399E-18</v>
      </c>
      <c r="L16" s="16">
        <f t="shared" si="6"/>
        <v>0.39209661084301345</v>
      </c>
      <c r="N16" s="1">
        <f t="shared" si="7"/>
        <v>4.5078138539107189E-18</v>
      </c>
      <c r="O16" s="1">
        <f t="shared" si="8"/>
        <v>1.2104238663082464E-18</v>
      </c>
    </row>
    <row r="17" spans="3:15" x14ac:dyDescent="0.2">
      <c r="C17" s="3">
        <v>750</v>
      </c>
      <c r="D17" s="4">
        <f t="shared" si="0"/>
        <v>15.472750552183786</v>
      </c>
      <c r="E17" s="1">
        <f>(0.0000128)*EXP(-1.76*D17)</f>
        <v>1.9075891545134861E-17</v>
      </c>
      <c r="F17">
        <f t="shared" si="9"/>
        <v>9.3679928528132065E-19</v>
      </c>
      <c r="G17" s="1">
        <f t="shared" si="2"/>
        <v>1.3104166666666667E-20</v>
      </c>
      <c r="H17" s="1">
        <f t="shared" si="3"/>
        <v>1.3458333333333334E-20</v>
      </c>
      <c r="J17" s="1">
        <f t="shared" ref="J17:J24" si="11">(0.00000000000000138)*EXP(-0.412*$D17)*0.000000000053*SQRT(J$6)</f>
        <v>2.7868341392302871E-18</v>
      </c>
      <c r="K17" s="1">
        <f t="shared" ref="K17:K24" si="12">(0.000000000000000165)*EXP(-0.313*$D17)*0.000000000053*SQRT(J$6)</f>
        <v>1.5415913620233476E-18</v>
      </c>
      <c r="L17" s="16">
        <f t="shared" si="6"/>
        <v>0.12739329928088836</v>
      </c>
      <c r="N17" s="1">
        <f t="shared" si="7"/>
        <v>2.1875829851031814E-17</v>
      </c>
      <c r="O17" s="1">
        <f t="shared" si="8"/>
        <v>2.4918489806380016E-18</v>
      </c>
    </row>
    <row r="18" spans="3:15" x14ac:dyDescent="0.2">
      <c r="C18" s="3">
        <v>800</v>
      </c>
      <c r="D18" s="4">
        <f t="shared" si="0"/>
        <v>14.5057036426723</v>
      </c>
      <c r="E18" s="1">
        <f t="shared" si="10"/>
        <v>1.0462974453130054E-16</v>
      </c>
      <c r="F18">
        <f t="shared" si="9"/>
        <v>6.2952550446121691E-18</v>
      </c>
      <c r="G18" s="1">
        <f t="shared" si="2"/>
        <v>1.3104166666666667E-20</v>
      </c>
      <c r="H18" s="1">
        <f t="shared" si="3"/>
        <v>1.3458333333333334E-20</v>
      </c>
      <c r="J18" s="1">
        <f t="shared" si="11"/>
        <v>4.1509181932320377E-18</v>
      </c>
      <c r="K18" s="1">
        <f t="shared" si="12"/>
        <v>2.0865269086701891E-18</v>
      </c>
      <c r="L18" s="16">
        <f t="shared" si="6"/>
        <v>3.8154007456909021E-2</v>
      </c>
      <c r="N18" s="1">
        <f t="shared" si="7"/>
        <v>1.0879376689119925E-16</v>
      </c>
      <c r="O18" s="1">
        <f t="shared" si="8"/>
        <v>8.3952402866156913E-18</v>
      </c>
    </row>
    <row r="19" spans="3:15" x14ac:dyDescent="0.2">
      <c r="C19" s="3">
        <v>850</v>
      </c>
      <c r="D19" s="4">
        <f t="shared" si="0"/>
        <v>13.652426957809221</v>
      </c>
      <c r="E19" s="1">
        <f t="shared" si="10"/>
        <v>4.6974727678085861E-16</v>
      </c>
      <c r="F19">
        <f t="shared" si="9"/>
        <v>3.3809818595059303E-17</v>
      </c>
      <c r="G19" s="1">
        <f t="shared" si="2"/>
        <v>1.3104166666666667E-20</v>
      </c>
      <c r="H19" s="1">
        <f t="shared" si="3"/>
        <v>1.3458333333333334E-20</v>
      </c>
      <c r="J19" s="1">
        <f t="shared" si="11"/>
        <v>5.899570521611485E-18</v>
      </c>
      <c r="K19" s="1">
        <f t="shared" si="12"/>
        <v>2.7252945659989507E-18</v>
      </c>
      <c r="L19" s="16">
        <f t="shared" si="6"/>
        <v>1.2402916208080803E-2</v>
      </c>
      <c r="N19" s="1">
        <f t="shared" si="7"/>
        <v>4.7565995146913681E-16</v>
      </c>
      <c r="O19" s="1">
        <f t="shared" si="8"/>
        <v>3.6548571494391588E-17</v>
      </c>
    </row>
    <row r="20" spans="3:15" x14ac:dyDescent="0.2">
      <c r="C20" s="3">
        <v>900</v>
      </c>
      <c r="D20" s="4">
        <f t="shared" si="0"/>
        <v>12.893958793486487</v>
      </c>
      <c r="E20" s="1">
        <f t="shared" si="10"/>
        <v>1.7848663372505874E-15</v>
      </c>
      <c r="F20">
        <f t="shared" si="9"/>
        <v>1.5064612373832348E-16</v>
      </c>
      <c r="G20" s="1">
        <f t="shared" si="2"/>
        <v>1.3104166666666667E-20</v>
      </c>
      <c r="H20" s="1">
        <f t="shared" si="3"/>
        <v>1.3458333333333334E-20</v>
      </c>
      <c r="J20" s="1">
        <f t="shared" si="11"/>
        <v>8.0636671869350764E-18</v>
      </c>
      <c r="K20" s="1">
        <f t="shared" si="12"/>
        <v>3.4555341777284859E-18</v>
      </c>
      <c r="L20" s="16">
        <f t="shared" si="6"/>
        <v>4.4974473245906069E-3</v>
      </c>
      <c r="N20" s="1">
        <f t="shared" si="7"/>
        <v>1.7929431086041893E-15</v>
      </c>
      <c r="O20" s="1">
        <f t="shared" si="8"/>
        <v>1.541151162493853E-16</v>
      </c>
    </row>
    <row r="21" spans="3:15" x14ac:dyDescent="0.2">
      <c r="C21" s="3">
        <v>950</v>
      </c>
      <c r="D21" s="4">
        <f t="shared" si="0"/>
        <v>12.215329383302988</v>
      </c>
      <c r="E21" s="1">
        <f t="shared" si="10"/>
        <v>5.8928001564541915E-15</v>
      </c>
      <c r="F21">
        <f t="shared" si="9"/>
        <v>5.7354332181351287E-16</v>
      </c>
      <c r="G21" s="1">
        <f t="shared" si="2"/>
        <v>1.3104166666666667E-20</v>
      </c>
      <c r="H21" s="1">
        <f t="shared" si="3"/>
        <v>1.3458333333333334E-20</v>
      </c>
      <c r="J21" s="1">
        <f t="shared" si="11"/>
        <v>1.066496164966946E-17</v>
      </c>
      <c r="K21" s="1">
        <f t="shared" si="12"/>
        <v>4.2733072570346734E-18</v>
      </c>
      <c r="L21" s="16">
        <f t="shared" si="6"/>
        <v>1.8065556013125473E-3</v>
      </c>
      <c r="N21" s="1">
        <f t="shared" si="7"/>
        <v>5.9034782222705276E-15</v>
      </c>
      <c r="O21" s="1">
        <f t="shared" si="8"/>
        <v>5.778300874038809E-16</v>
      </c>
    </row>
    <row r="22" spans="3:15" x14ac:dyDescent="0.2">
      <c r="C22" s="3">
        <v>1000</v>
      </c>
      <c r="D22" s="4">
        <f t="shared" si="0"/>
        <v>11.604562914137839</v>
      </c>
      <c r="E22" s="1">
        <f t="shared" si="10"/>
        <v>1.726498183977496E-14</v>
      </c>
      <c r="F22">
        <f t="shared" si="9"/>
        <v>1.9103531845348653E-15</v>
      </c>
      <c r="G22" s="1">
        <f t="shared" si="2"/>
        <v>1.3104166666666667E-20</v>
      </c>
      <c r="H22" s="1">
        <f t="shared" si="3"/>
        <v>1.3458333333333334E-20</v>
      </c>
      <c r="J22" s="1">
        <f t="shared" si="11"/>
        <v>1.3716500735131444E-17</v>
      </c>
      <c r="K22" s="1">
        <f t="shared" si="12"/>
        <v>5.1735440964823251E-18</v>
      </c>
      <c r="L22" s="16">
        <f t="shared" si="6"/>
        <v>7.9383817358424816E-4</v>
      </c>
      <c r="N22" s="1">
        <f t="shared" si="7"/>
        <v>1.7278711444676757E-14</v>
      </c>
      <c r="O22" s="1">
        <f t="shared" si="8"/>
        <v>1.9155401869646809E-15</v>
      </c>
    </row>
    <row r="23" spans="3:15" x14ac:dyDescent="0.2">
      <c r="C23" s="3">
        <v>1050</v>
      </c>
      <c r="D23" s="4">
        <f t="shared" si="0"/>
        <v>11.051964680131276</v>
      </c>
      <c r="E23" s="1">
        <f t="shared" si="10"/>
        <v>4.5661394009175083E-14</v>
      </c>
      <c r="F23">
        <f t="shared" si="9"/>
        <v>5.6740699207894E-15</v>
      </c>
      <c r="G23" s="1">
        <f t="shared" si="2"/>
        <v>1.3104166666666667E-20</v>
      </c>
      <c r="H23" s="1">
        <f t="shared" si="3"/>
        <v>1.3458333333333334E-20</v>
      </c>
      <c r="J23" s="1">
        <f t="shared" si="11"/>
        <v>1.7223418762781473E-17</v>
      </c>
      <c r="K23" s="1">
        <f t="shared" si="12"/>
        <v>6.1504251702362428E-18</v>
      </c>
      <c r="L23" s="16">
        <f t="shared" si="6"/>
        <v>3.7705637323510067E-4</v>
      </c>
      <c r="N23" s="1">
        <f t="shared" si="7"/>
        <v>4.5678630532104535E-14</v>
      </c>
      <c r="O23" s="1">
        <f t="shared" si="8"/>
        <v>5.6802338042929697E-15</v>
      </c>
    </row>
    <row r="24" spans="3:15" x14ac:dyDescent="0.2">
      <c r="C24" s="3">
        <v>1100</v>
      </c>
      <c r="D24" s="4">
        <f t="shared" si="0"/>
        <v>10.549602649216217</v>
      </c>
      <c r="E24" s="1">
        <f t="shared" si="10"/>
        <v>1.1054363669829378E-13</v>
      </c>
      <c r="F24">
        <f t="shared" si="9"/>
        <v>1.5264957777708914E-14</v>
      </c>
      <c r="G24" s="1">
        <f t="shared" si="2"/>
        <v>1.3104166666666667E-20</v>
      </c>
      <c r="H24" s="1">
        <f t="shared" si="3"/>
        <v>1.3458333333333334E-20</v>
      </c>
      <c r="J24" s="1">
        <f t="shared" si="11"/>
        <v>2.1183936251098529E-17</v>
      </c>
      <c r="K24" s="1">
        <f t="shared" si="12"/>
        <v>7.1976927874235582E-18</v>
      </c>
      <c r="L24" s="16">
        <f t="shared" si="6"/>
        <v>1.9159741424801236E-4</v>
      </c>
      <c r="N24" s="1">
        <f t="shared" si="7"/>
        <v>1.1056483373871155E-13</v>
      </c>
      <c r="O24" s="1">
        <f t="shared" si="8"/>
        <v>1.5272168928829671E-14</v>
      </c>
    </row>
    <row r="26" spans="3:15" x14ac:dyDescent="0.2">
      <c r="G26" s="2">
        <v>2.6208333333333334E-41</v>
      </c>
      <c r="H26" s="2">
        <v>2.691666666666667E-41</v>
      </c>
      <c r="J26" t="s">
        <v>3</v>
      </c>
    </row>
    <row r="27" spans="3:15" x14ac:dyDescent="0.2">
      <c r="G27" s="1">
        <f>G26*J27</f>
        <v>1.3104166666666666E-22</v>
      </c>
      <c r="H27" s="1">
        <f>H26*J27</f>
        <v>1.3458333333333334E-22</v>
      </c>
      <c r="J27" s="1">
        <v>5E+18</v>
      </c>
    </row>
    <row r="28" spans="3:15" x14ac:dyDescent="0.2">
      <c r="C28" t="s">
        <v>0</v>
      </c>
      <c r="D28" t="s">
        <v>15</v>
      </c>
      <c r="E28" t="s">
        <v>16</v>
      </c>
      <c r="F28" t="s">
        <v>17</v>
      </c>
      <c r="G28" t="s">
        <v>35</v>
      </c>
      <c r="H28" t="s">
        <v>36</v>
      </c>
      <c r="J28" t="s">
        <v>33</v>
      </c>
      <c r="K28" t="s">
        <v>34</v>
      </c>
      <c r="N28" t="s">
        <v>16</v>
      </c>
      <c r="O28" t="s">
        <v>17</v>
      </c>
    </row>
    <row r="29" spans="3:15" x14ac:dyDescent="0.2">
      <c r="C29" s="3">
        <v>300</v>
      </c>
      <c r="D29" s="4">
        <f t="shared" ref="D29:D45" si="13">1/((8.6173*10^-5)*C29)</f>
        <v>38.681876380459464</v>
      </c>
      <c r="E29" s="1">
        <f t="shared" ref="E29:E34" si="14">(0.0000128)*EXP(-1.76*D29)</f>
        <v>3.4705408214644281E-35</v>
      </c>
      <c r="F29">
        <f>(0.0000162)*EXP(-1.97*D29)</f>
        <v>1.302698325798746E-38</v>
      </c>
      <c r="G29" s="1">
        <f>$G$27</f>
        <v>1.3104166666666666E-22</v>
      </c>
      <c r="H29" s="1">
        <f>$H$27</f>
        <v>1.3458333333333334E-22</v>
      </c>
      <c r="J29" s="1">
        <f>(0.000000000000124)*EXP(-0.675*$D29)*0.000000000053*SQRT(J$27)</f>
        <v>6.724157390308736E-26</v>
      </c>
      <c r="K29" s="1">
        <f>(0.0000000000000147)*EXP(-0.575*$D29)*0.000000000053*SQRT(J$27)</f>
        <v>3.8147498625098704E-25</v>
      </c>
      <c r="L29" s="16">
        <f>J29/N29</f>
        <v>5.1286807895378869E-4</v>
      </c>
      <c r="N29" s="1">
        <f>E29+G29+J29</f>
        <v>1.3110890824060445E-22</v>
      </c>
      <c r="O29" s="1">
        <f>F29+H29+K29</f>
        <v>1.3496480831958434E-22</v>
      </c>
    </row>
    <row r="30" spans="3:15" x14ac:dyDescent="0.2">
      <c r="C30" s="3">
        <v>350</v>
      </c>
      <c r="D30" s="4">
        <f t="shared" si="13"/>
        <v>33.155894040393825</v>
      </c>
      <c r="E30" s="1">
        <f t="shared" si="14"/>
        <v>5.8106880250278615E-31</v>
      </c>
      <c r="F30">
        <f>(0.0000162)*EXP(-1.97*D30)</f>
        <v>6.9607176975612092E-34</v>
      </c>
      <c r="G30" s="1">
        <f t="shared" ref="G30:G44" si="15">$G$27</f>
        <v>1.3104166666666666E-22</v>
      </c>
      <c r="H30" s="1">
        <f t="shared" ref="H30:H44" si="16">$H$27</f>
        <v>1.3458333333333334E-22</v>
      </c>
      <c r="J30" s="1">
        <f t="shared" ref="J30:J36" si="17">(0.000000000000124)*EXP(-0.675*$D30)*0.000000000053*SQRT(J$27)</f>
        <v>2.8026755544023042E-24</v>
      </c>
      <c r="K30" s="1">
        <f t="shared" ref="K30:K36" si="18">(0.0000000000000147)*EXP(-0.575*$D30)*0.000000000053*SQRT(J$27)</f>
        <v>9.1497801190309537E-24</v>
      </c>
      <c r="L30" s="18">
        <f t="shared" ref="L30:L45" si="19">J30/N30</f>
        <v>2.0939813336343267E-2</v>
      </c>
      <c r="N30" s="1">
        <f t="shared" ref="N30:N45" si="20">E30+G30+J30</f>
        <v>1.3384434280213777E-22</v>
      </c>
      <c r="O30" s="1">
        <f t="shared" ref="O30:O45" si="21">F30+H30+K30</f>
        <v>1.4373311345306038E-22</v>
      </c>
    </row>
    <row r="31" spans="3:15" x14ac:dyDescent="0.2">
      <c r="C31" s="3">
        <v>400</v>
      </c>
      <c r="D31" s="4">
        <f t="shared" si="13"/>
        <v>29.0114072853446</v>
      </c>
      <c r="E31" s="1">
        <f t="shared" si="14"/>
        <v>8.5526433130353248E-28</v>
      </c>
      <c r="F31">
        <f>(0.0000162)*EXP(-1.97*D31)</f>
        <v>2.4463108689330224E-30</v>
      </c>
      <c r="G31" s="1">
        <f t="shared" si="15"/>
        <v>1.3104166666666666E-22</v>
      </c>
      <c r="H31" s="1">
        <f t="shared" si="16"/>
        <v>1.3458333333333334E-22</v>
      </c>
      <c r="J31" s="1">
        <f t="shared" si="17"/>
        <v>4.5975243909078637E-23</v>
      </c>
      <c r="K31" s="1">
        <f t="shared" si="18"/>
        <v>9.9167439785649211E-23</v>
      </c>
      <c r="L31" s="18">
        <f t="shared" si="19"/>
        <v>0.2597210720115749</v>
      </c>
      <c r="N31" s="1">
        <f t="shared" si="20"/>
        <v>1.770177658400766E-22</v>
      </c>
      <c r="O31" s="1">
        <f t="shared" si="21"/>
        <v>2.3375077556529344E-22</v>
      </c>
    </row>
    <row r="32" spans="3:15" x14ac:dyDescent="0.2">
      <c r="C32" s="3">
        <v>450</v>
      </c>
      <c r="D32" s="4">
        <f t="shared" si="13"/>
        <v>25.787917586972974</v>
      </c>
      <c r="E32" s="1">
        <f t="shared" si="14"/>
        <v>2.4888655014455689E-25</v>
      </c>
      <c r="F32">
        <f>(0.0000162)*EXP(-1.97*D32)</f>
        <v>1.4008799134186587E-27</v>
      </c>
      <c r="G32" s="1">
        <f t="shared" si="15"/>
        <v>1.3104166666666666E-22</v>
      </c>
      <c r="H32" s="1">
        <f t="shared" si="16"/>
        <v>1.3458333333333334E-22</v>
      </c>
      <c r="J32" s="1">
        <f t="shared" si="17"/>
        <v>4.0502898082204914E-22</v>
      </c>
      <c r="K32" s="1">
        <f t="shared" si="18"/>
        <v>6.3290245390199083E-22</v>
      </c>
      <c r="L32" s="17">
        <f t="shared" si="19"/>
        <v>0.75520087394896529</v>
      </c>
      <c r="N32" s="1">
        <f t="shared" si="20"/>
        <v>5.363195340388603E-22</v>
      </c>
      <c r="O32" s="1">
        <f t="shared" si="21"/>
        <v>7.6748718811523761E-22</v>
      </c>
    </row>
    <row r="33" spans="3:15" x14ac:dyDescent="0.2">
      <c r="C33" s="3">
        <v>500</v>
      </c>
      <c r="D33" s="4">
        <f t="shared" si="13"/>
        <v>23.209125828275678</v>
      </c>
      <c r="E33" s="1">
        <f t="shared" si="14"/>
        <v>2.328746858810618E-23</v>
      </c>
      <c r="F33">
        <f>(0.0000162)*EXP(-1.97*D33)</f>
        <v>2.2527464751003093E-25</v>
      </c>
      <c r="G33" s="1">
        <f t="shared" si="15"/>
        <v>1.3104166666666666E-22</v>
      </c>
      <c r="H33" s="1">
        <f t="shared" si="16"/>
        <v>1.3458333333333334E-22</v>
      </c>
      <c r="J33" s="1">
        <f t="shared" si="17"/>
        <v>2.3091691402089365E-21</v>
      </c>
      <c r="K33" s="1">
        <f t="shared" si="18"/>
        <v>2.7881165363167292E-21</v>
      </c>
      <c r="L33" s="17">
        <f t="shared" si="19"/>
        <v>0.93735366621041238</v>
      </c>
      <c r="N33" s="1">
        <f t="shared" si="20"/>
        <v>2.4634982754637094E-21</v>
      </c>
      <c r="O33" s="1">
        <f t="shared" si="21"/>
        <v>2.9229251442975726E-21</v>
      </c>
    </row>
    <row r="34" spans="3:15" x14ac:dyDescent="0.2">
      <c r="C34" s="3">
        <v>550</v>
      </c>
      <c r="D34" s="4">
        <f t="shared" si="13"/>
        <v>21.099205298432434</v>
      </c>
      <c r="E34" s="1">
        <f t="shared" si="14"/>
        <v>9.5467934488159123E-22</v>
      </c>
      <c r="F34">
        <f t="shared" ref="F34:F45" si="22">(0.0000162)*EXP(-1.97*D34)</f>
        <v>1.4383884935508383E-23</v>
      </c>
      <c r="G34" s="1">
        <f t="shared" si="15"/>
        <v>1.3104166666666666E-22</v>
      </c>
      <c r="H34" s="1">
        <f t="shared" si="16"/>
        <v>1.3458333333333334E-22</v>
      </c>
      <c r="J34" s="1">
        <f t="shared" si="17"/>
        <v>9.5934841908693685E-21</v>
      </c>
      <c r="K34" s="1">
        <f t="shared" si="18"/>
        <v>9.3799140131763931E-21</v>
      </c>
      <c r="L34" s="17">
        <f t="shared" si="19"/>
        <v>0.89833316328611557</v>
      </c>
      <c r="N34" s="1">
        <f t="shared" si="20"/>
        <v>1.0679205202417626E-20</v>
      </c>
      <c r="O34" s="1">
        <f t="shared" si="21"/>
        <v>9.5288812314452344E-21</v>
      </c>
    </row>
    <row r="35" spans="3:15" x14ac:dyDescent="0.2">
      <c r="C35" s="5">
        <v>600</v>
      </c>
      <c r="D35" s="4">
        <f t="shared" si="13"/>
        <v>19.340938190229732</v>
      </c>
      <c r="E35" s="2">
        <f t="shared" ref="E35:E37" si="23">(0.0000128)*EXP(-1.76*D35)</f>
        <v>2.1076746075887681E-20</v>
      </c>
      <c r="F35">
        <f t="shared" si="22"/>
        <v>4.5938777604481041E-22</v>
      </c>
      <c r="G35" s="1">
        <f t="shared" si="15"/>
        <v>1.3104166666666666E-22</v>
      </c>
      <c r="H35" s="1">
        <f t="shared" si="16"/>
        <v>1.3458333333333334E-22</v>
      </c>
      <c r="J35" s="1">
        <f t="shared" si="17"/>
        <v>3.1434764682125169E-20</v>
      </c>
      <c r="K35" s="1">
        <f t="shared" si="18"/>
        <v>2.5779360293810007E-20</v>
      </c>
      <c r="L35" s="17">
        <f t="shared" si="19"/>
        <v>0.59713602844584224</v>
      </c>
      <c r="N35" s="1">
        <f t="shared" si="20"/>
        <v>5.2642552424679519E-20</v>
      </c>
      <c r="O35" s="1">
        <f t="shared" si="21"/>
        <v>2.637333140318815E-20</v>
      </c>
    </row>
    <row r="36" spans="3:15" x14ac:dyDescent="0.2">
      <c r="C36" s="5">
        <v>650</v>
      </c>
      <c r="D36" s="4">
        <f t="shared" si="13"/>
        <v>17.853173714058212</v>
      </c>
      <c r="E36" s="1">
        <f t="shared" si="23"/>
        <v>2.8906044806447953E-19</v>
      </c>
      <c r="F36" s="6">
        <f t="shared" si="22"/>
        <v>8.6109566414880778E-21</v>
      </c>
      <c r="G36" s="1">
        <f t="shared" si="15"/>
        <v>1.3104166666666666E-22</v>
      </c>
      <c r="H36" s="1">
        <f t="shared" si="16"/>
        <v>1.3458333333333334E-22</v>
      </c>
      <c r="J36" s="1">
        <f t="shared" si="17"/>
        <v>8.5811708283699688E-20</v>
      </c>
      <c r="K36" s="1">
        <f t="shared" si="18"/>
        <v>6.0645094921124046E-20</v>
      </c>
      <c r="L36" s="18">
        <f t="shared" si="19"/>
        <v>0.22882927062478681</v>
      </c>
      <c r="N36" s="1">
        <f t="shared" si="20"/>
        <v>3.750031980148459E-19</v>
      </c>
      <c r="O36" s="1">
        <f t="shared" si="21"/>
        <v>6.9390634895945451E-20</v>
      </c>
    </row>
    <row r="37" spans="3:15" x14ac:dyDescent="0.2">
      <c r="C37" s="3">
        <v>700</v>
      </c>
      <c r="D37" s="4">
        <f t="shared" si="13"/>
        <v>16.577947020196913</v>
      </c>
      <c r="E37" s="1">
        <f t="shared" si="23"/>
        <v>2.7272111528144761E-18</v>
      </c>
      <c r="F37">
        <f t="shared" si="22"/>
        <v>1.0619021927677313E-19</v>
      </c>
      <c r="G37" s="1">
        <f t="shared" si="15"/>
        <v>1.3104166666666666E-22</v>
      </c>
      <c r="H37" s="1">
        <f t="shared" si="16"/>
        <v>1.3458333333333334E-22</v>
      </c>
      <c r="J37" s="1">
        <f>(0.00000000000000138)*EXP(-0.412*$D37)*0.000000000053*SQRT(J$27)</f>
        <v>1.7674985344295759E-19</v>
      </c>
      <c r="K37" s="1">
        <f>(0.000000000000000165)*EXP(-0.313*$D37)*0.000000000053*SQRT(J$27)</f>
        <v>1.0907753136981398E-19</v>
      </c>
      <c r="L37" s="18">
        <f t="shared" si="19"/>
        <v>6.0862345451240675E-2</v>
      </c>
      <c r="N37" s="1">
        <f t="shared" si="20"/>
        <v>2.9040920479241003E-18</v>
      </c>
      <c r="O37" s="1">
        <f t="shared" si="21"/>
        <v>2.1540233397992046E-19</v>
      </c>
    </row>
    <row r="38" spans="3:15" x14ac:dyDescent="0.2">
      <c r="C38" s="3">
        <v>750</v>
      </c>
      <c r="D38" s="4">
        <f t="shared" si="13"/>
        <v>15.472750552183786</v>
      </c>
      <c r="E38" s="1">
        <f>(0.0000128)*EXP(-1.76*D38)</f>
        <v>1.9075891545134861E-17</v>
      </c>
      <c r="F38">
        <f t="shared" si="22"/>
        <v>9.3679928528132065E-19</v>
      </c>
      <c r="G38" s="1">
        <f t="shared" si="15"/>
        <v>1.3104166666666666E-22</v>
      </c>
      <c r="H38" s="1">
        <f t="shared" si="16"/>
        <v>1.3458333333333334E-22</v>
      </c>
      <c r="J38" s="1">
        <f t="shared" ref="J38:J45" si="24">(0.00000000000000138)*EXP(-0.412*$D38)*0.000000000053*SQRT(J$27)</f>
        <v>2.7868341392302871E-19</v>
      </c>
      <c r="K38" s="1">
        <f t="shared" ref="K38:K45" si="25">(0.000000000000000165)*EXP(-0.313*$D38)*0.000000000053*SQRT(J$27)</f>
        <v>1.5415913620233476E-19</v>
      </c>
      <c r="L38" s="18">
        <f t="shared" si="19"/>
        <v>1.4398741779523595E-2</v>
      </c>
      <c r="N38" s="1">
        <f t="shared" si="20"/>
        <v>1.9354706000724557E-17</v>
      </c>
      <c r="O38" s="1">
        <f t="shared" si="21"/>
        <v>1.0910930048169887E-18</v>
      </c>
    </row>
    <row r="39" spans="3:15" x14ac:dyDescent="0.2">
      <c r="C39" s="3">
        <v>800</v>
      </c>
      <c r="D39" s="4">
        <f t="shared" si="13"/>
        <v>14.5057036426723</v>
      </c>
      <c r="E39" s="1">
        <f t="shared" ref="E39:E45" si="26">(0.0000128)*EXP(-1.76*D39)</f>
        <v>1.0462974453130054E-16</v>
      </c>
      <c r="F39">
        <f t="shared" si="22"/>
        <v>6.2952550446121691E-18</v>
      </c>
      <c r="G39" s="1">
        <f t="shared" si="15"/>
        <v>1.3104166666666666E-22</v>
      </c>
      <c r="H39" s="1">
        <f t="shared" si="16"/>
        <v>1.3458333333333334E-22</v>
      </c>
      <c r="J39" s="1">
        <f t="shared" si="24"/>
        <v>4.1509181932320373E-19</v>
      </c>
      <c r="K39" s="1">
        <f t="shared" si="25"/>
        <v>2.086526908670189E-19</v>
      </c>
      <c r="L39" s="18">
        <f t="shared" si="19"/>
        <v>3.9515631222297723E-3</v>
      </c>
      <c r="N39" s="1">
        <f t="shared" si="20"/>
        <v>1.0504496739229042E-16</v>
      </c>
      <c r="O39" s="1">
        <f t="shared" si="21"/>
        <v>6.5040423188125209E-18</v>
      </c>
    </row>
    <row r="40" spans="3:15" x14ac:dyDescent="0.2">
      <c r="C40" s="3">
        <v>850</v>
      </c>
      <c r="D40" s="4">
        <f t="shared" si="13"/>
        <v>13.652426957809221</v>
      </c>
      <c r="E40" s="1">
        <f t="shared" si="26"/>
        <v>4.6974727678085861E-16</v>
      </c>
      <c r="F40">
        <f t="shared" si="22"/>
        <v>3.3809818595059303E-17</v>
      </c>
      <c r="G40" s="1">
        <f t="shared" si="15"/>
        <v>1.3104166666666666E-22</v>
      </c>
      <c r="H40" s="1">
        <f t="shared" si="16"/>
        <v>1.3458333333333334E-22</v>
      </c>
      <c r="J40" s="1">
        <f t="shared" si="24"/>
        <v>5.8995705216114844E-19</v>
      </c>
      <c r="K40" s="1">
        <f t="shared" si="25"/>
        <v>2.7252945659989506E-19</v>
      </c>
      <c r="L40" s="16">
        <f t="shared" si="19"/>
        <v>1.2543274173386855E-3</v>
      </c>
      <c r="N40" s="1">
        <f t="shared" si="20"/>
        <v>4.7033736487468644E-16</v>
      </c>
      <c r="O40" s="1">
        <f t="shared" si="21"/>
        <v>3.4082482634992529E-17</v>
      </c>
    </row>
    <row r="41" spans="3:15" x14ac:dyDescent="0.2">
      <c r="C41" s="3">
        <v>900</v>
      </c>
      <c r="D41" s="4">
        <f t="shared" si="13"/>
        <v>12.893958793486487</v>
      </c>
      <c r="E41" s="1">
        <f t="shared" si="26"/>
        <v>1.7848663372505874E-15</v>
      </c>
      <c r="F41">
        <f t="shared" si="22"/>
        <v>1.5064612373832348E-16</v>
      </c>
      <c r="G41" s="1">
        <f t="shared" si="15"/>
        <v>1.3104166666666666E-22</v>
      </c>
      <c r="H41" s="1">
        <f t="shared" si="16"/>
        <v>1.3458333333333334E-22</v>
      </c>
      <c r="J41" s="1">
        <f t="shared" si="24"/>
        <v>8.0636671869350759E-19</v>
      </c>
      <c r="K41" s="1">
        <f t="shared" si="25"/>
        <v>3.4555341777284857E-19</v>
      </c>
      <c r="L41" s="16">
        <f t="shared" si="19"/>
        <v>4.515758446247315E-4</v>
      </c>
      <c r="N41" s="1">
        <f t="shared" si="20"/>
        <v>1.7856728350109478E-15</v>
      </c>
      <c r="O41" s="1">
        <f t="shared" si="21"/>
        <v>1.5099181173942965E-16</v>
      </c>
    </row>
    <row r="42" spans="3:15" x14ac:dyDescent="0.2">
      <c r="C42" s="3">
        <v>950</v>
      </c>
      <c r="D42" s="4">
        <f t="shared" si="13"/>
        <v>12.215329383302988</v>
      </c>
      <c r="E42" s="1">
        <f t="shared" si="26"/>
        <v>5.8928001564541915E-15</v>
      </c>
      <c r="F42">
        <f t="shared" si="22"/>
        <v>5.7354332181351287E-16</v>
      </c>
      <c r="G42" s="1">
        <f t="shared" si="15"/>
        <v>1.3104166666666666E-22</v>
      </c>
      <c r="H42" s="1">
        <f t="shared" si="16"/>
        <v>1.3458333333333334E-22</v>
      </c>
      <c r="J42" s="1">
        <f t="shared" si="24"/>
        <v>1.066496164966946E-18</v>
      </c>
      <c r="K42" s="1">
        <f t="shared" si="25"/>
        <v>4.2733072570346732E-19</v>
      </c>
      <c r="L42" s="16">
        <f t="shared" si="19"/>
        <v>1.8095016465650743E-4</v>
      </c>
      <c r="N42" s="1">
        <f t="shared" si="20"/>
        <v>5.8938667836608245E-15</v>
      </c>
      <c r="O42" s="1">
        <f t="shared" si="21"/>
        <v>5.7397078712254967E-16</v>
      </c>
    </row>
    <row r="43" spans="3:15" x14ac:dyDescent="0.2">
      <c r="C43" s="3">
        <v>1000</v>
      </c>
      <c r="D43" s="4">
        <f t="shared" si="13"/>
        <v>11.604562914137839</v>
      </c>
      <c r="E43" s="1">
        <f t="shared" si="26"/>
        <v>1.726498183977496E-14</v>
      </c>
      <c r="F43">
        <f t="shared" si="22"/>
        <v>1.9103531845348653E-15</v>
      </c>
      <c r="G43" s="1">
        <f t="shared" si="15"/>
        <v>1.3104166666666666E-22</v>
      </c>
      <c r="H43" s="1">
        <f t="shared" si="16"/>
        <v>1.3458333333333334E-22</v>
      </c>
      <c r="J43" s="1">
        <f t="shared" si="24"/>
        <v>1.3716500735131442E-18</v>
      </c>
      <c r="K43" s="1">
        <f t="shared" si="25"/>
        <v>5.1735440964823251E-19</v>
      </c>
      <c r="L43" s="16">
        <f t="shared" si="19"/>
        <v>7.9440633710502624E-5</v>
      </c>
      <c r="N43" s="1">
        <f t="shared" si="20"/>
        <v>1.726635362089014E-14</v>
      </c>
      <c r="O43" s="1">
        <f t="shared" si="21"/>
        <v>1.9108706735278472E-15</v>
      </c>
    </row>
    <row r="44" spans="3:15" x14ac:dyDescent="0.2">
      <c r="C44" s="3">
        <v>1050</v>
      </c>
      <c r="D44" s="4">
        <f t="shared" si="13"/>
        <v>11.051964680131276</v>
      </c>
      <c r="E44" s="1">
        <f t="shared" si="26"/>
        <v>4.5661394009175083E-14</v>
      </c>
      <c r="F44">
        <f t="shared" si="22"/>
        <v>5.6740699207894E-15</v>
      </c>
      <c r="G44" s="1">
        <f t="shared" si="15"/>
        <v>1.3104166666666666E-22</v>
      </c>
      <c r="H44" s="1">
        <f t="shared" si="16"/>
        <v>1.3458333333333334E-22</v>
      </c>
      <c r="J44" s="1">
        <f t="shared" si="24"/>
        <v>1.7223418762781473E-18</v>
      </c>
      <c r="K44" s="1">
        <f t="shared" si="25"/>
        <v>6.1504251702362426E-19</v>
      </c>
      <c r="L44" s="16">
        <f t="shared" si="19"/>
        <v>3.771844781889932E-5</v>
      </c>
      <c r="N44" s="1">
        <f t="shared" si="20"/>
        <v>4.566311648209303E-14</v>
      </c>
      <c r="O44" s="1">
        <f t="shared" si="21"/>
        <v>5.6746850978897569E-15</v>
      </c>
    </row>
    <row r="45" spans="3:15" x14ac:dyDescent="0.2">
      <c r="C45" s="3">
        <v>1100</v>
      </c>
      <c r="D45" s="4">
        <f t="shared" si="13"/>
        <v>10.549602649216217</v>
      </c>
      <c r="E45" s="1">
        <f t="shared" si="26"/>
        <v>1.1054363669829378E-13</v>
      </c>
      <c r="F45">
        <f t="shared" si="22"/>
        <v>1.5264957777708914E-14</v>
      </c>
      <c r="G45" s="1">
        <f>$G$27</f>
        <v>1.3104166666666666E-22</v>
      </c>
      <c r="H45" s="1">
        <f>$H$27</f>
        <v>1.3458333333333334E-22</v>
      </c>
      <c r="J45" s="1">
        <f t="shared" si="24"/>
        <v>2.1183936251098528E-18</v>
      </c>
      <c r="K45" s="1">
        <f t="shared" si="25"/>
        <v>7.1976927874235576E-19</v>
      </c>
      <c r="L45" s="16">
        <f t="shared" si="19"/>
        <v>1.9163048104716902E-5</v>
      </c>
      <c r="N45" s="1">
        <f t="shared" si="20"/>
        <v>1.1054575522296055E-13</v>
      </c>
      <c r="O45" s="1">
        <f t="shared" si="21"/>
        <v>1.5265677681570991E-14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C580-6850-EC45-A01D-9CE9AAC3F766}">
  <dimension ref="B2:P12"/>
  <sheetViews>
    <sheetView workbookViewId="0">
      <selection activeCell="P33" sqref="P33"/>
    </sheetView>
  </sheetViews>
  <sheetFormatPr baseColWidth="10" defaultRowHeight="16" x14ac:dyDescent="0.2"/>
  <sheetData>
    <row r="2" spans="2:16" x14ac:dyDescent="0.2">
      <c r="B2" t="s">
        <v>45</v>
      </c>
    </row>
    <row r="4" spans="2:16" x14ac:dyDescent="0.2">
      <c r="B4" t="s">
        <v>3</v>
      </c>
      <c r="C4" t="s">
        <v>0</v>
      </c>
      <c r="D4" t="s">
        <v>8</v>
      </c>
      <c r="E4" t="s">
        <v>15</v>
      </c>
      <c r="F4" t="s">
        <v>1</v>
      </c>
      <c r="G4" t="s">
        <v>2</v>
      </c>
      <c r="H4" t="s">
        <v>4</v>
      </c>
      <c r="I4" t="s">
        <v>1</v>
      </c>
      <c r="J4" t="s">
        <v>2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</row>
    <row r="5" spans="2:16" x14ac:dyDescent="0.2">
      <c r="B5" s="1">
        <v>5E+20</v>
      </c>
      <c r="C5">
        <v>1000</v>
      </c>
      <c r="D5">
        <f>1/C5</f>
        <v>1E-3</v>
      </c>
      <c r="E5">
        <f>1/((0.000086173)*C5)</f>
        <v>11.604562914137839</v>
      </c>
      <c r="F5">
        <v>8.8099999999999998E-2</v>
      </c>
      <c r="G5">
        <v>0.6744</v>
      </c>
      <c r="H5" s="1">
        <v>9.9999999999999995E-8</v>
      </c>
      <c r="I5">
        <f>F5*H5</f>
        <v>8.8099999999999991E-9</v>
      </c>
      <c r="J5">
        <f>G5*H5</f>
        <v>6.744E-8</v>
      </c>
      <c r="K5">
        <f>(2000*0.000000000401)*EXP(-0.522*E5)</f>
        <v>1.8767222416006389E-9</v>
      </c>
      <c r="L5">
        <f>(2000*0.0000000000799)*EXP(-0.433*E5)</f>
        <v>1.0503750506745502E-9</v>
      </c>
      <c r="M5">
        <f>(2000*0.00000000123)*EXP(-0.75*E5)</f>
        <v>4.0840107654980419E-10</v>
      </c>
      <c r="N5">
        <f>(2000*0.000000000143)*EXP(-0.678*E5)</f>
        <v>1.0949221315810256E-10</v>
      </c>
      <c r="O5">
        <f>(I5*K5+J5*M5)</f>
        <v>4.4076491551020419E-17</v>
      </c>
      <c r="P5">
        <f>(I5*L5+J5*N5)</f>
        <v>1.6637959051825222E-17</v>
      </c>
    </row>
    <row r="6" spans="2:16" x14ac:dyDescent="0.2">
      <c r="B6" s="1">
        <v>5E+20</v>
      </c>
      <c r="C6">
        <v>900</v>
      </c>
      <c r="D6">
        <f t="shared" ref="D6:D12" si="0">1/C6</f>
        <v>1.1111111111111111E-3</v>
      </c>
      <c r="E6">
        <f t="shared" ref="E6:E12" si="1">1/((0.000086173)*C6)</f>
        <v>12.893958793486487</v>
      </c>
      <c r="F6">
        <v>8.0699999999999994E-2</v>
      </c>
      <c r="G6">
        <v>0.74209999999999998</v>
      </c>
      <c r="H6" s="1">
        <v>9.9999999999999995E-8</v>
      </c>
      <c r="I6">
        <f t="shared" ref="I6:I12" si="2">F6*H6</f>
        <v>8.0699999999999988E-9</v>
      </c>
      <c r="J6">
        <f t="shared" ref="J6:J12" si="3">G6*H6</f>
        <v>7.4210000000000001E-8</v>
      </c>
      <c r="K6">
        <f t="shared" ref="K6:K12" si="4">(2000*0.000000000401)*EXP(-0.522*E6)</f>
        <v>9.5739628499869752E-10</v>
      </c>
      <c r="L6">
        <f t="shared" ref="L6:L12" si="5">(2000*0.0000000000799)*EXP(-0.433*E6)</f>
        <v>6.0099953134005551E-10</v>
      </c>
      <c r="M6">
        <f t="shared" ref="M6:M12" si="6">(2000*0.00000000123)*EXP(-0.75*E6)</f>
        <v>1.5527578792143367E-10</v>
      </c>
      <c r="N6">
        <f t="shared" ref="N6:N12" si="7">(2000*0.000000000143)*EXP(-0.678*E6)</f>
        <v>4.5679198892672476E-11</v>
      </c>
      <c r="O6">
        <f t="shared" ref="O6:O12" si="8">(I6*K6+J6*M6)</f>
        <v>1.9249204241589082E-17</v>
      </c>
      <c r="P6">
        <f t="shared" ref="P6:P12" si="9">(I6*L6+J6*N6)</f>
        <v>8.2399195677394714E-18</v>
      </c>
    </row>
    <row r="7" spans="2:16" x14ac:dyDescent="0.2">
      <c r="B7" s="1">
        <v>5E+20</v>
      </c>
      <c r="C7">
        <v>800</v>
      </c>
      <c r="D7">
        <f t="shared" si="0"/>
        <v>1.25E-3</v>
      </c>
      <c r="E7">
        <f t="shared" si="1"/>
        <v>14.5057036426723</v>
      </c>
      <c r="F7">
        <v>7.2099999999999997E-2</v>
      </c>
      <c r="G7">
        <v>0.83389999999999997</v>
      </c>
      <c r="H7" s="1">
        <v>9.9999999999999995E-8</v>
      </c>
      <c r="I7">
        <f t="shared" si="2"/>
        <v>7.2099999999999997E-9</v>
      </c>
      <c r="J7">
        <f t="shared" si="3"/>
        <v>8.3389999999999994E-8</v>
      </c>
      <c r="K7">
        <f t="shared" si="4"/>
        <v>4.1276836884592861E-10</v>
      </c>
      <c r="L7">
        <f t="shared" si="5"/>
        <v>2.9907926393675988E-10</v>
      </c>
      <c r="M7">
        <f t="shared" si="6"/>
        <v>4.635801386112917E-11</v>
      </c>
      <c r="N7">
        <f t="shared" si="7"/>
        <v>1.5315724107031564E-11</v>
      </c>
      <c r="O7">
        <f t="shared" si="8"/>
        <v>6.8418547152587059E-18</v>
      </c>
      <c r="P7">
        <f t="shared" si="9"/>
        <v>3.4335397262694005E-18</v>
      </c>
    </row>
    <row r="8" spans="2:16" x14ac:dyDescent="0.2">
      <c r="B8" s="1">
        <v>5E+20</v>
      </c>
      <c r="C8">
        <v>700</v>
      </c>
      <c r="D8">
        <f t="shared" si="0"/>
        <v>1.4285714285714286E-3</v>
      </c>
      <c r="E8">
        <f t="shared" si="1"/>
        <v>16.577947020196913</v>
      </c>
      <c r="F8">
        <v>6.2300000000000001E-2</v>
      </c>
      <c r="G8">
        <v>0.96709999999999996</v>
      </c>
      <c r="H8" s="1">
        <v>9.9999999999999995E-8</v>
      </c>
      <c r="I8">
        <f t="shared" si="2"/>
        <v>6.2300000000000002E-9</v>
      </c>
      <c r="J8">
        <f t="shared" si="3"/>
        <v>9.6709999999999997E-8</v>
      </c>
      <c r="K8">
        <f t="shared" si="4"/>
        <v>1.3993465201354922E-10</v>
      </c>
      <c r="L8">
        <f t="shared" si="5"/>
        <v>1.2192757885964732E-10</v>
      </c>
      <c r="M8">
        <f t="shared" si="6"/>
        <v>9.7983268622687619E-12</v>
      </c>
      <c r="N8">
        <f t="shared" si="7"/>
        <v>3.7580455063379915E-12</v>
      </c>
      <c r="O8">
        <f t="shared" si="8"/>
        <v>1.8193890728944236E-18</v>
      </c>
      <c r="P8">
        <f t="shared" si="9"/>
        <v>1.1230493972135499E-18</v>
      </c>
    </row>
    <row r="9" spans="2:16" x14ac:dyDescent="0.2">
      <c r="B9" s="1">
        <v>5E+20</v>
      </c>
      <c r="C9">
        <v>600</v>
      </c>
      <c r="D9">
        <f t="shared" si="0"/>
        <v>1.6666666666666668E-3</v>
      </c>
      <c r="E9">
        <f t="shared" si="1"/>
        <v>19.340938190229732</v>
      </c>
      <c r="F9">
        <v>5.1000000000000004E-3</v>
      </c>
      <c r="G9">
        <v>0.1177</v>
      </c>
      <c r="H9" s="1">
        <v>9.9999999999999995E-7</v>
      </c>
      <c r="I9">
        <f t="shared" si="2"/>
        <v>5.1000000000000002E-9</v>
      </c>
      <c r="J9">
        <f t="shared" si="3"/>
        <v>1.1769999999999999E-7</v>
      </c>
      <c r="K9">
        <f t="shared" si="4"/>
        <v>3.3078851528425173E-11</v>
      </c>
      <c r="L9">
        <f t="shared" si="5"/>
        <v>3.6857240163022951E-11</v>
      </c>
      <c r="M9">
        <f t="shared" si="6"/>
        <v>1.2336389100961729E-12</v>
      </c>
      <c r="N9">
        <f t="shared" si="7"/>
        <v>5.7729088666488944E-13</v>
      </c>
      <c r="O9">
        <f t="shared" si="8"/>
        <v>3.1390144251328789E-19</v>
      </c>
      <c r="P9">
        <f t="shared" si="9"/>
        <v>2.5591906219187452E-19</v>
      </c>
    </row>
    <row r="10" spans="2:16" x14ac:dyDescent="0.2">
      <c r="B10" s="1">
        <v>5E+20</v>
      </c>
      <c r="C10">
        <v>500</v>
      </c>
      <c r="D10">
        <f t="shared" si="0"/>
        <v>2E-3</v>
      </c>
      <c r="E10">
        <f t="shared" si="1"/>
        <v>23.209125828275678</v>
      </c>
      <c r="F10">
        <v>3.8999999999999998E-3</v>
      </c>
      <c r="G10">
        <v>0.15490000000000001</v>
      </c>
      <c r="H10" s="1">
        <v>9.9999999999999995E-7</v>
      </c>
      <c r="I10">
        <f t="shared" si="2"/>
        <v>3.8999999999999994E-9</v>
      </c>
      <c r="J10">
        <f t="shared" si="3"/>
        <v>1.5489999999999999E-7</v>
      </c>
      <c r="K10">
        <f t="shared" si="4"/>
        <v>4.3916288929158682E-12</v>
      </c>
      <c r="L10">
        <f t="shared" si="5"/>
        <v>6.9041786425504617E-12</v>
      </c>
      <c r="M10">
        <f t="shared" si="6"/>
        <v>6.7801398100422372E-14</v>
      </c>
      <c r="N10">
        <f t="shared" si="7"/>
        <v>4.1917988609298501E-14</v>
      </c>
      <c r="O10">
        <f t="shared" si="8"/>
        <v>2.7629789248127309E-20</v>
      </c>
      <c r="P10">
        <f t="shared" si="9"/>
        <v>3.3419393141527137E-20</v>
      </c>
    </row>
    <row r="11" spans="2:16" x14ac:dyDescent="0.2">
      <c r="B11" s="1">
        <v>5E+20</v>
      </c>
      <c r="C11">
        <v>400</v>
      </c>
      <c r="D11">
        <f t="shared" si="0"/>
        <v>2.5000000000000001E-3</v>
      </c>
      <c r="E11">
        <f t="shared" si="1"/>
        <v>29.0114072853446</v>
      </c>
      <c r="F11">
        <v>2.5999999999999999E-3</v>
      </c>
      <c r="G11">
        <v>0.2339</v>
      </c>
      <c r="H11" s="1">
        <v>9.9999999999999995E-7</v>
      </c>
      <c r="I11">
        <f t="shared" si="2"/>
        <v>2.5999999999999997E-9</v>
      </c>
      <c r="J11">
        <f t="shared" si="3"/>
        <v>2.339E-7</v>
      </c>
      <c r="K11">
        <f t="shared" si="4"/>
        <v>2.1244105526150701E-13</v>
      </c>
      <c r="L11">
        <f t="shared" si="5"/>
        <v>5.5975222851660861E-13</v>
      </c>
      <c r="M11">
        <f t="shared" si="6"/>
        <v>8.7360384111733513E-16</v>
      </c>
      <c r="N11">
        <f t="shared" si="7"/>
        <v>8.2017973749198517E-16</v>
      </c>
      <c r="O11">
        <f t="shared" si="8"/>
        <v>7.5668268211726283E-22</v>
      </c>
      <c r="P11">
        <f t="shared" si="9"/>
        <v>1.6471958347425575E-21</v>
      </c>
    </row>
    <row r="12" spans="2:16" x14ac:dyDescent="0.2">
      <c r="B12" s="1">
        <v>5E+20</v>
      </c>
      <c r="C12">
        <v>300</v>
      </c>
      <c r="D12">
        <f t="shared" si="0"/>
        <v>3.3333333333333335E-3</v>
      </c>
      <c r="E12">
        <f t="shared" si="1"/>
        <v>38.681876380459464</v>
      </c>
      <c r="F12">
        <v>1.2999999999999999E-3</v>
      </c>
      <c r="G12">
        <v>0.46539999999999998</v>
      </c>
      <c r="H12" s="1">
        <v>9.9999999999999995E-7</v>
      </c>
      <c r="I12">
        <f t="shared" si="2"/>
        <v>1.2999999999999999E-9</v>
      </c>
      <c r="J12">
        <f t="shared" si="3"/>
        <v>4.6539999999999997E-7</v>
      </c>
      <c r="K12">
        <f t="shared" si="4"/>
        <v>1.3643521426927635E-15</v>
      </c>
      <c r="L12">
        <f t="shared" si="5"/>
        <v>8.50097717418493E-15</v>
      </c>
      <c r="M12">
        <f t="shared" si="6"/>
        <v>6.1864429288750962E-19</v>
      </c>
      <c r="N12">
        <f t="shared" si="7"/>
        <v>1.1652614259662035E-18</v>
      </c>
      <c r="O12">
        <f t="shared" si="8"/>
        <v>2.0615748394104392E-24</v>
      </c>
      <c r="P12">
        <f t="shared" si="9"/>
        <v>1.1593582994085078E-23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 data</vt:lpstr>
      <vt:lpstr>total diffusion</vt:lpstr>
      <vt:lpstr>constant Kiv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2020-09-02T19:47:26Z</dcterms:created>
  <dcterms:modified xsi:type="dcterms:W3CDTF">2021-10-06T14:04:20Z</dcterms:modified>
</cp:coreProperties>
</file>