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davis_work/"/>
    </mc:Choice>
  </mc:AlternateContent>
  <xr:revisionPtr revIDLastSave="0" documentId="13_ncr:1_{994F856D-6D81-D54D-96C3-C56153FAC9DA}" xr6:coauthVersionLast="36" xr6:coauthVersionMax="36" xr10:uidLastSave="{00000000-0000-0000-0000-000000000000}"/>
  <bookViews>
    <workbookView xWindow="14900" yWindow="4060" windowWidth="29060" windowHeight="16440" xr2:uid="{9337B59B-94E8-6A43-AF9A-2652C7F43BC5}"/>
  </bookViews>
  <sheets>
    <sheet name="VASP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K20" i="2"/>
  <c r="M20" i="2" s="1"/>
  <c r="I29" i="3" l="1"/>
  <c r="J29" i="3"/>
  <c r="M6" i="2"/>
  <c r="M7" i="2"/>
  <c r="J28" i="3"/>
  <c r="I28" i="3"/>
  <c r="I27" i="3"/>
  <c r="J27" i="3"/>
  <c r="M5" i="2"/>
  <c r="K8" i="3"/>
  <c r="J10" i="3" l="1"/>
  <c r="I10" i="3"/>
  <c r="J9" i="3"/>
  <c r="I9" i="3"/>
  <c r="J8" i="3"/>
  <c r="I8" i="3"/>
  <c r="V5" i="3"/>
  <c r="U5" i="3"/>
  <c r="V4" i="3"/>
  <c r="U4" i="3"/>
  <c r="V3" i="3"/>
  <c r="U3" i="3"/>
  <c r="J3" i="3"/>
  <c r="J4" i="3"/>
  <c r="J5" i="3"/>
  <c r="I3" i="3"/>
  <c r="I5" i="3"/>
  <c r="I4" i="3"/>
  <c r="N14" i="2" l="1"/>
  <c r="N12" i="2"/>
  <c r="K12" i="2"/>
  <c r="M12" i="2"/>
  <c r="N17" i="2" l="1"/>
  <c r="M16" i="2"/>
  <c r="K16" i="2"/>
  <c r="K14" i="2" l="1"/>
  <c r="M14" i="2" s="1"/>
  <c r="R14" i="2" l="1"/>
  <c r="G33" i="2"/>
  <c r="R20" i="2"/>
  <c r="U20" i="2" s="1"/>
  <c r="U19" i="2"/>
  <c r="U17" i="2"/>
  <c r="U18" i="2"/>
  <c r="R18" i="2"/>
  <c r="R19" i="2"/>
  <c r="U16" i="2"/>
  <c r="R17" i="2"/>
  <c r="R16" i="2"/>
  <c r="N16" i="2"/>
  <c r="N23" i="2"/>
  <c r="N20" i="2" l="1"/>
  <c r="K19" i="2"/>
  <c r="K17" i="2"/>
  <c r="D16" i="2" l="1"/>
  <c r="D11" i="2"/>
  <c r="F16" i="2"/>
  <c r="F11" i="2"/>
  <c r="M17" i="2" s="1"/>
  <c r="F12" i="2"/>
  <c r="N19" i="2" s="1"/>
  <c r="F17" i="2"/>
  <c r="D17" i="2"/>
  <c r="D12" i="2"/>
  <c r="M19" i="2" l="1"/>
  <c r="R11" i="2"/>
  <c r="R15" i="2" l="1"/>
  <c r="R13" i="2"/>
  <c r="K11" i="2"/>
  <c r="K13" i="2"/>
  <c r="K15" i="2"/>
  <c r="K7" i="2"/>
  <c r="K6" i="2"/>
  <c r="K5" i="2"/>
  <c r="D15" i="2"/>
  <c r="D14" i="2"/>
  <c r="D13" i="2"/>
  <c r="F15" i="2"/>
  <c r="F14" i="2"/>
  <c r="F13" i="2"/>
  <c r="U11" i="2" s="1"/>
  <c r="F10" i="2"/>
  <c r="D10" i="2"/>
  <c r="F9" i="2"/>
  <c r="D9" i="2"/>
  <c r="F8" i="2"/>
  <c r="D8" i="2"/>
  <c r="D5" i="2"/>
  <c r="D4" i="2"/>
  <c r="D3" i="2"/>
  <c r="K18" i="2" l="1"/>
  <c r="G10" i="2"/>
  <c r="G16" i="2"/>
  <c r="G11" i="2"/>
  <c r="G17" i="2"/>
  <c r="G12" i="2"/>
  <c r="D27" i="2"/>
  <c r="K27" i="2"/>
  <c r="K23" i="2"/>
  <c r="K25" i="2"/>
  <c r="K26" i="2"/>
  <c r="K24" i="2"/>
  <c r="N24" i="2" s="1"/>
  <c r="K10" i="2"/>
  <c r="N15" i="2"/>
  <c r="D20" i="2"/>
  <c r="G15" i="2"/>
  <c r="D39" i="2"/>
  <c r="U13" i="2"/>
  <c r="G8" i="2"/>
  <c r="G9" i="2"/>
  <c r="D21" i="2"/>
  <c r="U15" i="2"/>
  <c r="D24" i="2"/>
  <c r="D23" i="2"/>
  <c r="D22" i="2"/>
  <c r="R10" i="2"/>
  <c r="U10" i="2" s="1"/>
  <c r="R27" i="2"/>
  <c r="U27" i="2" s="1"/>
  <c r="R24" i="2"/>
  <c r="R12" i="2"/>
  <c r="R25" i="2"/>
  <c r="R26" i="2"/>
  <c r="D33" i="2"/>
  <c r="M11" i="2"/>
  <c r="M13" i="2"/>
  <c r="N11" i="2"/>
  <c r="N13" i="2"/>
  <c r="G13" i="2"/>
  <c r="D30" i="2"/>
  <c r="D28" i="2"/>
  <c r="G14" i="2"/>
  <c r="D29" i="2"/>
  <c r="M15" i="2"/>
  <c r="N10" i="2" l="1"/>
  <c r="M10" i="2"/>
  <c r="N25" i="2"/>
  <c r="U25" i="2"/>
  <c r="U12" i="2"/>
  <c r="N18" i="2"/>
  <c r="M18" i="2"/>
  <c r="U26" i="2"/>
  <c r="U14" i="2"/>
  <c r="N27" i="2"/>
  <c r="U24" i="2"/>
  <c r="N26" i="2"/>
</calcChain>
</file>

<file path=xl/sharedStrings.xml><?xml version="1.0" encoding="utf-8"?>
<sst xmlns="http://schemas.openxmlformats.org/spreadsheetml/2006/main" count="138" uniqueCount="56">
  <si>
    <t>B2-FeNi</t>
  </si>
  <si>
    <t>a0</t>
  </si>
  <si>
    <t>L12-Fe3Ni</t>
  </si>
  <si>
    <t>D03-Fe3Ni</t>
  </si>
  <si>
    <t>B2-FeAl</t>
  </si>
  <si>
    <t>L12-Fe3Al</t>
  </si>
  <si>
    <t>D03-Fe3Al</t>
  </si>
  <si>
    <t>Ef/at</t>
  </si>
  <si>
    <t>FeNiAl testing</t>
  </si>
  <si>
    <t>E</t>
  </si>
  <si>
    <t>E/at</t>
  </si>
  <si>
    <t>V</t>
  </si>
  <si>
    <t>Lx</t>
  </si>
  <si>
    <t>bcc Fe</t>
  </si>
  <si>
    <t>fcc Ni</t>
  </si>
  <si>
    <t>fcc Al</t>
  </si>
  <si>
    <t>bccFe</t>
  </si>
  <si>
    <t>fccAl</t>
  </si>
  <si>
    <t>fccNi</t>
  </si>
  <si>
    <t>B2 FeNi</t>
  </si>
  <si>
    <t>L12 Fe3Ni</t>
  </si>
  <si>
    <t>D03 Fe3Ni</t>
  </si>
  <si>
    <t>fraction error</t>
  </si>
  <si>
    <t>abs error</t>
  </si>
  <si>
    <t>B2 FeAl</t>
  </si>
  <si>
    <t>L12 Fe3Al</t>
  </si>
  <si>
    <t>D03 Fe3Al</t>
  </si>
  <si>
    <t>FeNiAl Layer</t>
  </si>
  <si>
    <t>LAMMPS</t>
  </si>
  <si>
    <t>potentials from feniK and fealK</t>
  </si>
  <si>
    <t>liquid feni</t>
  </si>
  <si>
    <t>liquid feal</t>
  </si>
  <si>
    <t>D03-FeNi3</t>
  </si>
  <si>
    <t>L12-FeNi3</t>
  </si>
  <si>
    <t>L12-FeAl3</t>
  </si>
  <si>
    <t>D03-FeAl3</t>
  </si>
  <si>
    <t>feni liq</t>
  </si>
  <si>
    <t>feal liq</t>
  </si>
  <si>
    <t>bccfe</t>
  </si>
  <si>
    <t>100 K</t>
  </si>
  <si>
    <t>running feniO again</t>
  </si>
  <si>
    <t>P</t>
  </si>
  <si>
    <t>Ly</t>
  </si>
  <si>
    <t>Lz</t>
  </si>
  <si>
    <t>ISO</t>
  </si>
  <si>
    <t>ANSIO</t>
  </si>
  <si>
    <t>fccni</t>
  </si>
  <si>
    <t>fccal</t>
  </si>
  <si>
    <t>FeNi</t>
  </si>
  <si>
    <t>FeAl</t>
  </si>
  <si>
    <t>L12 FeNi3</t>
  </si>
  <si>
    <t>D03 FeNi3</t>
  </si>
  <si>
    <t>L12 FeAl3</t>
  </si>
  <si>
    <t>D03 FeAl3</t>
  </si>
  <si>
    <t>10-&gt;1 K</t>
  </si>
  <si>
    <t>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</si>
</sst>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VASP!$B$21:$B$24</c:f>
              <c:numCache>
                <c:formatCode>General</c:formatCode>
                <c:ptCount val="4"/>
                <c:pt idx="0">
                  <c:v>2.4</c:v>
                </c:pt>
                <c:pt idx="1">
                  <c:v>2.6</c:v>
                </c:pt>
                <c:pt idx="2">
                  <c:v>3</c:v>
                </c:pt>
                <c:pt idx="3">
                  <c:v>3.2</c:v>
                </c:pt>
              </c:numCache>
            </c:numRef>
          </c:xVal>
          <c:yVal>
            <c:numRef>
              <c:f>VASP!$D$21:$D$24</c:f>
              <c:numCache>
                <c:formatCode>0.000</c:formatCode>
                <c:ptCount val="4"/>
                <c:pt idx="0">
                  <c:v>2.5753748500000007</c:v>
                </c:pt>
                <c:pt idx="1">
                  <c:v>0.71445425000000062</c:v>
                </c:pt>
                <c:pt idx="2">
                  <c:v>0.20891825000000042</c:v>
                </c:pt>
                <c:pt idx="3">
                  <c:v>0.63403075000000042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B-324A-9923-B8D75DC0CD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VASP!$I$24:$I$27</c:f>
              <c:numCache>
                <c:formatCode>General</c:formatCode>
                <c:ptCount val="4"/>
                <c:pt idx="0">
                  <c:v>2.4</c:v>
                </c:pt>
                <c:pt idx="1">
                  <c:v>2.6</c:v>
                </c:pt>
                <c:pt idx="2">
                  <c:v>3</c:v>
                </c:pt>
                <c:pt idx="3">
                  <c:v>3.2</c:v>
                </c:pt>
              </c:numCache>
            </c:numRef>
          </c:xVal>
          <c:yVal>
            <c:numRef>
              <c:f>VASP!$K$24:$K$27</c:f>
              <c:numCache>
                <c:formatCode>0.000</c:formatCode>
                <c:ptCount val="4"/>
                <c:pt idx="0">
                  <c:v>2.7053391251193157</c:v>
                </c:pt>
                <c:pt idx="1">
                  <c:v>0.57583189490037823</c:v>
                </c:pt>
                <c:pt idx="2">
                  <c:v>0.32677033172574532</c:v>
                </c:pt>
                <c:pt idx="3">
                  <c:v>0.74701299995435511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B-324A-9923-B8D75DC0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22223"/>
        <c:axId val="1953723903"/>
      </c:scatterChart>
      <c:valAx>
        <c:axId val="19537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3903"/>
        <c:crosses val="autoZero"/>
        <c:crossBetween val="midCat"/>
      </c:valAx>
      <c:valAx>
        <c:axId val="195372390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VASP!$B$21:$B$24</c:f>
              <c:numCache>
                <c:formatCode>General</c:formatCode>
                <c:ptCount val="4"/>
                <c:pt idx="0">
                  <c:v>2.4</c:v>
                </c:pt>
                <c:pt idx="1">
                  <c:v>2.6</c:v>
                </c:pt>
                <c:pt idx="2">
                  <c:v>3</c:v>
                </c:pt>
                <c:pt idx="3">
                  <c:v>3.2</c:v>
                </c:pt>
              </c:numCache>
            </c:numRef>
          </c:xVal>
          <c:yVal>
            <c:numRef>
              <c:f>VASP!$D$27:$D$30</c:f>
              <c:numCache>
                <c:formatCode>0.000</c:formatCode>
                <c:ptCount val="4"/>
                <c:pt idx="0">
                  <c:v>2.5285308250000007</c:v>
                </c:pt>
                <c:pt idx="1">
                  <c:v>0.40345762500000037</c:v>
                </c:pt>
                <c:pt idx="2">
                  <c:v>-0.24735187499999989</c:v>
                </c:pt>
                <c:pt idx="3">
                  <c:v>9.4767625000000022E-2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5-5E47-A573-F650381ABB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VASP!$I$24:$I$27</c:f>
              <c:numCache>
                <c:formatCode>General</c:formatCode>
                <c:ptCount val="4"/>
                <c:pt idx="0">
                  <c:v>2.4</c:v>
                </c:pt>
                <c:pt idx="1">
                  <c:v>2.6</c:v>
                </c:pt>
                <c:pt idx="2">
                  <c:v>3</c:v>
                </c:pt>
                <c:pt idx="3">
                  <c:v>3.2</c:v>
                </c:pt>
              </c:numCache>
            </c:numRef>
          </c:xVal>
          <c:yVal>
            <c:numRef>
              <c:f>VASP!$R$24:$R$27</c:f>
              <c:numCache>
                <c:formatCode>0.000</c:formatCode>
                <c:ptCount val="4"/>
                <c:pt idx="0">
                  <c:v>2.5787931949307685</c:v>
                </c:pt>
                <c:pt idx="1">
                  <c:v>0.41008642996744871</c:v>
                </c:pt>
                <c:pt idx="2">
                  <c:v>-0.25538477915375446</c:v>
                </c:pt>
                <c:pt idx="3">
                  <c:v>-2.6340300333405064E-3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D5-5E47-A573-F650381A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22223"/>
        <c:axId val="1953723903"/>
      </c:scatterChart>
      <c:valAx>
        <c:axId val="19537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3903"/>
        <c:crosses val="autoZero"/>
        <c:crossBetween val="midCat"/>
      </c:valAx>
      <c:valAx>
        <c:axId val="195372390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29</xdr:row>
      <xdr:rowOff>196850</xdr:rowOff>
    </xdr:from>
    <xdr:to>
      <xdr:col>14</xdr:col>
      <xdr:colOff>577850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A0A45-0F7C-EB41-8C2D-9E2E1483B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787400</xdr:colOff>
      <xdr:row>30</xdr:row>
      <xdr:rowOff>50800</xdr:rowOff>
    </xdr:from>
    <xdr:to>
      <xdr:col>21</xdr:col>
      <xdr:colOff>406400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8A441-2429-6B43-9210-289F2888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736C-373F-3241-97CC-64F85E1DAEE3}">
  <dimension ref="B2:U39"/>
  <sheetViews>
    <sheetView tabSelected="1" zoomScaleNormal="100" workbookViewId="0">
      <selection activeCell="J4" sqref="J4:M5"/>
    </sheetView>
  </sheetViews>
  <sheetFormatPr baseColWidth="10" defaultRowHeight="16" x14ac:dyDescent="0.2"/>
  <sheetData>
    <row r="2" spans="2:21" x14ac:dyDescent="0.2">
      <c r="C2" t="s">
        <v>9</v>
      </c>
      <c r="D2" t="s">
        <v>10</v>
      </c>
    </row>
    <row r="3" spans="2:21" x14ac:dyDescent="0.2">
      <c r="B3" t="s">
        <v>16</v>
      </c>
      <c r="C3" s="2">
        <v>-16.497081000000001</v>
      </c>
      <c r="D3" s="1">
        <f>C3/2</f>
        <v>-8.2485405000000007</v>
      </c>
      <c r="I3" t="s">
        <v>8</v>
      </c>
      <c r="N3" t="s">
        <v>29</v>
      </c>
    </row>
    <row r="4" spans="2:21" x14ac:dyDescent="0.2">
      <c r="B4" t="s">
        <v>18</v>
      </c>
      <c r="C4" s="2">
        <v>-21.95054</v>
      </c>
      <c r="D4" s="1">
        <f>C4/4</f>
        <v>-5.487635</v>
      </c>
      <c r="J4" t="s">
        <v>9</v>
      </c>
      <c r="K4" t="s">
        <v>10</v>
      </c>
      <c r="L4" t="s">
        <v>11</v>
      </c>
    </row>
    <row r="5" spans="2:21" x14ac:dyDescent="0.2">
      <c r="B5" t="s">
        <v>17</v>
      </c>
      <c r="C5" s="2">
        <v>-14.842150999999999</v>
      </c>
      <c r="D5" s="1">
        <f>C5/4</f>
        <v>-3.7105377499999999</v>
      </c>
      <c r="I5" t="s">
        <v>13</v>
      </c>
      <c r="J5">
        <v>-222.60902999999999</v>
      </c>
      <c r="K5" s="6">
        <f>J5/54</f>
        <v>-4.122389444444444</v>
      </c>
      <c r="L5">
        <v>629.06987000000004</v>
      </c>
      <c r="M5">
        <f>(L5^(1/3))/3</f>
        <v>2.856132647311993</v>
      </c>
      <c r="O5" t="s">
        <v>40</v>
      </c>
    </row>
    <row r="6" spans="2:21" x14ac:dyDescent="0.2">
      <c r="I6" t="s">
        <v>14</v>
      </c>
      <c r="J6">
        <v>-480.6</v>
      </c>
      <c r="K6" s="6">
        <f>J6/108</f>
        <v>-4.45</v>
      </c>
      <c r="L6">
        <v>1177.5836999999999</v>
      </c>
      <c r="M6">
        <f t="shared" ref="M6:M7" si="0">(L6^(1/3))/3</f>
        <v>3.5200000836968148</v>
      </c>
    </row>
    <row r="7" spans="2:21" x14ac:dyDescent="0.2">
      <c r="C7" t="s">
        <v>9</v>
      </c>
      <c r="D7" t="s">
        <v>10</v>
      </c>
      <c r="E7" t="s">
        <v>11</v>
      </c>
      <c r="F7" t="s">
        <v>1</v>
      </c>
      <c r="G7" t="s">
        <v>7</v>
      </c>
      <c r="I7" t="s">
        <v>15</v>
      </c>
      <c r="J7">
        <v>-362.88</v>
      </c>
      <c r="K7" s="6">
        <f>J7/108</f>
        <v>-3.36</v>
      </c>
      <c r="L7">
        <v>1793.6134</v>
      </c>
      <c r="M7">
        <f t="shared" si="0"/>
        <v>4.050000018816764</v>
      </c>
    </row>
    <row r="8" spans="2:21" x14ac:dyDescent="0.2">
      <c r="B8" t="s">
        <v>0</v>
      </c>
      <c r="C8" s="2">
        <v>-13.569121000000001</v>
      </c>
      <c r="D8" s="2">
        <f>C8/2</f>
        <v>-6.7845605000000004</v>
      </c>
      <c r="E8">
        <v>23.2</v>
      </c>
      <c r="F8" s="7">
        <f t="shared" ref="F8:F17" si="1">E8^(1/3)</f>
        <v>2.8520862942848173</v>
      </c>
      <c r="G8" s="7">
        <f>(C8-D$3-D$4)/2</f>
        <v>8.3527249999999942E-2</v>
      </c>
    </row>
    <row r="9" spans="2:21" x14ac:dyDescent="0.2">
      <c r="B9" t="s">
        <v>2</v>
      </c>
      <c r="C9" s="2">
        <v>-29.782983999999999</v>
      </c>
      <c r="D9" s="2">
        <f>C9/4</f>
        <v>-7.4457459999999998</v>
      </c>
      <c r="E9">
        <v>43.61</v>
      </c>
      <c r="F9" s="7">
        <f t="shared" si="1"/>
        <v>3.5198867904361495</v>
      </c>
      <c r="G9" s="7">
        <f>(C9-3*D$3-D$4)/4</f>
        <v>0.1125681250000008</v>
      </c>
      <c r="M9" t="s">
        <v>22</v>
      </c>
      <c r="N9" t="s">
        <v>23</v>
      </c>
      <c r="U9" t="s">
        <v>23</v>
      </c>
    </row>
    <row r="10" spans="2:21" x14ac:dyDescent="0.2">
      <c r="B10" t="s">
        <v>3</v>
      </c>
      <c r="C10" s="2">
        <v>-120.37047</v>
      </c>
      <c r="D10" s="2">
        <f>C10/16</f>
        <v>-7.5231543749999998</v>
      </c>
      <c r="E10">
        <v>186.89</v>
      </c>
      <c r="F10" s="7">
        <f t="shared" si="1"/>
        <v>5.7173575745376199</v>
      </c>
      <c r="G10" s="7">
        <f>(C10-12*D$3-4*D$4)/16</f>
        <v>3.5159750000000711E-2</v>
      </c>
      <c r="I10" t="s">
        <v>19</v>
      </c>
      <c r="J10">
        <v>-526.25320882687902</v>
      </c>
      <c r="K10" s="1">
        <f>(J10-64*K$5-64*K$6)/128</f>
        <v>0.17484152826222976</v>
      </c>
      <c r="L10" t="s">
        <v>7</v>
      </c>
      <c r="M10">
        <f>ABS(K10-G8)/G8</f>
        <v>1.0932273989893104</v>
      </c>
      <c r="N10">
        <f>ABS(K10-G8)</f>
        <v>9.131427826222982E-2</v>
      </c>
      <c r="P10" t="s">
        <v>24</v>
      </c>
      <c r="Q10">
        <v>-518.96872422085005</v>
      </c>
      <c r="R10" s="1">
        <f>(Q10-64*K$5-64*K$7)/128</f>
        <v>-0.31324843575316907</v>
      </c>
      <c r="S10" t="s">
        <v>7</v>
      </c>
      <c r="U10">
        <f>ABS(R10-G13)</f>
        <v>2.8673939246830482E-2</v>
      </c>
    </row>
    <row r="11" spans="2:21" x14ac:dyDescent="0.2">
      <c r="B11" t="s">
        <v>33</v>
      </c>
      <c r="C11" s="2">
        <v>-24.841161</v>
      </c>
      <c r="D11" s="2">
        <f>C11/4</f>
        <v>-6.2102902499999999</v>
      </c>
      <c r="E11">
        <v>42.89</v>
      </c>
      <c r="F11" s="1">
        <f t="shared" si="1"/>
        <v>3.5004081156753402</v>
      </c>
      <c r="G11" s="1">
        <f>(C11-D$3-3*D$4)/4</f>
        <v>-3.2428874999999913E-2</v>
      </c>
      <c r="J11">
        <v>1434.25802591772</v>
      </c>
      <c r="K11" s="1">
        <f>(J11^(1/3))/4</f>
        <v>2.8193507238420463</v>
      </c>
      <c r="L11" t="s">
        <v>1</v>
      </c>
      <c r="M11">
        <f>ABS(K11-F8)/F8</f>
        <v>1.1477762965436386E-2</v>
      </c>
      <c r="N11">
        <f>ABS(K11-F8)</f>
        <v>3.2735570442770978E-2</v>
      </c>
      <c r="Q11">
        <v>1574.11467196587</v>
      </c>
      <c r="R11" s="1">
        <f>(Q11^(1/3))/4</f>
        <v>2.9081633545125967</v>
      </c>
      <c r="S11" t="s">
        <v>1</v>
      </c>
      <c r="U11">
        <f>ABS(R11-F13)</f>
        <v>3.1699072065764611E-2</v>
      </c>
    </row>
    <row r="12" spans="2:21" x14ac:dyDescent="0.2">
      <c r="B12" t="s">
        <v>32</v>
      </c>
      <c r="C12" s="2">
        <v>-98.397644999999997</v>
      </c>
      <c r="D12" s="2">
        <f>C12/16</f>
        <v>-6.1498528124999998</v>
      </c>
      <c r="E12">
        <v>179.2</v>
      </c>
      <c r="F12" s="1">
        <f t="shared" si="1"/>
        <v>5.6378389856519133</v>
      </c>
      <c r="G12" s="1">
        <f>(C12-4*D$3-12*D$4)/16</f>
        <v>2.8008562500000167E-2</v>
      </c>
      <c r="I12" t="s">
        <v>20</v>
      </c>
      <c r="J12">
        <v>-414.39745614344201</v>
      </c>
      <c r="K12" s="1">
        <f>(J12-81*K$5-27*K$6)/108</f>
        <v>0.36727860052368455</v>
      </c>
      <c r="L12" t="s">
        <v>7</v>
      </c>
      <c r="M12">
        <f>ABS(K12-G9)/G9</f>
        <v>2.2627229113364193</v>
      </c>
      <c r="N12">
        <f>ABS(K12-G9)</f>
        <v>0.25471047552368375</v>
      </c>
      <c r="P12" t="s">
        <v>25</v>
      </c>
      <c r="Q12">
        <v>-437.01047149370697</v>
      </c>
      <c r="R12" s="1">
        <f>(Q12-81*K$5-27*K$7)/108</f>
        <v>-0.11460117123802807</v>
      </c>
      <c r="S12" t="s">
        <v>7</v>
      </c>
      <c r="U12">
        <f>ABS(R12-G14)</f>
        <v>8.9793266261971566E-2</v>
      </c>
    </row>
    <row r="13" spans="2:21" x14ac:dyDescent="0.2">
      <c r="B13" t="s">
        <v>4</v>
      </c>
      <c r="C13" s="2">
        <v>-12.642923</v>
      </c>
      <c r="D13" s="2">
        <f>C13/2</f>
        <v>-6.3214614999999998</v>
      </c>
      <c r="E13">
        <v>23.8</v>
      </c>
      <c r="F13" s="7">
        <f t="shared" si="1"/>
        <v>2.8764642824468321</v>
      </c>
      <c r="G13" s="7">
        <f>(C13-D$3-D$5)/2</f>
        <v>-0.34192237499999956</v>
      </c>
      <c r="J13">
        <v>1252.73751918884</v>
      </c>
      <c r="K13" s="1">
        <f>(J13^(1/3))/3</f>
        <v>3.5933438194340077</v>
      </c>
      <c r="L13" t="s">
        <v>1</v>
      </c>
      <c r="M13">
        <f>ABS(K13-F9)/F9</f>
        <v>2.0869145336562415E-2</v>
      </c>
      <c r="N13">
        <f>ABS(K13-F9)</f>
        <v>7.345702899785822E-2</v>
      </c>
      <c r="Q13">
        <v>1245.4946754837599</v>
      </c>
      <c r="R13" s="1">
        <f>(Q13^(1/3))/3</f>
        <v>3.5864053223512418</v>
      </c>
      <c r="S13" t="s">
        <v>1</v>
      </c>
      <c r="U13">
        <f>ABS(R13-F14)</f>
        <v>6.4417035671091138E-2</v>
      </c>
    </row>
    <row r="14" spans="2:21" x14ac:dyDescent="0.2">
      <c r="B14" t="s">
        <v>5</v>
      </c>
      <c r="C14" s="2">
        <v>-29.273737000000001</v>
      </c>
      <c r="D14" s="2">
        <f>C14/4</f>
        <v>-7.3184342500000001</v>
      </c>
      <c r="E14">
        <v>48.66</v>
      </c>
      <c r="F14" s="7">
        <f t="shared" si="1"/>
        <v>3.6508223580223329</v>
      </c>
      <c r="G14" s="7">
        <f>(C14-3*D$3-D$5)/4</f>
        <v>-0.20439443749999964</v>
      </c>
      <c r="I14" t="s">
        <v>21</v>
      </c>
      <c r="J14">
        <v>-540.425492401425</v>
      </c>
      <c r="K14" s="1">
        <f>(J14-96*K$5-32*K$6)/128</f>
        <v>-1.77820760527998E-2</v>
      </c>
      <c r="L14" t="s">
        <v>7</v>
      </c>
      <c r="M14">
        <f>ABS(K14-G10)/G10</f>
        <v>1.5057509240765206</v>
      </c>
      <c r="N14">
        <f>ABS(K14-G10)</f>
        <v>5.2941826052800511E-2</v>
      </c>
      <c r="P14" t="s">
        <v>26</v>
      </c>
      <c r="Q14">
        <v>-532.22231661059004</v>
      </c>
      <c r="R14" s="1">
        <f>(Q14-96*K$5-32*K$7)/128</f>
        <v>-0.22619476518690174</v>
      </c>
      <c r="S14" t="s">
        <v>7</v>
      </c>
      <c r="U14">
        <f>ABS(R14-G15)</f>
        <v>2.255207768690215E-2</v>
      </c>
    </row>
    <row r="15" spans="2:21" x14ac:dyDescent="0.2">
      <c r="B15" t="s">
        <v>6</v>
      </c>
      <c r="C15" s="2">
        <v>-117.08292</v>
      </c>
      <c r="D15" s="2">
        <f>C15/16</f>
        <v>-7.3176825000000001</v>
      </c>
      <c r="E15">
        <v>188.51</v>
      </c>
      <c r="F15" s="7">
        <f t="shared" si="1"/>
        <v>5.7338298049732161</v>
      </c>
      <c r="G15" s="7">
        <f>(C15-12*D$3-4*D$5)/16</f>
        <v>-0.20364268749999959</v>
      </c>
      <c r="J15">
        <v>1351.8175396891199</v>
      </c>
      <c r="K15" s="1">
        <f>(J15^(1/3))/2</f>
        <v>5.5285260889858163</v>
      </c>
      <c r="L15" t="s">
        <v>1</v>
      </c>
      <c r="M15">
        <f>ABS(K15-F10)/F10</f>
        <v>3.3027755058170384E-2</v>
      </c>
      <c r="N15">
        <f>ABS(K15-F10)</f>
        <v>0.18883148555180362</v>
      </c>
      <c r="Q15">
        <v>1466.6170251179201</v>
      </c>
      <c r="R15" s="1">
        <f>(Q15^(1/3))/2</f>
        <v>5.6807923097506885</v>
      </c>
      <c r="S15" t="s">
        <v>1</v>
      </c>
      <c r="U15">
        <f>ABS(R15-F15)</f>
        <v>5.3037495222527653E-2</v>
      </c>
    </row>
    <row r="16" spans="2:21" x14ac:dyDescent="0.2">
      <c r="B16" t="s">
        <v>34</v>
      </c>
      <c r="C16" s="2">
        <v>-19.916687</v>
      </c>
      <c r="D16" s="2">
        <f>C16/4</f>
        <v>-4.9791717499999999</v>
      </c>
      <c r="E16">
        <v>54.69</v>
      </c>
      <c r="F16" s="1">
        <f t="shared" si="1"/>
        <v>3.7957940537531725</v>
      </c>
      <c r="G16" s="1">
        <f>(C16-D$3-3*D$5)/4</f>
        <v>-0.13413331249999993</v>
      </c>
      <c r="I16" t="s">
        <v>33</v>
      </c>
      <c r="J16">
        <v>-467.28590331942303</v>
      </c>
      <c r="K16" s="1">
        <f>(J16-81*K$6-27*K$5)/108</f>
        <v>4.1376034079416125E-2</v>
      </c>
      <c r="L16" t="s">
        <v>7</v>
      </c>
      <c r="M16">
        <f>ABS(K16-G11)/G11</f>
        <v>-2.2759010011730667</v>
      </c>
      <c r="N16">
        <f>ABS(K16-G11)</f>
        <v>7.3804909079416031E-2</v>
      </c>
      <c r="P16" t="s">
        <v>34</v>
      </c>
      <c r="Q16">
        <v>-388.887529631966</v>
      </c>
      <c r="R16" s="1">
        <f>(Q16-27*K$5-81*K$7)/108</f>
        <v>-5.021309844413014E-2</v>
      </c>
      <c r="S16" t="s">
        <v>7</v>
      </c>
      <c r="U16">
        <f>ABS(R16-G16)</f>
        <v>8.3920214055869802E-2</v>
      </c>
    </row>
    <row r="17" spans="2:21" x14ac:dyDescent="0.2">
      <c r="B17" t="s">
        <v>35</v>
      </c>
      <c r="C17" s="2">
        <v>-78.097783000000007</v>
      </c>
      <c r="D17" s="2">
        <f>C17/16</f>
        <v>-4.8811114375000004</v>
      </c>
      <c r="E17">
        <v>213.69</v>
      </c>
      <c r="F17" s="1">
        <f t="shared" si="1"/>
        <v>5.9785344074144984</v>
      </c>
      <c r="G17" s="1">
        <f>(C17-4*D$3-12*D$5)/16</f>
        <v>-3.6073000000000466E-2</v>
      </c>
      <c r="J17">
        <v>1053.2684558021001</v>
      </c>
      <c r="K17" s="1">
        <f>(J17^(1/3))/3</f>
        <v>3.3914996079501782</v>
      </c>
      <c r="L17" t="s">
        <v>1</v>
      </c>
      <c r="M17">
        <f>ABS(K17-F11)/F11</f>
        <v>3.1113088567431231E-2</v>
      </c>
      <c r="N17">
        <f>ABS(K17-F11)</f>
        <v>0.10890850772516192</v>
      </c>
      <c r="Q17">
        <v>1601.6130000000001</v>
      </c>
      <c r="R17" s="1">
        <f>(Q17^(1/3))/3</f>
        <v>3.9</v>
      </c>
      <c r="S17" t="s">
        <v>1</v>
      </c>
      <c r="U17">
        <f>ABS(R17-F16)</f>
        <v>0.10420594624682744</v>
      </c>
    </row>
    <row r="18" spans="2:21" x14ac:dyDescent="0.2">
      <c r="I18" t="s">
        <v>32</v>
      </c>
      <c r="J18">
        <v>-551.26710414698402</v>
      </c>
      <c r="K18" s="1">
        <f>(J18-96*K$6-32*K$5)/128</f>
        <v>6.1323109962798661E-2</v>
      </c>
      <c r="L18" t="s">
        <v>7</v>
      </c>
      <c r="M18">
        <f>ABS(K18-G12)/G12</f>
        <v>1.1894415310603068</v>
      </c>
      <c r="N18">
        <f>ABS(K18-G12)</f>
        <v>3.3314547462798494E-2</v>
      </c>
      <c r="P18" t="s">
        <v>35</v>
      </c>
      <c r="Q18">
        <v>-466.68490865285497</v>
      </c>
      <c r="R18" s="1">
        <f>(Q18-32*K$5-96*K$7)/128</f>
        <v>-9.5378487739318452E-2</v>
      </c>
      <c r="S18" t="s">
        <v>7</v>
      </c>
      <c r="U18">
        <f>ABS(R18-G17)</f>
        <v>5.9305487739317986E-2</v>
      </c>
    </row>
    <row r="19" spans="2:21" x14ac:dyDescent="0.2">
      <c r="B19" t="s">
        <v>19</v>
      </c>
      <c r="D19" t="s">
        <v>7</v>
      </c>
      <c r="J19">
        <v>1366.22606217869</v>
      </c>
      <c r="K19" s="1">
        <f>(J19^(1/3))/2</f>
        <v>5.5480988837709342</v>
      </c>
      <c r="L19" t="s">
        <v>1</v>
      </c>
      <c r="M19">
        <f>ABS(K19-F12)/F12</f>
        <v>1.5917464494705207E-2</v>
      </c>
      <c r="N19">
        <f>ABS(K19-F12)</f>
        <v>8.974010188097914E-2</v>
      </c>
      <c r="Q19">
        <v>1833.5532921475201</v>
      </c>
      <c r="R19" s="1">
        <f>(Q19^(1/3))/2</f>
        <v>6.1197617767784998</v>
      </c>
      <c r="S19" t="s">
        <v>1</v>
      </c>
      <c r="U19">
        <f>ABS(R19-F17)</f>
        <v>0.14122736936400138</v>
      </c>
    </row>
    <row r="20" spans="2:21" x14ac:dyDescent="0.2">
      <c r="B20" s="3">
        <v>2.2000000000000002</v>
      </c>
      <c r="C20" s="4">
        <v>1.2433955999999999</v>
      </c>
      <c r="D20" s="5">
        <f>(C20-D$3-D$4)/2</f>
        <v>7.4897855500000006</v>
      </c>
      <c r="I20" t="s">
        <v>36</v>
      </c>
      <c r="J20">
        <v>-197.29561650236499</v>
      </c>
      <c r="K20" s="1">
        <f>(J20-27*K5-27*K6)/54</f>
        <v>0.63257219440064805</v>
      </c>
      <c r="M20">
        <f>ABS(K20-D36)/D36</f>
        <v>0.65715114318678569</v>
      </c>
      <c r="N20">
        <f>ABS(K20-D36)</f>
        <v>1.2124746296734261</v>
      </c>
      <c r="P20" t="s">
        <v>37</v>
      </c>
      <c r="Q20">
        <v>-187.78169833857899</v>
      </c>
      <c r="R20" s="1">
        <f>(Q20-27*K5-27*K7)/54</f>
        <v>0.2637558641003887</v>
      </c>
      <c r="U20">
        <f>ABS(R20-D39)</f>
        <v>0.2449290016403522</v>
      </c>
    </row>
    <row r="21" spans="2:21" x14ac:dyDescent="0.2">
      <c r="B21">
        <v>2.4</v>
      </c>
      <c r="C21" s="2">
        <v>-8.5854257999999994</v>
      </c>
      <c r="D21" s="1">
        <f>(C21-D$3-D$4)/2</f>
        <v>2.5753748500000007</v>
      </c>
    </row>
    <row r="22" spans="2:21" x14ac:dyDescent="0.2">
      <c r="B22">
        <v>2.6</v>
      </c>
      <c r="C22" s="2">
        <v>-12.307267</v>
      </c>
      <c r="D22" s="1">
        <f t="shared" ref="D22:D24" si="2">(C22-D$3-D$4)/2</f>
        <v>0.71445425000000062</v>
      </c>
      <c r="I22" t="s">
        <v>19</v>
      </c>
      <c r="P22" t="s">
        <v>24</v>
      </c>
    </row>
    <row r="23" spans="2:21" x14ac:dyDescent="0.2">
      <c r="B23">
        <v>3</v>
      </c>
      <c r="C23" s="2">
        <v>-13.318339</v>
      </c>
      <c r="D23" s="1">
        <f t="shared" si="2"/>
        <v>0.20891825000000042</v>
      </c>
      <c r="I23" s="3">
        <v>2.2000000000000002</v>
      </c>
      <c r="J23" s="3">
        <v>1319.4628536518001</v>
      </c>
      <c r="K23" s="5">
        <f>(J23-64*K$5-64*K$6)/128</f>
        <v>14.59449826637691</v>
      </c>
      <c r="L23" s="3"/>
      <c r="M23" s="3"/>
      <c r="N23" s="3">
        <f>ABS(K23-D20)</f>
        <v>7.104712716376909</v>
      </c>
    </row>
    <row r="24" spans="2:21" x14ac:dyDescent="0.2">
      <c r="B24">
        <v>3.2</v>
      </c>
      <c r="C24" s="2">
        <v>-12.468114</v>
      </c>
      <c r="D24" s="1">
        <f t="shared" si="2"/>
        <v>0.63403075000000042</v>
      </c>
      <c r="I24">
        <v>2.4</v>
      </c>
      <c r="J24">
        <v>-202.34951642917201</v>
      </c>
      <c r="K24" s="1">
        <f>(J24-64*K$5-64*K$6)/128</f>
        <v>2.7053391251193157</v>
      </c>
      <c r="N24">
        <f>ABS(K24-D21)</f>
        <v>0.12996427511931508</v>
      </c>
      <c r="P24">
        <v>2.4</v>
      </c>
      <c r="Q24">
        <v>-148.78739549330601</v>
      </c>
      <c r="R24" s="1">
        <f>(Q24-64*K$5-64*K$7)/128</f>
        <v>2.5787931949307685</v>
      </c>
      <c r="U24">
        <f>ABS(R24-D27)</f>
        <v>5.0262369930767825E-2</v>
      </c>
    </row>
    <row r="25" spans="2:21" x14ac:dyDescent="0.2">
      <c r="I25">
        <v>2.6</v>
      </c>
      <c r="J25">
        <v>-474.92644189719601</v>
      </c>
      <c r="K25" s="1">
        <f t="shared" ref="K25:K27" si="3">(J25-64*K$5-64*K$6)/128</f>
        <v>0.57583189490037823</v>
      </c>
      <c r="N25">
        <f>ABS(K25-D22)</f>
        <v>0.1386223550996224</v>
      </c>
      <c r="P25">
        <v>2.6</v>
      </c>
      <c r="Q25">
        <v>-426.38186140861097</v>
      </c>
      <c r="R25" s="1">
        <f t="shared" ref="R25:R27" si="4">(Q25-64*K$5-64*K$7)/128</f>
        <v>0.41008642996744871</v>
      </c>
      <c r="U25">
        <f>ABS(R25-D28)</f>
        <v>6.6288049674483318E-3</v>
      </c>
    </row>
    <row r="26" spans="2:21" x14ac:dyDescent="0.2">
      <c r="B26" t="s">
        <v>19</v>
      </c>
      <c r="D26" t="s">
        <v>7</v>
      </c>
      <c r="I26">
        <v>3</v>
      </c>
      <c r="J26">
        <v>-506.80632198354903</v>
      </c>
      <c r="K26" s="1">
        <f t="shared" si="3"/>
        <v>0.32677033172574532</v>
      </c>
      <c r="N26">
        <f>ABS(K26-D23)</f>
        <v>0.11785208172574491</v>
      </c>
      <c r="P26">
        <v>3</v>
      </c>
      <c r="Q26">
        <v>-511.56217617612498</v>
      </c>
      <c r="R26" s="1">
        <f t="shared" si="4"/>
        <v>-0.25538477915375446</v>
      </c>
      <c r="U26">
        <f>ABS(R26-D29)</f>
        <v>8.032904153754572E-3</v>
      </c>
    </row>
    <row r="27" spans="2:21" x14ac:dyDescent="0.2">
      <c r="B27">
        <v>2.4</v>
      </c>
      <c r="C27" s="2">
        <v>-6.9020165999999996</v>
      </c>
      <c r="D27" s="1">
        <f>(C27-D$3-D$5)/2</f>
        <v>2.5285308250000007</v>
      </c>
      <c r="I27">
        <v>3.2</v>
      </c>
      <c r="J27">
        <v>-453.01526045028697</v>
      </c>
      <c r="K27" s="1">
        <f t="shared" si="3"/>
        <v>0.74701299995435511</v>
      </c>
      <c r="N27">
        <f>ABS(K27-D24)</f>
        <v>0.11298224995435469</v>
      </c>
      <c r="P27">
        <v>3.2</v>
      </c>
      <c r="Q27">
        <v>-479.21008028871199</v>
      </c>
      <c r="R27" s="1">
        <f t="shared" si="4"/>
        <v>-2.6340300333405064E-3</v>
      </c>
      <c r="U27">
        <f>ABS(R27-D30)</f>
        <v>9.7401655033340528E-2</v>
      </c>
    </row>
    <row r="28" spans="2:21" x14ac:dyDescent="0.2">
      <c r="B28">
        <v>2.6</v>
      </c>
      <c r="C28" s="2">
        <v>-11.152163</v>
      </c>
      <c r="D28" s="1">
        <f t="shared" ref="D28:D30" si="5">(C28-D$3-D$5)/2</f>
        <v>0.40345762500000037</v>
      </c>
    </row>
    <row r="29" spans="2:21" x14ac:dyDescent="0.2">
      <c r="B29">
        <v>3</v>
      </c>
      <c r="C29" s="2">
        <v>-12.453782</v>
      </c>
      <c r="D29" s="1">
        <f t="shared" si="5"/>
        <v>-0.24735187499999989</v>
      </c>
      <c r="K29" s="1"/>
    </row>
    <row r="30" spans="2:21" x14ac:dyDescent="0.2">
      <c r="B30">
        <v>3.2</v>
      </c>
      <c r="C30" s="2">
        <v>-11.769543000000001</v>
      </c>
      <c r="D30" s="1">
        <f t="shared" si="5"/>
        <v>9.4767625000000022E-2</v>
      </c>
    </row>
    <row r="32" spans="2:21" x14ac:dyDescent="0.2">
      <c r="B32" t="s">
        <v>27</v>
      </c>
      <c r="C32" t="s">
        <v>9</v>
      </c>
      <c r="D32" t="s">
        <v>7</v>
      </c>
      <c r="F32" t="s">
        <v>28</v>
      </c>
    </row>
    <row r="33" spans="2:7" x14ac:dyDescent="0.2">
      <c r="C33" s="2">
        <v>-329.61291</v>
      </c>
      <c r="D33">
        <f>(C33-18*D3-18*D4-18*D5)/54</f>
        <v>-0.28837169444444433</v>
      </c>
      <c r="F33">
        <v>-1823.5788863038799</v>
      </c>
      <c r="G33">
        <f>(F33-144*K5-144*K6-144*K7)/432</f>
        <v>-0.24378427385157422</v>
      </c>
    </row>
    <row r="35" spans="2:7" x14ac:dyDescent="0.2">
      <c r="B35" t="s">
        <v>30</v>
      </c>
      <c r="C35" t="s">
        <v>9</v>
      </c>
      <c r="D35" t="s">
        <v>7</v>
      </c>
    </row>
    <row r="36" spans="2:7" x14ac:dyDescent="0.2">
      <c r="C36" s="2">
        <v>-271.24421000000001</v>
      </c>
      <c r="D36" s="1">
        <f>(C36-27*D3-27*D4)/54</f>
        <v>1.8450468240740743</v>
      </c>
    </row>
    <row r="38" spans="2:7" x14ac:dyDescent="0.2">
      <c r="B38" t="s">
        <v>31</v>
      </c>
      <c r="C38" t="s">
        <v>9</v>
      </c>
      <c r="D38" t="s">
        <v>7</v>
      </c>
    </row>
    <row r="39" spans="2:7" x14ac:dyDescent="0.2">
      <c r="C39" s="2">
        <v>-295.42613</v>
      </c>
      <c r="D39" s="1">
        <f>(C39-27*D3-27*D5)/54</f>
        <v>0.5086848657407409</v>
      </c>
      <c r="F3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FC20-C67B-5347-85D8-3691B7232B5F}">
  <dimension ref="B1:V29"/>
  <sheetViews>
    <sheetView topLeftCell="A3" workbookViewId="0">
      <selection activeCell="J31" sqref="J31"/>
    </sheetView>
  </sheetViews>
  <sheetFormatPr baseColWidth="10" defaultRowHeight="16" x14ac:dyDescent="0.2"/>
  <sheetData>
    <row r="1" spans="2:22" x14ac:dyDescent="0.2">
      <c r="B1" t="s">
        <v>44</v>
      </c>
      <c r="N1" t="s">
        <v>45</v>
      </c>
    </row>
    <row r="2" spans="2:22" x14ac:dyDescent="0.2">
      <c r="B2" t="s">
        <v>39</v>
      </c>
      <c r="C2" t="s">
        <v>9</v>
      </c>
      <c r="D2" t="s">
        <v>11</v>
      </c>
      <c r="E2" t="s">
        <v>41</v>
      </c>
      <c r="F2" t="s">
        <v>12</v>
      </c>
      <c r="G2" t="s">
        <v>42</v>
      </c>
      <c r="H2" t="s">
        <v>43</v>
      </c>
      <c r="I2" t="s">
        <v>10</v>
      </c>
      <c r="J2" t="s">
        <v>1</v>
      </c>
      <c r="N2" t="s">
        <v>39</v>
      </c>
      <c r="O2" t="s">
        <v>9</v>
      </c>
      <c r="P2" t="s">
        <v>11</v>
      </c>
      <c r="Q2" t="s">
        <v>41</v>
      </c>
      <c r="R2" t="s">
        <v>12</v>
      </c>
      <c r="S2" t="s">
        <v>42</v>
      </c>
      <c r="T2" t="s">
        <v>43</v>
      </c>
      <c r="U2" t="s">
        <v>10</v>
      </c>
      <c r="V2" t="s">
        <v>1</v>
      </c>
    </row>
    <row r="3" spans="2:22" x14ac:dyDescent="0.2">
      <c r="B3" t="s">
        <v>38</v>
      </c>
      <c r="C3">
        <v>-1028.19</v>
      </c>
      <c r="D3">
        <v>2906.05</v>
      </c>
      <c r="E3">
        <v>-14.529199999999999</v>
      </c>
      <c r="F3">
        <v>14.270300000000001</v>
      </c>
      <c r="G3">
        <v>14.270300000000001</v>
      </c>
      <c r="H3">
        <v>14.270300000000001</v>
      </c>
      <c r="I3">
        <f>C3/250</f>
        <v>-4.1127600000000006</v>
      </c>
      <c r="J3">
        <f>AVERAGE(F3:H3)/5</f>
        <v>2.85406</v>
      </c>
      <c r="N3" t="s">
        <v>38</v>
      </c>
      <c r="O3">
        <v>-1019.31</v>
      </c>
      <c r="P3">
        <v>2927.78</v>
      </c>
      <c r="Q3">
        <v>210.483</v>
      </c>
      <c r="R3">
        <v>14.3042</v>
      </c>
      <c r="S3">
        <v>14.305999999999999</v>
      </c>
      <c r="T3">
        <v>14.306699999999999</v>
      </c>
      <c r="U3">
        <f>O3/250</f>
        <v>-4.0772399999999998</v>
      </c>
      <c r="V3">
        <f>AVERAGE(R3:T3)/5</f>
        <v>2.8611266666666664</v>
      </c>
    </row>
    <row r="4" spans="2:22" x14ac:dyDescent="0.2">
      <c r="B4" t="s">
        <v>46</v>
      </c>
      <c r="C4">
        <v>-1136.01</v>
      </c>
      <c r="D4">
        <v>2795.74</v>
      </c>
      <c r="E4">
        <v>-1.49329</v>
      </c>
      <c r="F4">
        <v>14.088800000000001</v>
      </c>
      <c r="G4">
        <v>14.0883</v>
      </c>
      <c r="H4">
        <v>14.0853</v>
      </c>
      <c r="I4">
        <f>C4/256</f>
        <v>-4.4375390625</v>
      </c>
      <c r="J4">
        <f t="shared" ref="J4:J5" si="0">AVERAGE(F4:H4)/4</f>
        <v>3.5218666666666665</v>
      </c>
      <c r="N4" t="s">
        <v>46</v>
      </c>
      <c r="O4">
        <v>-1134.52</v>
      </c>
      <c r="P4">
        <v>2798.91</v>
      </c>
      <c r="Q4">
        <v>60.695999999999998</v>
      </c>
      <c r="R4">
        <v>14.0913</v>
      </c>
      <c r="S4">
        <v>14.092000000000001</v>
      </c>
      <c r="T4">
        <v>14.0951</v>
      </c>
      <c r="U4">
        <f>O4/256</f>
        <v>-4.4317187499999999</v>
      </c>
      <c r="V4">
        <f t="shared" ref="V4:V5" si="1">AVERAGE(R4:T4)/4</f>
        <v>3.5232000000000006</v>
      </c>
    </row>
    <row r="5" spans="2:22" x14ac:dyDescent="0.2">
      <c r="B5" t="s">
        <v>47</v>
      </c>
      <c r="C5">
        <v>-857.01499999999999</v>
      </c>
      <c r="D5">
        <v>4262.97</v>
      </c>
      <c r="E5">
        <v>5.0531300000000003</v>
      </c>
      <c r="F5">
        <v>16.2163</v>
      </c>
      <c r="G5">
        <v>16.214700000000001</v>
      </c>
      <c r="H5">
        <v>16.212499999999999</v>
      </c>
      <c r="I5">
        <f>C5/256</f>
        <v>-3.3477148437499999</v>
      </c>
      <c r="J5">
        <f t="shared" si="0"/>
        <v>4.0536249999999994</v>
      </c>
      <c r="N5" t="s">
        <v>47</v>
      </c>
      <c r="O5">
        <v>-856.351</v>
      </c>
      <c r="P5">
        <v>4265.7700000000004</v>
      </c>
      <c r="Q5">
        <v>24.557700000000001</v>
      </c>
      <c r="R5">
        <v>16.220099999999999</v>
      </c>
      <c r="S5">
        <v>16.217500000000001</v>
      </c>
      <c r="T5">
        <v>16.216699999999999</v>
      </c>
      <c r="U5">
        <f>O5/256</f>
        <v>-3.34512109375</v>
      </c>
      <c r="V5">
        <f t="shared" si="1"/>
        <v>4.0545250000000008</v>
      </c>
    </row>
    <row r="7" spans="2:22" x14ac:dyDescent="0.2">
      <c r="B7" t="s">
        <v>48</v>
      </c>
      <c r="C7" t="s">
        <v>9</v>
      </c>
      <c r="D7" t="s">
        <v>11</v>
      </c>
      <c r="E7" t="s">
        <v>41</v>
      </c>
      <c r="F7" t="s">
        <v>12</v>
      </c>
      <c r="G7" t="s">
        <v>42</v>
      </c>
      <c r="H7" t="s">
        <v>43</v>
      </c>
      <c r="I7" t="s">
        <v>10</v>
      </c>
      <c r="J7" t="s">
        <v>1</v>
      </c>
      <c r="K7" t="s">
        <v>7</v>
      </c>
    </row>
    <row r="8" spans="2:22" x14ac:dyDescent="0.2">
      <c r="B8" t="s">
        <v>19</v>
      </c>
      <c r="C8">
        <v>-1074.3</v>
      </c>
      <c r="D8">
        <v>2702.9</v>
      </c>
      <c r="E8">
        <v>1.27576</v>
      </c>
      <c r="F8">
        <v>13.9297</v>
      </c>
      <c r="G8">
        <v>13.9297</v>
      </c>
      <c r="H8">
        <v>13.9297</v>
      </c>
      <c r="I8">
        <f>C8/250</f>
        <v>-4.2972000000000001</v>
      </c>
      <c r="J8">
        <f>AVERAGE(F8:H8)/5</f>
        <v>2.7859400000000005</v>
      </c>
      <c r="K8">
        <f>I8-0.5*I3-0.5*I4</f>
        <v>-2.205046874999983E-2</v>
      </c>
    </row>
    <row r="9" spans="2:22" x14ac:dyDescent="0.2">
      <c r="B9" t="s">
        <v>20</v>
      </c>
      <c r="I9">
        <f>C9/256</f>
        <v>0</v>
      </c>
      <c r="J9" t="e">
        <f t="shared" ref="J9:J10" si="2">AVERAGE(F9:H9)/4</f>
        <v>#DIV/0!</v>
      </c>
    </row>
    <row r="10" spans="2:22" x14ac:dyDescent="0.2">
      <c r="B10" t="s">
        <v>21</v>
      </c>
      <c r="I10">
        <f>C10/256</f>
        <v>0</v>
      </c>
      <c r="J10" t="e">
        <f t="shared" si="2"/>
        <v>#DIV/0!</v>
      </c>
    </row>
    <row r="12" spans="2:22" x14ac:dyDescent="0.2">
      <c r="B12" t="s">
        <v>49</v>
      </c>
    </row>
    <row r="13" spans="2:22" x14ac:dyDescent="0.2">
      <c r="B13" t="s">
        <v>24</v>
      </c>
    </row>
    <row r="14" spans="2:22" x14ac:dyDescent="0.2">
      <c r="B14" t="s">
        <v>25</v>
      </c>
    </row>
    <row r="15" spans="2:22" x14ac:dyDescent="0.2">
      <c r="B15" t="s">
        <v>26</v>
      </c>
    </row>
    <row r="17" spans="2:13" x14ac:dyDescent="0.2">
      <c r="B17" t="s">
        <v>48</v>
      </c>
    </row>
    <row r="18" spans="2:13" x14ac:dyDescent="0.2">
      <c r="B18" t="s">
        <v>50</v>
      </c>
    </row>
    <row r="19" spans="2:13" x14ac:dyDescent="0.2">
      <c r="B19" t="s">
        <v>51</v>
      </c>
    </row>
    <row r="21" spans="2:13" x14ac:dyDescent="0.2">
      <c r="B21" t="s">
        <v>49</v>
      </c>
    </row>
    <row r="22" spans="2:13" x14ac:dyDescent="0.2">
      <c r="B22" t="s">
        <v>52</v>
      </c>
    </row>
    <row r="23" spans="2:13" x14ac:dyDescent="0.2">
      <c r="B23" t="s">
        <v>53</v>
      </c>
    </row>
    <row r="25" spans="2:13" x14ac:dyDescent="0.2">
      <c r="L25" t="s">
        <v>55</v>
      </c>
    </row>
    <row r="26" spans="2:13" x14ac:dyDescent="0.2">
      <c r="B26" t="s">
        <v>54</v>
      </c>
      <c r="I26" t="s">
        <v>10</v>
      </c>
      <c r="J26" t="s">
        <v>1</v>
      </c>
      <c r="L26" t="s">
        <v>10</v>
      </c>
      <c r="M26" t="s">
        <v>1</v>
      </c>
    </row>
    <row r="27" spans="2:13" x14ac:dyDescent="0.2">
      <c r="B27" t="s">
        <v>13</v>
      </c>
      <c r="C27">
        <v>-1031.46</v>
      </c>
      <c r="D27">
        <v>2905.27</v>
      </c>
      <c r="E27">
        <v>-0.36910900000000002</v>
      </c>
      <c r="F27">
        <v>14.2691</v>
      </c>
      <c r="G27">
        <v>14.2691</v>
      </c>
      <c r="H27">
        <v>14.2691</v>
      </c>
      <c r="I27" s="8">
        <f>C27/250</f>
        <v>-4.1258400000000002</v>
      </c>
      <c r="J27" s="8">
        <f>AVERAGE(F27:H27)/5</f>
        <v>2.8538199999999998</v>
      </c>
      <c r="L27" s="8">
        <v>-4.122389444444444</v>
      </c>
      <c r="M27" s="8">
        <v>2.856132647311993</v>
      </c>
    </row>
    <row r="28" spans="2:13" x14ac:dyDescent="0.2">
      <c r="B28" t="s">
        <v>14</v>
      </c>
      <c r="C28">
        <v>-480.654</v>
      </c>
      <c r="D28">
        <v>1176.8</v>
      </c>
      <c r="E28">
        <v>-0.13983699999999999</v>
      </c>
      <c r="F28">
        <v>10.557600000000001</v>
      </c>
      <c r="G28">
        <v>10.557600000000001</v>
      </c>
      <c r="H28">
        <v>10.557600000000001</v>
      </c>
      <c r="I28" s="8">
        <f>C28/108</f>
        <v>-4.4504999999999999</v>
      </c>
      <c r="J28" s="8">
        <f>AVERAGE(F28:H28)/3</f>
        <v>3.5192000000000001</v>
      </c>
      <c r="L28" s="9">
        <v>-4.45</v>
      </c>
      <c r="M28" s="8">
        <v>3.5200000836968148</v>
      </c>
    </row>
    <row r="29" spans="2:13" x14ac:dyDescent="0.2">
      <c r="B29" t="s">
        <v>15</v>
      </c>
      <c r="C29">
        <v>-362.92700000000002</v>
      </c>
      <c r="D29">
        <v>1792.88</v>
      </c>
      <c r="E29">
        <v>-5.9604400000000002E-2</v>
      </c>
      <c r="F29">
        <v>12.148300000000001</v>
      </c>
      <c r="G29">
        <v>12.148300000000001</v>
      </c>
      <c r="H29">
        <v>12.148300000000001</v>
      </c>
      <c r="I29" s="8">
        <f>C29/108</f>
        <v>-3.3604351851851852</v>
      </c>
      <c r="J29" s="8">
        <f>AVERAGE(F29:H29)/3</f>
        <v>4.0494333333333339</v>
      </c>
      <c r="L29" s="9">
        <v>-3.36</v>
      </c>
      <c r="M29" s="8">
        <v>4.050000018816764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VASP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2020-02-04T20:50:12Z</dcterms:created>
  <dcterms:modified xsi:type="dcterms:W3CDTF">2020-05-11T19:15:01Z</dcterms:modified>
</cp:coreProperties>
</file>