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516746B0-7D54-0B4D-A627-0AE66BDDBADA}" xr6:coauthVersionLast="47" xr6:coauthVersionMax="47" xr10:uidLastSave="{00000000-0000-0000-0000-000000000000}"/>
  <bookViews>
    <workbookView xWindow="1160" yWindow="1420" windowWidth="32740" windowHeight="18400" activeTab="1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72" i="4" l="1"/>
  <c r="M72" i="4" s="1"/>
  <c r="N72" i="4" s="1"/>
  <c r="M71" i="4"/>
  <c r="N71" i="4" s="1"/>
  <c r="L71" i="4"/>
  <c r="L70" i="4"/>
  <c r="M70" i="4" s="1"/>
  <c r="N70" i="4" s="1"/>
  <c r="S69" i="4"/>
  <c r="Q69" i="4"/>
  <c r="P69" i="4"/>
  <c r="L69" i="4"/>
  <c r="M69" i="4" s="1"/>
  <c r="N69" i="4" s="1"/>
  <c r="M68" i="4"/>
  <c r="N68" i="4" s="1"/>
  <c r="L68" i="4"/>
  <c r="L67" i="4"/>
  <c r="M67" i="4" s="1"/>
  <c r="N67" i="4" s="1"/>
  <c r="L73" i="3"/>
  <c r="M73" i="3" s="1"/>
  <c r="N73" i="3" s="1"/>
  <c r="L72" i="3"/>
  <c r="M72" i="3" s="1"/>
  <c r="N72" i="3" s="1"/>
  <c r="S71" i="3"/>
  <c r="Q71" i="3"/>
  <c r="P71" i="3"/>
  <c r="L71" i="3"/>
  <c r="M71" i="3" s="1"/>
  <c r="N71" i="3" s="1"/>
  <c r="L70" i="3"/>
  <c r="M70" i="3" s="1"/>
  <c r="N70" i="3" s="1"/>
  <c r="L69" i="3"/>
  <c r="M69" i="3" s="1"/>
  <c r="N69" i="3" s="1"/>
  <c r="M68" i="3"/>
  <c r="N68" i="3" s="1"/>
  <c r="L68" i="3"/>
  <c r="P38" i="6"/>
  <c r="P27" i="6"/>
  <c r="P16" i="6"/>
  <c r="W45" i="5"/>
  <c r="W46" i="5"/>
  <c r="W47" i="5"/>
  <c r="W48" i="5"/>
  <c r="W44" i="5"/>
  <c r="V48" i="5" l="1"/>
  <c r="I66" i="5"/>
  <c r="I64" i="5"/>
  <c r="J64" i="5"/>
  <c r="V47" i="5"/>
  <c r="V46" i="5"/>
  <c r="V45" i="5"/>
  <c r="V44" i="5"/>
  <c r="I52" i="5"/>
  <c r="J52" i="5" s="1"/>
  <c r="I58" i="5"/>
  <c r="J58" i="5"/>
  <c r="J66" i="5"/>
  <c r="I65" i="5"/>
  <c r="J65" i="5" s="1"/>
  <c r="I60" i="5"/>
  <c r="J60" i="5" s="1"/>
  <c r="I59" i="5"/>
  <c r="J59" i="5" s="1"/>
  <c r="I54" i="5"/>
  <c r="J54" i="5" s="1"/>
  <c r="I53" i="5"/>
  <c r="J53" i="5" s="1"/>
  <c r="Q50" i="5"/>
  <c r="R50" i="5" s="1"/>
  <c r="Q49" i="5"/>
  <c r="R49" i="5" s="1"/>
  <c r="Q48" i="5"/>
  <c r="R48" i="5" s="1"/>
  <c r="Q47" i="5"/>
  <c r="R47" i="5" s="1"/>
  <c r="Q46" i="5"/>
  <c r="R46" i="5" s="1"/>
  <c r="Q45" i="5"/>
  <c r="R45" i="5" s="1"/>
  <c r="Q44" i="5"/>
  <c r="R44" i="5" s="1"/>
  <c r="E66" i="5"/>
  <c r="H58" i="5" l="1"/>
  <c r="H59" i="5"/>
  <c r="H60" i="5"/>
  <c r="H53" i="5"/>
  <c r="H52" i="5"/>
  <c r="H54" i="5"/>
  <c r="T38" i="5" l="1"/>
  <c r="T39" i="5"/>
  <c r="I48" i="5"/>
  <c r="J48" i="5" s="1"/>
  <c r="I47" i="5"/>
  <c r="J47" i="5" s="1"/>
  <c r="I46" i="5"/>
  <c r="J46" i="5" s="1"/>
  <c r="I38" i="5"/>
  <c r="J38" i="5" s="1"/>
  <c r="I40" i="5"/>
  <c r="J40" i="5" s="1"/>
  <c r="I39" i="5"/>
  <c r="J39" i="5" s="1"/>
  <c r="V33" i="5"/>
  <c r="V34" i="5"/>
  <c r="V32" i="5"/>
  <c r="T37" i="5" s="1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<sst xmlns="http://schemas.openxmlformats.org/spreadsheetml/2006/main" count="638" uniqueCount="67">
  <si>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</si>
  <si>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</si>
  <si>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</si>
  <si>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</si>
  <si>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</si>
  <si>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</si>
  <si>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</si>
  <si>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</si>
  <si>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</si>
  <si>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</si>
  <si>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</si>
  <si>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</si>
  <si>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</si>
  <si>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</si>
  <si>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</si>
  <si>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</si>
  <si>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</si>
  <si>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</si>
  <si>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</si>
  <si>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</si>
  <si>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</si>
  <si>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</si>
  <si>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</si>
  <si>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</si>
  <si>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</si>
  <si>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</si>
  <si>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</si>
  <si>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</si>
  <si>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</si>
  <si>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</si>
  <si>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</si>
  <si>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</si>
  <si>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</si>
  <si>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</si>
  <si>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</si>
  <si>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</si>
  <si>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</si>
  <si>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</si>
  <si>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</si>
  <si>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</si>
  <si>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</si>
  <si>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</si>
  <si>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</si>
  <si>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</si>
  <si>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</si>
  <si>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</si>
  <si>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</si>
  <si>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</si>
  <si>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</si>
  <si>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</si>
  <si>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</si>
  <si>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</si>
  <si>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</si>
  <si>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</si>
  <si>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</si>
  <si>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</si>
  <si>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</si>
  <si>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</si>
  <si>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</si>
  <si>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</si>
  <si>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</si>
  <si>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</si>
  <si>
    <t>TE</t>
  </si>
  <si>
    <t>LiCl-KCl Eutectic</t>
  </si>
  <si>
    <t>Heat Capacity Slopes</t>
  </si>
  <si>
    <t>Cp</t>
  </si>
  <si>
    <t>Cp (J/mol-K)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</si>
</sst>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Summary!$C$64:$C$68</c:f>
              <c:numCache>
                <c:formatCode>General</c:formatCode>
                <c:ptCount val="5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Summary!$J$64:$J$68</c:f>
              <c:numCache>
                <c:formatCode>General</c:formatCode>
                <c:ptCount val="5"/>
                <c:pt idx="0">
                  <c:v>-112.95344509775998</c:v>
                </c:pt>
                <c:pt idx="1">
                  <c:v>-106.20383045286911</c:v>
                </c:pt>
                <c:pt idx="2">
                  <c:v>-100.03556519565583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Summary!$C$52:$C$54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Summary!$F$52:$F$54</c:f>
              <c:numCache>
                <c:formatCode>General</c:formatCode>
                <c:ptCount val="3"/>
                <c:pt idx="0">
                  <c:v>1.4176266298205369</c:v>
                </c:pt>
                <c:pt idx="1">
                  <c:v>1.3839090143711799</c:v>
                </c:pt>
                <c:pt idx="2">
                  <c:v>1.3502532502081568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2-9B40-A145-901E6DCAF1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Summary!$C$58:$C$60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Summary!$F$58:$F$60</c:f>
              <c:numCache>
                <c:formatCode>General</c:formatCode>
                <c:ptCount val="3"/>
                <c:pt idx="0">
                  <c:v>1.5081678694565137</c:v>
                </c:pt>
                <c:pt idx="1">
                  <c:v>1.4745331657501464</c:v>
                </c:pt>
                <c:pt idx="2">
                  <c:v>1.4413298591066881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2-9B40-A145-901E6DCAF10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Summary!$C$64:$C$66</c:f>
              <c:numCache>
                <c:formatCode>General</c:formatCode>
                <c:ptCount val="3"/>
                <c:pt idx="0">
                  <c:v>1100</c:v>
                </c:pt>
                <c:pt idx="1">
                  <c:v>1250</c:v>
                </c:pt>
                <c:pt idx="2">
                  <c:v>1400</c:v>
                </c:pt>
              </c:numCache>
            </c:numRef>
          </c:xVal>
          <c:yVal>
            <c:numRef>
              <c:f>Summary!$F$64:$F$66</c:f>
              <c:numCache>
                <c:formatCode>General</c:formatCode>
                <c:ptCount val="3"/>
                <c:pt idx="0">
                  <c:v>1.5403392679948031</c:v>
                </c:pt>
                <c:pt idx="1">
                  <c:v>1.4879562134824009</c:v>
                </c:pt>
                <c:pt idx="2">
                  <c:v>1.4322491984414667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C2-9B40-A145-901E6D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842335"/>
        <c:axId val="1377307279"/>
      </c:scatterChart>
      <c:valAx>
        <c:axId val="137284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07279"/>
        <c:crosses val="autoZero"/>
        <c:crossBetween val="midCat"/>
      </c:valAx>
      <c:valAx>
        <c:axId val="13773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4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Summary!$U$44:$U$48</c:f>
              <c:numCache>
                <c:formatCode>General</c:formatCode>
                <c:ptCount val="5"/>
                <c:pt idx="0">
                  <c:v>0.41</c:v>
                </c:pt>
                <c:pt idx="1">
                  <c:v>0.24</c:v>
                </c:pt>
                <c:pt idx="2">
                  <c:v>0.15</c:v>
                </c:pt>
                <c:pt idx="3">
                  <c:v>0</c:v>
                </c:pt>
                <c:pt idx="4">
                  <c:v>1</c:v>
                </c:pt>
              </c:numCache>
            </c:numRef>
          </c:xVal>
          <c:yVal>
            <c:numRef>
              <c:f>Summary!$V$44:$V$48</c:f>
              <c:numCache>
                <c:formatCode>General</c:formatCode>
                <c:ptCount val="5"/>
                <c:pt idx="0">
                  <c:v>7.0599999999999996E-2</c:v>
                </c:pt>
                <c:pt idx="1">
                  <c:v>6.9400000000000003E-2</c:v>
                </c:pt>
                <c:pt idx="2">
                  <c:v>6.3299999999999995E-2</c:v>
                </c:pt>
                <c:pt idx="3">
                  <c:v>6.7299999999999999E-2</c:v>
                </c:pt>
                <c:pt idx="4">
                  <c:v>4.3099999999999999E-2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0-5342-9577-52AD80ADB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926815"/>
        <c:axId val="1296835967"/>
      </c:scatterChart>
      <c:valAx>
        <c:axId val="153192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35967"/>
        <c:crosses val="autoZero"/>
        <c:crossBetween val="midCat"/>
      </c:valAx>
      <c:valAx>
        <c:axId val="129683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2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361950</xdr:colOff>
      <xdr:row>51</xdr:row>
      <xdr:rowOff>171450</xdr:rowOff>
    </xdr:from>
    <xdr:to>
      <xdr:col>17</xdr:col>
      <xdr:colOff>177800</xdr:colOff>
      <xdr:row>67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10F6DD-C35F-EC20-B16B-24A9A5E7A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749300</xdr:colOff>
      <xdr:row>48</xdr:row>
      <xdr:rowOff>107950</xdr:rowOff>
    </xdr:from>
    <xdr:to>
      <xdr:col>24</xdr:col>
      <xdr:colOff>368300</xdr:colOff>
      <xdr:row>62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4BD02-7E54-D6C3-B15F-E83F797BC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abSelected="1" workbookViewId="0">
      <selection activeCell="G19" sqref="G19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A37" workbookViewId="0">
      <selection activeCell="H73" sqref="H73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0"/>
        <v>17.997184448000002</v>
      </c>
      <c r="M15">
        <f t="shared" si="1"/>
        <v>5829.2637115096677</v>
      </c>
      <c r="N15">
        <f t="shared" si="2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0"/>
        <v>18.182722432000002</v>
      </c>
      <c r="M16">
        <f t="shared" si="1"/>
        <v>6011.4152288532778</v>
      </c>
      <c r="N16">
        <f t="shared" si="2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>(3/2)*V16*(0.000086173)*200</f>
        <v>28.437090000000005</v>
      </c>
      <c r="AC16">
        <f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0"/>
        <v>18.368260416000002</v>
      </c>
      <c r="M17">
        <f t="shared" si="1"/>
        <v>6197.3223158942128</v>
      </c>
      <c r="N17">
        <f t="shared" si="2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>AB17+Z17</f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0"/>
        <v>18.553798400000002</v>
      </c>
      <c r="M18">
        <f t="shared" si="1"/>
        <v>6387.0232947722425</v>
      </c>
      <c r="N18">
        <f t="shared" si="2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0"/>
        <v>19.295950336000001</v>
      </c>
      <c r="M19">
        <f t="shared" si="1"/>
        <v>7184.5325714506835</v>
      </c>
      <c r="N19">
        <f t="shared" si="2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3">L24^3</f>
        <v>5650.8294417236166</v>
      </c>
      <c r="N24">
        <f t="shared" ref="N24:N31" si="4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4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5">$L$9*H26</f>
        <v>18.182722432000002</v>
      </c>
      <c r="M26">
        <f t="shared" si="3"/>
        <v>6011.4152288532778</v>
      </c>
      <c r="N26">
        <f t="shared" si="4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5"/>
        <v>18.368260416000002</v>
      </c>
      <c r="M27">
        <f t="shared" si="3"/>
        <v>6197.3223158942128</v>
      </c>
      <c r="N27">
        <f t="shared" si="4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5"/>
        <v>18.553798400000002</v>
      </c>
      <c r="M28">
        <f t="shared" si="3"/>
        <v>6387.0232947722425</v>
      </c>
      <c r="N28">
        <f t="shared" si="4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5"/>
        <v>18.739336384000001</v>
      </c>
      <c r="M29">
        <f t="shared" si="3"/>
        <v>6580.5564876271364</v>
      </c>
      <c r="N29">
        <f t="shared" si="4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5"/>
        <v>18.924874368000001</v>
      </c>
      <c r="M30">
        <f t="shared" si="3"/>
        <v>6777.9602165986616</v>
      </c>
      <c r="N30">
        <f t="shared" si="4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5"/>
        <v>19.295950336000001</v>
      </c>
      <c r="M31">
        <f t="shared" si="3"/>
        <v>7184.5325714506835</v>
      </c>
      <c r="N31">
        <f t="shared" si="4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6">L36^3</f>
        <v>5650.8294417236166</v>
      </c>
      <c r="N36">
        <f t="shared" ref="N36:N43" si="7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7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8">$L$9*H38</f>
        <v>18.368260416000002</v>
      </c>
      <c r="M38">
        <f t="shared" si="6"/>
        <v>6197.3223158942128</v>
      </c>
      <c r="N38">
        <f t="shared" si="7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8"/>
        <v>18.553798400000002</v>
      </c>
      <c r="M39">
        <f t="shared" si="6"/>
        <v>6387.0232947722425</v>
      </c>
      <c r="N39">
        <f t="shared" si="7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8"/>
        <v>18.739336384000001</v>
      </c>
      <c r="M40">
        <f t="shared" si="6"/>
        <v>6580.5564876271364</v>
      </c>
      <c r="N40">
        <f t="shared" si="7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8"/>
        <v>18.924874368000001</v>
      </c>
      <c r="M41">
        <f t="shared" si="6"/>
        <v>6777.9602165986616</v>
      </c>
      <c r="N41">
        <f t="shared" si="7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8"/>
        <v>19.110412352000001</v>
      </c>
      <c r="M42">
        <f t="shared" si="6"/>
        <v>6979.2728038265886</v>
      </c>
      <c r="N42">
        <f t="shared" si="7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8"/>
        <v>19.295950336000001</v>
      </c>
      <c r="M43">
        <f>L43^3</f>
        <v>7184.5325714506835</v>
      </c>
      <c r="N43">
        <f t="shared" si="7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9">$L$9*H48</f>
        <v>17.626108479999999</v>
      </c>
      <c r="M48">
        <f t="shared" ref="M48:M53" si="10">L48^3</f>
        <v>5476.0740973553493</v>
      </c>
      <c r="N48">
        <f t="shared" ref="N48:N53" si="11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9"/>
        <v>17.811646464000003</v>
      </c>
      <c r="M49">
        <f t="shared" si="10"/>
        <v>5650.8294417236166</v>
      </c>
      <c r="N49">
        <f t="shared" si="11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9"/>
        <v>17.997184448000002</v>
      </c>
      <c r="M50">
        <f t="shared" si="10"/>
        <v>5829.2637115096677</v>
      </c>
      <c r="N50">
        <f t="shared" si="11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9"/>
        <v>18.182722432000002</v>
      </c>
      <c r="M51">
        <f t="shared" si="10"/>
        <v>6011.4152288532778</v>
      </c>
      <c r="N51">
        <f t="shared" si="11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9"/>
        <v>18.368260416000002</v>
      </c>
      <c r="M52">
        <f t="shared" si="10"/>
        <v>6197.3223158942128</v>
      </c>
      <c r="N52">
        <f t="shared" si="11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9"/>
        <v>18.553798400000002</v>
      </c>
      <c r="M53">
        <f t="shared" si="10"/>
        <v>6387.0232947722425</v>
      </c>
      <c r="N53">
        <f t="shared" si="11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2">$L$9*H58</f>
        <v>17.440570495999999</v>
      </c>
      <c r="M58">
        <f t="shared" ref="M58:M63" si="13">L58^3</f>
        <v>5304.9593562651062</v>
      </c>
      <c r="N58">
        <f t="shared" ref="N58:N63" si="14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2"/>
        <v>17.626108479999999</v>
      </c>
      <c r="M59">
        <f t="shared" si="13"/>
        <v>5476.0740973553493</v>
      </c>
      <c r="N59">
        <f t="shared" si="14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2"/>
        <v>17.811646464000003</v>
      </c>
      <c r="M60">
        <f t="shared" si="13"/>
        <v>5650.8294417236166</v>
      </c>
      <c r="N60">
        <f t="shared" si="14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2"/>
        <v>17.997184448000002</v>
      </c>
      <c r="M61">
        <f t="shared" si="13"/>
        <v>5829.2637115096677</v>
      </c>
      <c r="N61">
        <f t="shared" si="14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2"/>
        <v>18.182722432000002</v>
      </c>
      <c r="M62">
        <f t="shared" si="13"/>
        <v>6011.4152288532778</v>
      </c>
      <c r="N62">
        <f t="shared" si="14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2"/>
        <v>18.368260416000002</v>
      </c>
      <c r="M63">
        <f t="shared" si="13"/>
        <v>6197.3223158942128</v>
      </c>
      <c r="N63">
        <f t="shared" si="14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19" x14ac:dyDescent="0.2">
      <c r="A65">
        <v>52</v>
      </c>
      <c r="B65" s="1">
        <v>-385.13546000000002</v>
      </c>
      <c r="C65">
        <v>4.68</v>
      </c>
      <c r="H65">
        <v>700</v>
      </c>
    </row>
    <row r="66" spans="1:19" x14ac:dyDescent="0.2">
      <c r="A66">
        <v>53</v>
      </c>
      <c r="B66" s="1">
        <v>-385.27821999999998</v>
      </c>
      <c r="C66">
        <v>4.46</v>
      </c>
    </row>
    <row r="67" spans="1:19" x14ac:dyDescent="0.2">
      <c r="A67">
        <v>54</v>
      </c>
      <c r="B67" s="1">
        <v>-385.49423000000002</v>
      </c>
      <c r="C67">
        <v>4.38</v>
      </c>
      <c r="I67" t="s">
        <v>13</v>
      </c>
      <c r="J67" t="s">
        <v>15</v>
      </c>
      <c r="K67" t="s">
        <v>16</v>
      </c>
      <c r="L67" t="s">
        <v>17</v>
      </c>
      <c r="M67" t="s">
        <v>18</v>
      </c>
      <c r="N67" t="s">
        <v>19</v>
      </c>
      <c r="O67" t="s">
        <v>20</v>
      </c>
      <c r="P67" t="s">
        <v>17</v>
      </c>
      <c r="Q67" t="s">
        <v>19</v>
      </c>
      <c r="R67" t="s">
        <v>21</v>
      </c>
      <c r="S67" t="s">
        <v>22</v>
      </c>
    </row>
    <row r="68" spans="1:19" x14ac:dyDescent="0.2">
      <c r="A68">
        <v>55</v>
      </c>
      <c r="B68" s="1">
        <v>-385.75569999999999</v>
      </c>
      <c r="C68">
        <v>4.3600000000000003</v>
      </c>
      <c r="H68">
        <v>0.94</v>
      </c>
      <c r="L68">
        <f t="shared" ref="L68:L73" si="15">$L$9*H68</f>
        <v>17.440570495999999</v>
      </c>
      <c r="M68">
        <f t="shared" ref="M68:M73" si="16">L68^3</f>
        <v>5304.9593562651062</v>
      </c>
      <c r="N68">
        <f t="shared" ref="N68:N73" si="17">$L$5/M68/(1E-24)</f>
        <v>1.7710475592813351</v>
      </c>
    </row>
    <row r="69" spans="1:19" x14ac:dyDescent="0.2">
      <c r="A69">
        <v>56</v>
      </c>
      <c r="B69" s="1">
        <v>-386.04521</v>
      </c>
      <c r="C69">
        <v>4.26</v>
      </c>
      <c r="H69">
        <v>0.95</v>
      </c>
      <c r="L69">
        <f t="shared" si="15"/>
        <v>17.626108479999999</v>
      </c>
      <c r="M69">
        <f t="shared" si="16"/>
        <v>5476.0740973553493</v>
      </c>
      <c r="N69">
        <f t="shared" si="17"/>
        <v>1.7157063898272384</v>
      </c>
    </row>
    <row r="70" spans="1:19" x14ac:dyDescent="0.2">
      <c r="A70">
        <v>57</v>
      </c>
      <c r="B70" s="1">
        <v>-386.32670000000002</v>
      </c>
      <c r="C70">
        <v>4.07</v>
      </c>
      <c r="H70">
        <v>0.96</v>
      </c>
      <c r="L70">
        <f t="shared" si="15"/>
        <v>17.811646464000003</v>
      </c>
      <c r="M70">
        <f t="shared" si="16"/>
        <v>5650.8294417236166</v>
      </c>
      <c r="N70">
        <f t="shared" si="17"/>
        <v>1.6626471240891381</v>
      </c>
    </row>
    <row r="71" spans="1:19" x14ac:dyDescent="0.2">
      <c r="A71">
        <v>58</v>
      </c>
      <c r="B71" s="1">
        <v>-386.55347999999998</v>
      </c>
      <c r="C71">
        <v>4.1100000000000003</v>
      </c>
      <c r="H71">
        <v>0.97</v>
      </c>
      <c r="L71">
        <f t="shared" si="15"/>
        <v>17.997184448000002</v>
      </c>
      <c r="M71">
        <f t="shared" si="16"/>
        <v>5829.2637115096677</v>
      </c>
      <c r="N71">
        <f t="shared" si="17"/>
        <v>1.6117533508475959</v>
      </c>
      <c r="O71">
        <v>6019.4963105301313</v>
      </c>
      <c r="P71">
        <f>O71^(1/3)</f>
        <v>18.19086639738844</v>
      </c>
      <c r="Q71">
        <f>$L$5/(O71*(10^-24))</f>
        <v>1.5608175228157188</v>
      </c>
      <c r="R71">
        <v>-409.38013513535145</v>
      </c>
      <c r="S71">
        <f>R71/R73</f>
        <v>-4.0938013513535143</v>
      </c>
    </row>
    <row r="72" spans="1:19" x14ac:dyDescent="0.2">
      <c r="A72">
        <v>59</v>
      </c>
      <c r="B72" s="1">
        <v>-386.64524999999998</v>
      </c>
      <c r="C72">
        <v>4.2699999999999996</v>
      </c>
      <c r="H72">
        <v>0.98</v>
      </c>
      <c r="L72">
        <f t="shared" si="15"/>
        <v>18.182722432000002</v>
      </c>
      <c r="M72">
        <f t="shared" si="16"/>
        <v>6011.4152288532778</v>
      </c>
      <c r="N72">
        <f t="shared" si="17"/>
        <v>1.5629157132424922</v>
      </c>
    </row>
    <row r="73" spans="1:19" x14ac:dyDescent="0.2">
      <c r="A73">
        <v>60</v>
      </c>
      <c r="B73" s="1">
        <v>-386.62722000000002</v>
      </c>
      <c r="C73">
        <v>4.62</v>
      </c>
      <c r="L73">
        <f t="shared" si="15"/>
        <v>0</v>
      </c>
      <c r="M73">
        <f t="shared" si="16"/>
        <v>0</v>
      </c>
      <c r="N73" t="e">
        <f t="shared" si="17"/>
        <v>#DIV/0!</v>
      </c>
      <c r="Q73" t="s">
        <v>37</v>
      </c>
      <c r="R73">
        <v>100</v>
      </c>
    </row>
    <row r="74" spans="1:19" x14ac:dyDescent="0.2">
      <c r="A74">
        <v>61</v>
      </c>
      <c r="B74" s="1">
        <v>-386.52071999999998</v>
      </c>
      <c r="C74">
        <v>5.03</v>
      </c>
    </row>
    <row r="75" spans="1:19" x14ac:dyDescent="0.2">
      <c r="A75">
        <v>62</v>
      </c>
      <c r="B75" s="1">
        <v>-386.32990999999998</v>
      </c>
      <c r="C75">
        <v>5.28</v>
      </c>
    </row>
    <row r="76" spans="1:19" x14ac:dyDescent="0.2">
      <c r="A76">
        <v>63</v>
      </c>
      <c r="B76" s="1">
        <v>-386.11622</v>
      </c>
      <c r="C76">
        <v>5.57</v>
      </c>
    </row>
    <row r="77" spans="1:19" x14ac:dyDescent="0.2">
      <c r="A77">
        <v>64</v>
      </c>
      <c r="B77" s="1">
        <v>-385.89852000000002</v>
      </c>
      <c r="C77">
        <v>5.83</v>
      </c>
    </row>
    <row r="78" spans="1:19" x14ac:dyDescent="0.2">
      <c r="A78">
        <v>65</v>
      </c>
      <c r="B78" s="1">
        <v>-385.76749999999998</v>
      </c>
      <c r="C78">
        <v>5.88</v>
      </c>
    </row>
    <row r="79" spans="1:19" x14ac:dyDescent="0.2">
      <c r="A79">
        <v>66</v>
      </c>
      <c r="B79" s="1">
        <v>-385.76080999999999</v>
      </c>
      <c r="C79">
        <v>6.11</v>
      </c>
    </row>
    <row r="80" spans="1:19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B45" workbookViewId="0">
      <selection activeCell="M73" sqref="L73:N73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  <c r="H64">
        <v>700</v>
      </c>
    </row>
    <row r="65" spans="1:19" x14ac:dyDescent="0.2">
      <c r="A65">
        <v>52</v>
      </c>
      <c r="B65" s="1">
        <v>-397.1823</v>
      </c>
      <c r="C65">
        <v>5.42</v>
      </c>
    </row>
    <row r="66" spans="1:19" x14ac:dyDescent="0.2">
      <c r="A66">
        <v>53</v>
      </c>
      <c r="B66" s="1">
        <v>-397.06781000000001</v>
      </c>
      <c r="C66">
        <v>5.47</v>
      </c>
      <c r="I66" t="s">
        <v>13</v>
      </c>
      <c r="J66" t="s">
        <v>15</v>
      </c>
      <c r="K66" t="s">
        <v>16</v>
      </c>
      <c r="L66" t="s">
        <v>17</v>
      </c>
      <c r="M66" t="s">
        <v>18</v>
      </c>
      <c r="N66" t="s">
        <v>19</v>
      </c>
      <c r="O66" t="s">
        <v>20</v>
      </c>
      <c r="P66" t="s">
        <v>17</v>
      </c>
      <c r="Q66" t="s">
        <v>19</v>
      </c>
      <c r="R66" t="s">
        <v>21</v>
      </c>
      <c r="S66" t="s">
        <v>22</v>
      </c>
    </row>
    <row r="67" spans="1:19" x14ac:dyDescent="0.2">
      <c r="A67">
        <v>54</v>
      </c>
      <c r="B67" s="1">
        <v>-396.94950999999998</v>
      </c>
      <c r="C67">
        <v>5.63</v>
      </c>
      <c r="H67">
        <v>0.93</v>
      </c>
      <c r="L67">
        <f>$L$9*H67</f>
        <v>17.255032512000003</v>
      </c>
      <c r="M67">
        <f t="shared" ref="M67:M73" si="15">L67^3</f>
        <v>5137.4468963131185</v>
      </c>
      <c r="N67">
        <f>$L$5/M67/(1E-24)</f>
        <v>1.8236230698021392</v>
      </c>
    </row>
    <row r="68" spans="1:19" x14ac:dyDescent="0.2">
      <c r="A68">
        <v>55</v>
      </c>
      <c r="B68" s="1">
        <v>-396.78928999999999</v>
      </c>
      <c r="C68">
        <v>5.62</v>
      </c>
      <c r="H68">
        <v>0.94</v>
      </c>
      <c r="L68">
        <f t="shared" ref="L68:L73" si="16">$L$9*H68</f>
        <v>17.440570495999999</v>
      </c>
      <c r="M68">
        <f t="shared" si="15"/>
        <v>5304.9593562651062</v>
      </c>
      <c r="N68">
        <f t="shared" ref="N68:N73" si="17">$L$5/M68/(1E-24)</f>
        <v>1.7660392947093133</v>
      </c>
    </row>
    <row r="69" spans="1:19" x14ac:dyDescent="0.2">
      <c r="A69">
        <v>56</v>
      </c>
      <c r="B69" s="1">
        <v>-396.59028000000001</v>
      </c>
      <c r="C69">
        <v>5.8</v>
      </c>
      <c r="H69">
        <v>0.95</v>
      </c>
      <c r="L69">
        <f t="shared" si="16"/>
        <v>17.626108479999999</v>
      </c>
      <c r="M69">
        <f t="shared" si="15"/>
        <v>5476.0740973553493</v>
      </c>
      <c r="N69">
        <f t="shared" si="17"/>
        <v>1.7108546220228493</v>
      </c>
      <c r="O69">
        <v>6035.6071045597528</v>
      </c>
      <c r="P69">
        <f>O69^(1/3)</f>
        <v>18.207080834297606</v>
      </c>
      <c r="Q69">
        <f>$L$5/(O69*(10^-24))</f>
        <v>1.5522492630314069</v>
      </c>
      <c r="R69">
        <v>-420.84514446976226</v>
      </c>
      <c r="S69">
        <f>R69/R71</f>
        <v>-4.2084514446976229</v>
      </c>
    </row>
    <row r="70" spans="1:19" x14ac:dyDescent="0.2">
      <c r="A70">
        <v>57</v>
      </c>
      <c r="B70" s="1">
        <v>-396.42390999999998</v>
      </c>
      <c r="C70">
        <v>6.13</v>
      </c>
      <c r="H70">
        <v>0.96</v>
      </c>
      <c r="L70">
        <f t="shared" si="16"/>
        <v>17.811646464000003</v>
      </c>
      <c r="M70">
        <f t="shared" si="15"/>
        <v>5650.8294417236166</v>
      </c>
      <c r="N70">
        <f t="shared" si="17"/>
        <v>1.6579454001609963</v>
      </c>
    </row>
    <row r="71" spans="1:19" x14ac:dyDescent="0.2">
      <c r="A71">
        <v>58</v>
      </c>
      <c r="B71" s="1">
        <v>-396.23595</v>
      </c>
      <c r="C71">
        <v>6.26</v>
      </c>
      <c r="H71">
        <v>0.97</v>
      </c>
      <c r="L71">
        <f t="shared" si="16"/>
        <v>17.997184448000002</v>
      </c>
      <c r="M71">
        <f t="shared" si="15"/>
        <v>5829.2637115096677</v>
      </c>
      <c r="N71">
        <f t="shared" si="17"/>
        <v>1.6071955470982919</v>
      </c>
      <c r="Q71" t="s">
        <v>37</v>
      </c>
      <c r="R71">
        <v>100</v>
      </c>
    </row>
    <row r="72" spans="1:19" x14ac:dyDescent="0.2">
      <c r="A72">
        <v>59</v>
      </c>
      <c r="B72" s="1">
        <v>-396.06157000000002</v>
      </c>
      <c r="C72">
        <v>6.58</v>
      </c>
      <c r="H72">
        <v>0.98</v>
      </c>
      <c r="L72">
        <f t="shared" si="16"/>
        <v>18.182722432000002</v>
      </c>
      <c r="M72">
        <f t="shared" si="15"/>
        <v>6011.4152288532778</v>
      </c>
      <c r="N72">
        <f t="shared" si="17"/>
        <v>1.5584960152198908</v>
      </c>
    </row>
    <row r="73" spans="1:19" x14ac:dyDescent="0.2">
      <c r="A73">
        <v>60</v>
      </c>
      <c r="B73" s="1">
        <v>-395.92809</v>
      </c>
      <c r="C73">
        <v>6.8</v>
      </c>
    </row>
    <row r="74" spans="1:19" x14ac:dyDescent="0.2">
      <c r="A74">
        <v>61</v>
      </c>
      <c r="B74" s="1">
        <v>-395.84616999999997</v>
      </c>
      <c r="C74">
        <v>6.88</v>
      </c>
    </row>
    <row r="75" spans="1:19" x14ac:dyDescent="0.2">
      <c r="A75">
        <v>62</v>
      </c>
      <c r="B75" s="1">
        <v>-395.87034999999997</v>
      </c>
      <c r="C75">
        <v>6.97</v>
      </c>
    </row>
    <row r="76" spans="1:19" x14ac:dyDescent="0.2">
      <c r="A76">
        <v>63</v>
      </c>
      <c r="B76" s="1">
        <v>-395.93387000000001</v>
      </c>
      <c r="C76">
        <v>7.02</v>
      </c>
    </row>
    <row r="77" spans="1:19" x14ac:dyDescent="0.2">
      <c r="A77">
        <v>64</v>
      </c>
      <c r="B77" s="1">
        <v>-396.05291999999997</v>
      </c>
      <c r="C77">
        <v>7.14</v>
      </c>
    </row>
    <row r="78" spans="1:19" x14ac:dyDescent="0.2">
      <c r="A78">
        <v>65</v>
      </c>
      <c r="B78" s="1">
        <v>-396.24502000000001</v>
      </c>
      <c r="C78">
        <v>7.18</v>
      </c>
    </row>
    <row r="79" spans="1:19" x14ac:dyDescent="0.2">
      <c r="A79">
        <v>66</v>
      </c>
      <c r="B79" s="1">
        <v>-396.43743999999998</v>
      </c>
      <c r="C79">
        <v>7.35</v>
      </c>
    </row>
    <row r="80" spans="1:19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A12" workbookViewId="0">
      <selection activeCell="E10" sqref="E10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P16" s="7">
        <f>P17/$L$9</f>
        <v>1.0420091222934531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P27" s="7">
        <f>P28/$L$9</f>
        <v>1.0510405081015741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P38" s="7">
        <f>P39/$L$9</f>
        <v>1.0629518844918397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W66"/>
  <sheetViews>
    <sheetView topLeftCell="A23" workbookViewId="0">
      <selection activeCell="W44" sqref="W44:W48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>(3/2)*C21*(0.000086173)*200</f>
        <v>28.437090000000005</v>
      </c>
      <c r="J21">
        <f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>I22+G22</f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>(3/2)*C28*(0.000086173)*200</f>
        <v>20.681519999999999</v>
      </c>
      <c r="J28">
        <f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>(3/2)*C29*(0.000086173)*200</f>
        <v>23.266710000000003</v>
      </c>
      <c r="J29">
        <f>I29+G29</f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>(3/2)*C31*(0.000086173)*200</f>
        <v>28.437090000000005</v>
      </c>
      <c r="J31">
        <f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>I32+G32</f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3" x14ac:dyDescent="0.2"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3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3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3" x14ac:dyDescent="0.2">
      <c r="T37">
        <f>ABS(V32-T32)/V32</f>
        <v>1.8547442318511256E-2</v>
      </c>
    </row>
    <row r="38" spans="3:23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>I38+G38</f>
        <v>-270.38404144366388</v>
      </c>
      <c r="T38">
        <f>ABS(V33-T33)/V33</f>
        <v>8.4127301765975025E-3</v>
      </c>
    </row>
    <row r="39" spans="3:23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>(3/2)*C39*(0.000086173)*200</f>
        <v>28.437090000000005</v>
      </c>
      <c r="J39">
        <f>I39+G39</f>
        <v>-263.77637176185107</v>
      </c>
      <c r="T39">
        <f>ABS(V34-T34)/V34</f>
        <v>4.7246340952900243E-3</v>
      </c>
    </row>
    <row r="40" spans="3:23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1" spans="3:23" x14ac:dyDescent="0.2">
      <c r="L41" t="s">
        <v>63</v>
      </c>
    </row>
    <row r="42" spans="3:23" x14ac:dyDescent="0.2">
      <c r="C42" t="s">
        <v>60</v>
      </c>
      <c r="M42" t="s">
        <v>19</v>
      </c>
      <c r="N42" t="s">
        <v>35</v>
      </c>
      <c r="O42" t="s">
        <v>17</v>
      </c>
      <c r="P42" t="s">
        <v>36</v>
      </c>
      <c r="Q42" t="s">
        <v>15</v>
      </c>
      <c r="R42" t="s">
        <v>62</v>
      </c>
      <c r="T42" t="s">
        <v>64</v>
      </c>
    </row>
    <row r="43" spans="3:23" x14ac:dyDescent="0.2">
      <c r="U43" t="s">
        <v>2</v>
      </c>
      <c r="V43" t="s">
        <v>65</v>
      </c>
      <c r="W43" t="s">
        <v>66</v>
      </c>
    </row>
    <row r="44" spans="3:23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  <c r="L44">
        <v>1300</v>
      </c>
      <c r="M44">
        <v>1.3650365131223825</v>
      </c>
      <c r="N44">
        <v>6766.2176695670023</v>
      </c>
      <c r="O44">
        <v>18.91393918609694</v>
      </c>
      <c r="P44">
        <v>-395.29328589426768</v>
      </c>
      <c r="Q44">
        <f>(3/2)*L44*(0.000086173)*200</f>
        <v>33.607469999999999</v>
      </c>
      <c r="R44">
        <f>P44+Q44</f>
        <v>-361.68581589426771</v>
      </c>
      <c r="T44" t="s">
        <v>43</v>
      </c>
      <c r="U44">
        <v>0.41</v>
      </c>
      <c r="V44">
        <f>0.0706</f>
        <v>7.0599999999999996E-2</v>
      </c>
      <c r="W44">
        <f>V44*965</f>
        <v>68.128999999999991</v>
      </c>
    </row>
    <row r="45" spans="3:23" x14ac:dyDescent="0.2">
      <c r="L45">
        <v>1200</v>
      </c>
      <c r="M45">
        <v>1.3979040624911605</v>
      </c>
      <c r="N45">
        <v>6607.1302191034274</v>
      </c>
      <c r="O45">
        <v>18.76452702374084</v>
      </c>
      <c r="P45">
        <v>-399.08564044680531</v>
      </c>
      <c r="Q45">
        <f t="shared" ref="Q45:Q50" si="0">(3/2)*L45*(0.000086173)*200</f>
        <v>31.022280000000002</v>
      </c>
      <c r="R45">
        <f t="shared" ref="R45" si="1">P45+Q45</f>
        <v>-368.06336044680529</v>
      </c>
      <c r="T45" t="s">
        <v>45</v>
      </c>
      <c r="U45">
        <v>0.24</v>
      </c>
      <c r="V45">
        <f>0.0694</f>
        <v>6.9400000000000003E-2</v>
      </c>
      <c r="W45">
        <f t="shared" ref="W45:W48" si="2">V45*965</f>
        <v>66.971000000000004</v>
      </c>
    </row>
    <row r="46" spans="3:23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>I46+G46</f>
        <v>-434.79663208595002</v>
      </c>
      <c r="L46">
        <v>1100</v>
      </c>
      <c r="M46">
        <v>1.4372094115694805</v>
      </c>
      <c r="N46">
        <v>6426.4359113865166</v>
      </c>
      <c r="O46">
        <v>18.591883682234656</v>
      </c>
      <c r="P46">
        <v>-403.52791940989761</v>
      </c>
      <c r="Q46">
        <f t="shared" si="0"/>
        <v>28.437090000000005</v>
      </c>
      <c r="R46">
        <f>P46+Q46</f>
        <v>-375.09082940989759</v>
      </c>
      <c r="T46" t="s">
        <v>46</v>
      </c>
      <c r="U46">
        <v>0.15</v>
      </c>
      <c r="V46">
        <f>0.0633</f>
        <v>6.3299999999999995E-2</v>
      </c>
      <c r="W46">
        <f t="shared" si="2"/>
        <v>61.084499999999998</v>
      </c>
    </row>
    <row r="47" spans="3:23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>(3/2)*C47*(0.000086173)*200</f>
        <v>28.437090000000005</v>
      </c>
      <c r="J47">
        <f>I47+G47</f>
        <v>-427.85148967033052</v>
      </c>
      <c r="L47">
        <v>1000</v>
      </c>
      <c r="M47">
        <v>1.4776504696487072</v>
      </c>
      <c r="N47">
        <v>6250.5540819058297</v>
      </c>
      <c r="O47">
        <v>18.42070181183545</v>
      </c>
      <c r="P47">
        <v>-407.73414979420915</v>
      </c>
      <c r="Q47">
        <f t="shared" si="0"/>
        <v>25.851900000000001</v>
      </c>
      <c r="R47">
        <f t="shared" ref="R47:R50" si="3">P47+Q47</f>
        <v>-381.88224979420914</v>
      </c>
      <c r="U47">
        <v>0</v>
      </c>
      <c r="V47">
        <f>0.0673</f>
        <v>6.7299999999999999E-2</v>
      </c>
      <c r="W47">
        <f t="shared" si="2"/>
        <v>64.944500000000005</v>
      </c>
    </row>
    <row r="48" spans="3:23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  <c r="L48">
        <v>900</v>
      </c>
      <c r="M48">
        <v>1.5142757209787261</v>
      </c>
      <c r="N48">
        <v>6099.3741408752003</v>
      </c>
      <c r="O48">
        <v>18.270976459369884</v>
      </c>
      <c r="P48">
        <v>-411.6818030463491</v>
      </c>
      <c r="Q48">
        <f t="shared" si="0"/>
        <v>23.266710000000003</v>
      </c>
      <c r="R48">
        <f t="shared" si="3"/>
        <v>-388.41509304634911</v>
      </c>
      <c r="U48">
        <v>1</v>
      </c>
      <c r="V48">
        <f>0.0431</f>
        <v>4.3099999999999999E-2</v>
      </c>
      <c r="W48">
        <f t="shared" si="2"/>
        <v>41.591499999999996</v>
      </c>
    </row>
    <row r="49" spans="3:18" x14ac:dyDescent="0.2">
      <c r="L49">
        <v>800</v>
      </c>
      <c r="M49">
        <v>1.5494920044554759</v>
      </c>
      <c r="N49">
        <v>5960.7498122835195</v>
      </c>
      <c r="O49">
        <v>18.131495697711848</v>
      </c>
      <c r="P49">
        <v>-415.95658554008014</v>
      </c>
      <c r="Q49">
        <f t="shared" si="0"/>
        <v>20.681519999999999</v>
      </c>
      <c r="R49">
        <f t="shared" si="3"/>
        <v>-395.27506554008016</v>
      </c>
    </row>
    <row r="50" spans="3:18" x14ac:dyDescent="0.2">
      <c r="C50" t="s">
        <v>0</v>
      </c>
      <c r="L50">
        <v>700</v>
      </c>
      <c r="M50">
        <v>1.5871878123306469</v>
      </c>
      <c r="N50">
        <v>5819.181638706219</v>
      </c>
      <c r="O50">
        <v>17.986802711841939</v>
      </c>
      <c r="P50">
        <v>-421.24548040339181</v>
      </c>
      <c r="Q50">
        <f t="shared" si="0"/>
        <v>18.096329999999998</v>
      </c>
      <c r="R50">
        <f t="shared" si="3"/>
        <v>-403.14915040339179</v>
      </c>
    </row>
    <row r="51" spans="3:18" x14ac:dyDescent="0.2">
      <c r="D51" t="s">
        <v>35</v>
      </c>
      <c r="E51" t="s">
        <v>17</v>
      </c>
      <c r="F51" t="s">
        <v>19</v>
      </c>
      <c r="G51" t="s">
        <v>36</v>
      </c>
      <c r="H51" t="s">
        <v>22</v>
      </c>
      <c r="I51" t="s">
        <v>15</v>
      </c>
      <c r="J51" t="s">
        <v>42</v>
      </c>
    </row>
    <row r="52" spans="3:18" x14ac:dyDescent="0.2">
      <c r="C52">
        <v>1000</v>
      </c>
      <c r="D52">
        <v>4978.3602016417981</v>
      </c>
      <c r="E52">
        <v>17.075054768980639</v>
      </c>
      <c r="F52">
        <v>1.4176266298205369</v>
      </c>
      <c r="G52">
        <v>-483.30728027693169</v>
      </c>
      <c r="H52">
        <f>G52/100</f>
        <v>-4.8330728027693173</v>
      </c>
      <c r="I52">
        <f>(3/2)*C52*(0.000086173)*200</f>
        <v>25.851900000000001</v>
      </c>
      <c r="J52">
        <f>I52+G52</f>
        <v>-457.45538027693169</v>
      </c>
    </row>
    <row r="53" spans="3:18" x14ac:dyDescent="0.2">
      <c r="C53">
        <v>1100</v>
      </c>
      <c r="D53">
        <v>5099.653171847368</v>
      </c>
      <c r="E53">
        <v>17.212616005271059</v>
      </c>
      <c r="F53">
        <v>1.3839090143711799</v>
      </c>
      <c r="G53">
        <v>-479.22451900649088</v>
      </c>
      <c r="H53">
        <f>G53/100</f>
        <v>-4.792245190064909</v>
      </c>
      <c r="I53">
        <f>(3/2)*C53*(0.000086173)*200</f>
        <v>28.437090000000005</v>
      </c>
      <c r="J53">
        <f>I53+G53</f>
        <v>-450.78742900649087</v>
      </c>
    </row>
    <row r="54" spans="3:18" x14ac:dyDescent="0.2">
      <c r="C54">
        <v>1200</v>
      </c>
      <c r="D54">
        <v>5226.7646781062476</v>
      </c>
      <c r="E54">
        <v>17.354455115400171</v>
      </c>
      <c r="F54">
        <v>1.3502532502081568</v>
      </c>
      <c r="G54">
        <v>-476.00398971107279</v>
      </c>
      <c r="H54">
        <f>G54/100</f>
        <v>-4.7600398971107278</v>
      </c>
      <c r="I54">
        <f>(3/2)*C54*(0.000086173)*200</f>
        <v>31.022280000000002</v>
      </c>
      <c r="J54">
        <f>I54+G54</f>
        <v>-444.98170971107277</v>
      </c>
    </row>
    <row r="56" spans="3:18" x14ac:dyDescent="0.2">
      <c r="C56" t="s">
        <v>1</v>
      </c>
    </row>
    <row r="57" spans="3:18" x14ac:dyDescent="0.2">
      <c r="D57" t="s">
        <v>35</v>
      </c>
      <c r="E57" t="s">
        <v>17</v>
      </c>
      <c r="F57" t="s">
        <v>19</v>
      </c>
      <c r="G57" t="s">
        <v>36</v>
      </c>
      <c r="H57" t="s">
        <v>22</v>
      </c>
      <c r="I57" t="s">
        <v>15</v>
      </c>
      <c r="J57" t="s">
        <v>42</v>
      </c>
    </row>
    <row r="58" spans="3:18" x14ac:dyDescent="0.2">
      <c r="C58">
        <v>1000</v>
      </c>
      <c r="D58">
        <v>8203.2669532908785</v>
      </c>
      <c r="E58">
        <v>20.167974408099074</v>
      </c>
      <c r="F58">
        <v>1.5081678694565137</v>
      </c>
      <c r="G58">
        <v>-288.15376435398008</v>
      </c>
      <c r="H58">
        <f>G58/100</f>
        <v>-2.8815376435398008</v>
      </c>
      <c r="I58">
        <f>(3/2)*C58*(0.000086173)*200</f>
        <v>25.851900000000001</v>
      </c>
      <c r="J58">
        <f>I58+G58</f>
        <v>-262.30186435398008</v>
      </c>
    </row>
    <row r="59" spans="3:18" x14ac:dyDescent="0.2">
      <c r="C59">
        <v>1100</v>
      </c>
      <c r="D59">
        <v>8390.275100875102</v>
      </c>
      <c r="E59">
        <v>20.320079383159275</v>
      </c>
      <c r="F59">
        <v>1.4745331657501464</v>
      </c>
      <c r="G59">
        <v>-283.35831775174546</v>
      </c>
      <c r="H59">
        <f>G59/100</f>
        <v>-2.8335831775174545</v>
      </c>
      <c r="I59">
        <f>(3/2)*C59*(0.000086173)*200</f>
        <v>28.437090000000005</v>
      </c>
      <c r="J59">
        <f>I59+G59</f>
        <v>-254.92122775174545</v>
      </c>
    </row>
    <row r="60" spans="3:18" x14ac:dyDescent="0.2">
      <c r="C60">
        <v>1200</v>
      </c>
      <c r="D60">
        <v>8583.6406584237411</v>
      </c>
      <c r="E60">
        <v>20.474996808837023</v>
      </c>
      <c r="F60">
        <v>1.4413298591066881</v>
      </c>
      <c r="G60">
        <v>-279.6987301829144</v>
      </c>
      <c r="H60">
        <f>G60/100</f>
        <v>-2.796987301829144</v>
      </c>
      <c r="I60">
        <f>(3/2)*C60*(0.000086173)*200</f>
        <v>31.022280000000002</v>
      </c>
      <c r="J60">
        <f>I60+G60</f>
        <v>-248.67645018291441</v>
      </c>
    </row>
    <row r="62" spans="3:18" x14ac:dyDescent="0.2">
      <c r="C62" t="s">
        <v>2</v>
      </c>
    </row>
    <row r="63" spans="3:18" x14ac:dyDescent="0.2">
      <c r="D63" t="s">
        <v>20</v>
      </c>
      <c r="E63" t="s">
        <v>17</v>
      </c>
      <c r="F63" t="s">
        <v>19</v>
      </c>
      <c r="G63" t="s">
        <v>21</v>
      </c>
      <c r="H63" t="s">
        <v>22</v>
      </c>
      <c r="I63" t="s">
        <v>15</v>
      </c>
      <c r="J63" t="s">
        <v>42</v>
      </c>
    </row>
    <row r="64" spans="3:18" x14ac:dyDescent="0.2">
      <c r="C64">
        <v>1100</v>
      </c>
      <c r="D64">
        <v>3153.3249869999167</v>
      </c>
      <c r="E64">
        <v>14.664128041393068</v>
      </c>
      <c r="F64">
        <v>1.5403392679948031</v>
      </c>
      <c r="G64">
        <v>-141.39053509775999</v>
      </c>
      <c r="H64">
        <v>-2.8278107019552077</v>
      </c>
      <c r="I64">
        <f>(3/2)*C64*(0.000086173)*200</f>
        <v>28.437090000000005</v>
      </c>
      <c r="J64">
        <f>I64+G64</f>
        <v>-112.95344509775998</v>
      </c>
    </row>
    <row r="65" spans="3:10" x14ac:dyDescent="0.2">
      <c r="C65">
        <v>1250</v>
      </c>
      <c r="D65">
        <v>3264.3368522635783</v>
      </c>
      <c r="E65">
        <v>14.834229350754038</v>
      </c>
      <c r="F65">
        <v>1.4879562134824009</v>
      </c>
      <c r="G65">
        <v>-138.51870545286911</v>
      </c>
      <c r="H65">
        <v>-2.7703741090573821</v>
      </c>
      <c r="I65">
        <f>(3/2)*C65*(0.000086173)*200</f>
        <v>32.314875000000001</v>
      </c>
      <c r="J65">
        <f>I65+G65</f>
        <v>-106.20383045286911</v>
      </c>
    </row>
    <row r="66" spans="3:10" x14ac:dyDescent="0.2">
      <c r="C66">
        <v>1400</v>
      </c>
      <c r="D66">
        <v>3391.3025104225098</v>
      </c>
      <c r="E66">
        <f>D66^(1/3)</f>
        <v>15.024113083801051</v>
      </c>
      <c r="F66">
        <v>1.4322491984414667</v>
      </c>
      <c r="G66">
        <v>-136.22822519565582</v>
      </c>
      <c r="H66">
        <v>-2.7245645039131166</v>
      </c>
      <c r="I66">
        <f>(3/2)*C66*(0.000086173)*200</f>
        <v>36.192659999999997</v>
      </c>
      <c r="J66">
        <f>I66+G66</f>
        <v>-100.03556519565583</v>
      </c>
    </row>
  </sheetData>
  <sortState xmlns:xlrd2="http://schemas.microsoft.com/office/spreadsheetml/2017/richdata2" ref="C64:H66">
    <sortCondition ref="C64:C6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2022-09-26T19:48:16Z</dcterms:modified>
</cp:coreProperties>
</file>