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3C693942-F529-A242-A0CA-6794D42A6F13}" xr6:coauthVersionLast="47" xr6:coauthVersionMax="47" xr10:uidLastSave="{00000000-0000-0000-0000-000000000000}"/>
  <bookViews>
    <workbookView xWindow="0" yWindow="500" windowWidth="22580" windowHeight="1580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9" i="5" l="1"/>
  <c r="J29" i="5"/>
  <c r="P9" i="4" a="1"/>
  <c r="P9" i="4" s="1"/>
  <c r="P5" i="4" a="1"/>
  <c r="P5" i="4" s="1"/>
  <c r="I18" i="5"/>
  <c r="J18" i="5"/>
  <c r="AC12" i="3" l="1"/>
  <c r="AB12" i="3"/>
  <c r="AA12" i="3"/>
  <c r="Y12" i="3"/>
  <c r="X12" i="3"/>
  <c r="P9" i="3" a="1"/>
  <c r="P9" i="3" s="1"/>
  <c r="P5" i="3" a="1"/>
  <c r="P5" i="3" s="1"/>
  <c r="L72" i="4"/>
  <c r="M72" i="4" s="1"/>
  <c r="N72" i="4" s="1"/>
  <c r="M71" i="4"/>
  <c r="N71" i="4" s="1"/>
  <c r="L71" i="4"/>
  <c r="L70" i="4"/>
  <c r="M70" i="4" s="1"/>
  <c r="N70" i="4" s="1"/>
  <c r="S69" i="4"/>
  <c r="Q69" i="4"/>
  <c r="P69" i="4"/>
  <c r="L69" i="4"/>
  <c r="M69" i="4" s="1"/>
  <c r="N69" i="4" s="1"/>
  <c r="M68" i="4"/>
  <c r="N68" i="4" s="1"/>
  <c r="L68" i="4"/>
  <c r="L67" i="4"/>
  <c r="M67" i="4" s="1"/>
  <c r="N67" i="4" s="1"/>
  <c r="L72" i="3"/>
  <c r="M72" i="3" s="1"/>
  <c r="N72" i="3" s="1"/>
  <c r="S71" i="3"/>
  <c r="Q71" i="3"/>
  <c r="P71" i="3"/>
  <c r="L71" i="3"/>
  <c r="M71" i="3" s="1"/>
  <c r="N71" i="3" s="1"/>
  <c r="L70" i="3"/>
  <c r="M70" i="3" s="1"/>
  <c r="N70" i="3" s="1"/>
  <c r="L69" i="3"/>
  <c r="M69" i="3" s="1"/>
  <c r="N69" i="3" s="1"/>
  <c r="M68" i="3"/>
  <c r="N68" i="3" s="1"/>
  <c r="L68" i="3"/>
  <c r="P38" i="6"/>
  <c r="P27" i="6"/>
  <c r="P16" i="6"/>
  <c r="V48" i="5" l="1"/>
  <c r="W48" i="5" s="1"/>
  <c r="I68" i="5"/>
  <c r="I66" i="5"/>
  <c r="J66" i="5" s="1"/>
  <c r="V47" i="5"/>
  <c r="W47" i="5" s="1"/>
  <c r="V46" i="5"/>
  <c r="W46" i="5" s="1"/>
  <c r="V45" i="5"/>
  <c r="W45" i="5" s="1"/>
  <c r="V44" i="5"/>
  <c r="W44" i="5" s="1"/>
  <c r="I54" i="5"/>
  <c r="J54" i="5" s="1"/>
  <c r="I60" i="5"/>
  <c r="J60" i="5"/>
  <c r="J68" i="5"/>
  <c r="I67" i="5"/>
  <c r="J67" i="5" s="1"/>
  <c r="I62" i="5"/>
  <c r="J62" i="5" s="1"/>
  <c r="I61" i="5"/>
  <c r="J61" i="5" s="1"/>
  <c r="I56" i="5"/>
  <c r="J56" i="5" s="1"/>
  <c r="I55" i="5"/>
  <c r="J55" i="5" s="1"/>
  <c r="Q50" i="5"/>
  <c r="R50" i="5" s="1"/>
  <c r="Q49" i="5"/>
  <c r="R49" i="5" s="1"/>
  <c r="Q48" i="5"/>
  <c r="R48" i="5" s="1"/>
  <c r="Q47" i="5"/>
  <c r="R47" i="5" s="1"/>
  <c r="Q46" i="5"/>
  <c r="R46" i="5" s="1"/>
  <c r="Q45" i="5"/>
  <c r="R45" i="5" s="1"/>
  <c r="Q44" i="5"/>
  <c r="R44" i="5" s="1"/>
  <c r="E68" i="5"/>
  <c r="H60" i="5" l="1"/>
  <c r="H61" i="5"/>
  <c r="H62" i="5"/>
  <c r="H55" i="5"/>
  <c r="H54" i="5"/>
  <c r="H56" i="5"/>
  <c r="I50" i="5" l="1"/>
  <c r="J50" i="5" s="1"/>
  <c r="I49" i="5"/>
  <c r="J49" i="5" s="1"/>
  <c r="I48" i="5"/>
  <c r="J48" i="5" s="1"/>
  <c r="I40" i="5"/>
  <c r="J40" i="5" s="1"/>
  <c r="I42" i="5"/>
  <c r="J42" i="5" s="1"/>
  <c r="I41" i="5"/>
  <c r="J41" i="5" s="1"/>
  <c r="V33" i="5"/>
  <c r="T38" i="5" s="1"/>
  <c r="V34" i="5"/>
  <c r="T39" i="5" s="1"/>
  <c r="V32" i="5"/>
  <c r="T37" i="5" s="1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4" i="5"/>
  <c r="J34" i="5" s="1"/>
  <c r="I33" i="5"/>
  <c r="J33" i="5" s="1"/>
  <c r="I32" i="5"/>
  <c r="J32" i="5" s="1"/>
  <c r="I31" i="5"/>
  <c r="J31" i="5" s="1"/>
  <c r="I30" i="5"/>
  <c r="J30" i="5" s="1"/>
  <c r="AB11" i="4"/>
  <c r="AC11" i="4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3" i="5"/>
  <c r="J23" i="5" s="1"/>
  <c r="I22" i="5"/>
  <c r="J22" i="5" s="1"/>
  <c r="I21" i="5"/>
  <c r="J21" i="5" s="1"/>
  <c r="I20" i="5"/>
  <c r="J20" i="5" s="1"/>
  <c r="I19" i="5"/>
  <c r="J19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<sst xmlns="http://schemas.openxmlformats.org/spreadsheetml/2006/main" count="638" uniqueCount="67">
  <si>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</si>
  <si>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</si>
  <si>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</si>
  <si>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</si>
  <si>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</si>
  <si>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</si>
  <si>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</si>
  <si>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</si>
  <si>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</si>
  <si>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</si>
  <si>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</si>
  <si>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</si>
  <si>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</si>
  <si>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</si>
  <si>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</si>
  <si>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</si>
  <si>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</si>
  <si>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</si>
  <si>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</si>
  <si>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</si>
  <si>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</si>
  <si>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</si>
  <si>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</si>
  <si>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</si>
  <si>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</si>
  <si>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</si>
  <si>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</si>
  <si>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</si>
  <si>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</si>
  <si>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</si>
  <si>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</si>
  <si>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</si>
  <si>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</si>
  <si>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</si>
  <si>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</si>
  <si>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</si>
  <si>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</si>
  <si>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</si>
  <si>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</si>
  <si>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</si>
  <si>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</si>
  <si>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</si>
  <si>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</si>
  <si>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</si>
  <si>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</si>
  <si>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</si>
  <si>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</si>
  <si>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</si>
  <si>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</si>
  <si>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</si>
  <si>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</si>
  <si>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</si>
  <si>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</si>
  <si>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</si>
  <si>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</si>
  <si>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</si>
  <si>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</si>
  <si>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</si>
  <si>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</si>
  <si>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</si>
  <si>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</si>
  <si>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</si>
  <si>
    <t>TE</t>
  </si>
  <si>
    <t>LiCl-KCl Eutectic</t>
  </si>
  <si>
    <t>Heat Capacity Slopes</t>
  </si>
  <si>
    <t>Cp</t>
  </si>
  <si>
    <t>Cp (J/mol-K)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</si>
</sst>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164" fontId="0" fillId="0" borderId="0" xfId="0" applyNumberForma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'44.32.24'!$W$12:$W$17</c:f>
              <c:numCache>
                <c:formatCode>General</c:formatCode>
                <c:ptCount val="6"/>
                <c:pt idx="0">
                  <c:v>5916.0569514349218</c:v>
                </c:pt>
                <c:pt idx="1">
                  <c:v>6019.4963105301313</c:v>
                </c:pt>
                <c:pt idx="2">
                  <c:v>6176.5337130656571</c:v>
                </c:pt>
                <c:pt idx="3">
                  <c:v>6358.3744844687963</c:v>
                </c:pt>
                <c:pt idx="4">
                  <c:v>6557.8387862421878</c:v>
                </c:pt>
                <c:pt idx="5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'44.32.24'!$AC$12:$AC$17</c:f>
              <c:numCache>
                <c:formatCode>General</c:formatCode>
                <c:ptCount val="6"/>
                <c:pt idx="0">
                  <c:v>-394.95788942134192</c:v>
                </c:pt>
                <c:pt idx="1">
                  <c:v>-388.69861513535147</c:v>
                </c:pt>
                <c:pt idx="2">
                  <c:v>-382.12466178663567</c:v>
                </c:pt>
                <c:pt idx="3">
                  <c:v>-374.0610263861966</c:v>
                </c:pt>
                <c:pt idx="4">
                  <c:v>-367.71359038722659</c:v>
                </c:pt>
                <c:pt idx="5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Summary!$C$19:$C$23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Summary!$E$19:$E$23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Summary!$C$30:$C$34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Summary!$E$30:$E$34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Summary!$C$66:$C$70</c:f>
              <c:numCache>
                <c:formatCode>General</c:formatCode>
                <c:ptCount val="5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Summary!$J$66:$J$70</c:f>
              <c:numCache>
                <c:formatCode>General</c:formatCode>
                <c:ptCount val="5"/>
                <c:pt idx="0">
                  <c:v>-112.95344509775998</c:v>
                </c:pt>
                <c:pt idx="1">
                  <c:v>-106.20383045286911</c:v>
                </c:pt>
                <c:pt idx="2">
                  <c:v>-100.03556519565583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Summary!$C$19:$C$23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Summary!$F$19:$F$23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Summary!$C$30:$C$34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Summary!$F$30:$F$34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Summary!$C$54:$C$56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Summary!$F$54:$F$56</c:f>
              <c:numCache>
                <c:formatCode>General</c:formatCode>
                <c:ptCount val="3"/>
                <c:pt idx="0">
                  <c:v>1.4176266298205369</c:v>
                </c:pt>
                <c:pt idx="1">
                  <c:v>1.3839090143711799</c:v>
                </c:pt>
                <c:pt idx="2">
                  <c:v>1.3502532502081568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2-9B40-A145-901E6DCAF1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Summary!$C$60:$C$62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Summary!$F$60:$F$62</c:f>
              <c:numCache>
                <c:formatCode>General</c:formatCode>
                <c:ptCount val="3"/>
                <c:pt idx="0">
                  <c:v>1.5081678694565137</c:v>
                </c:pt>
                <c:pt idx="1">
                  <c:v>1.4745331657501464</c:v>
                </c:pt>
                <c:pt idx="2">
                  <c:v>1.4413298591066881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2-9B40-A145-901E6DCAF1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Summary!$C$66:$C$68</c:f>
              <c:numCache>
                <c:formatCode>General</c:formatCode>
                <c:ptCount val="3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Summary!$F$66:$F$68</c:f>
              <c:numCache>
                <c:formatCode>General</c:formatCode>
                <c:ptCount val="3"/>
                <c:pt idx="0">
                  <c:v>1.5403392679948031</c:v>
                </c:pt>
                <c:pt idx="1">
                  <c:v>1.4879562134824009</c:v>
                </c:pt>
                <c:pt idx="2">
                  <c:v>1.4322491984414667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2-9B40-A145-901E6D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42335"/>
        <c:axId val="1377307279"/>
      </c:scatterChart>
      <c:valAx>
        <c:axId val="13728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7279"/>
        <c:crosses val="autoZero"/>
        <c:crossBetween val="midCat"/>
      </c:valAx>
      <c:valAx>
        <c:axId val="13773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Summary!$U$44:$U$48</c:f>
              <c:numCache>
                <c:formatCode>General</c:formatCode>
                <c:ptCount val="5"/>
                <c:pt idx="0">
                  <c:v>0.41</c:v>
                </c:pt>
                <c:pt idx="1">
                  <c:v>0.24</c:v>
                </c:pt>
                <c:pt idx="2">
                  <c:v>0.15</c:v>
                </c:pt>
                <c:pt idx="3">
                  <c:v>0</c:v>
                </c:pt>
                <c:pt idx="4">
                  <c:v>1</c:v>
                </c:pt>
              </c:numCache>
            </c:numRef>
          </c:xVal>
          <c:yVal>
            <c:numRef>
              <c:f>Summary!$V$44:$V$48</c:f>
              <c:numCache>
                <c:formatCode>General</c:formatCode>
                <c:ptCount val="5"/>
                <c:pt idx="0">
                  <c:v>7.0599999999999996E-2</c:v>
                </c:pt>
                <c:pt idx="1">
                  <c:v>6.9400000000000003E-2</c:v>
                </c:pt>
                <c:pt idx="2">
                  <c:v>6.3299999999999995E-2</c:v>
                </c:pt>
                <c:pt idx="3">
                  <c:v>6.7299999999999999E-2</c:v>
                </c:pt>
                <c:pt idx="4">
                  <c:v>4.3099999999999999E-2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5342-9577-52AD80ADB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26815"/>
        <c:axId val="1296835967"/>
      </c:scatterChart>
      <c:valAx>
        <c:axId val="153192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5967"/>
        <c:crosses val="autoZero"/>
        <c:crossBetween val="midCat"/>
      </c:valAx>
      <c:valAx>
        <c:axId val="129683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51</xdr:row>
      <xdr:rowOff>171450</xdr:rowOff>
    </xdr:from>
    <xdr:to>
      <xdr:col>17</xdr:col>
      <xdr:colOff>177800</xdr:colOff>
      <xdr:row>67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10F6DD-C35F-EC20-B16B-24A9A5E7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749300</xdr:colOff>
      <xdr:row>48</xdr:row>
      <xdr:rowOff>107950</xdr:rowOff>
    </xdr:from>
    <xdr:to>
      <xdr:col>24</xdr:col>
      <xdr:colOff>368300</xdr:colOff>
      <xdr:row>62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4BD02-7E54-D6C3-B15F-E83F797B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D1" workbookViewId="0">
      <selection activeCell="G19" sqref="G1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50" workbookViewId="0">
      <selection activeCell="O71" sqref="O71:S71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LINEST(K68:K72,M68:M72^{1,2})</f>
        <v>7.3219060812253629E-6</v>
      </c>
      <c r="Q5">
        <v>-9.7961554243807467E-2</v>
      </c>
      <c r="R5">
        <v>323.28139910829242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7463.1851690011599</v>
      </c>
      <c r="R6">
        <f>(-Q5-SQRT(Q5^2-4*P5*R5))/(2*P5)</f>
        <v>5916.0569514349218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LINEST(K68:K72,I68:I72^{1,2})</f>
        <v>8.2039806160061485E-2</v>
      </c>
      <c r="Q9">
        <v>65.585007493120202</v>
      </c>
      <c r="R9">
        <v>13093.041965147091</v>
      </c>
    </row>
    <row r="10" spans="1:29" x14ac:dyDescent="0.2">
      <c r="B10" t="s">
        <v>12</v>
      </c>
      <c r="P10" t="s">
        <v>34</v>
      </c>
      <c r="Q10">
        <f>(-Q9+SQRT(Q9^2-4*P9*R9))/(2*P9)</f>
        <v>-386.37486949145233</v>
      </c>
      <c r="R10">
        <f>(-Q9-SQRT(Q9^2-4*P9*R9))/(2*P9)</f>
        <v>-413.05421942134194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  <c r="V12">
        <v>700</v>
      </c>
      <c r="W12">
        <v>5916.0569514349218</v>
      </c>
      <c r="X12">
        <f>W12^(1/3)</f>
        <v>18.086066167805207</v>
      </c>
      <c r="Y12">
        <f>$L$5/(W12*(10^-24))</f>
        <v>1.5881076529733522</v>
      </c>
      <c r="Z12">
        <v>-413.05421942134194</v>
      </c>
      <c r="AA12">
        <f>Z12/Z14</f>
        <v>1.0189023451607633</v>
      </c>
      <c r="AB12">
        <f t="shared" ref="AB12:AB17" si="0">(3/2)*V12*(0.000086173)*200</f>
        <v>18.096329999999998</v>
      </c>
      <c r="AC12">
        <f t="shared" ref="AC12:AC17" si="1">AB12+Z12</f>
        <v>-394.95788942134192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 t="shared" si="0"/>
        <v>20.681519999999999</v>
      </c>
      <c r="AC13">
        <f t="shared" si="1"/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2">$L$9*H14</f>
        <v>17.811646464000003</v>
      </c>
      <c r="M14">
        <f t="shared" ref="M14:M19" si="3">L14^3</f>
        <v>5650.8294417236166</v>
      </c>
      <c r="N14">
        <f t="shared" ref="N14:N19" si="4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 t="shared" si="0"/>
        <v>23.266710000000003</v>
      </c>
      <c r="AC14">
        <f t="shared" si="1"/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2"/>
        <v>17.997184448000002</v>
      </c>
      <c r="M15">
        <f t="shared" si="3"/>
        <v>5829.2637115096677</v>
      </c>
      <c r="N15">
        <f t="shared" si="4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 t="shared" si="0"/>
        <v>25.851900000000001</v>
      </c>
      <c r="AC15">
        <f t="shared" si="1"/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3"/>
        <v>6011.4152288532778</v>
      </c>
      <c r="N16">
        <f t="shared" si="4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si="0"/>
        <v>28.437090000000005</v>
      </c>
      <c r="AC16">
        <f t="shared" si="1"/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3"/>
        <v>6197.3223158942128</v>
      </c>
      <c r="N17">
        <f t="shared" si="4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 t="shared" si="0"/>
        <v>31.022280000000002</v>
      </c>
      <c r="AC17">
        <f t="shared" si="1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2"/>
        <v>18.553798400000002</v>
      </c>
      <c r="M18">
        <f t="shared" si="3"/>
        <v>6387.0232947722425</v>
      </c>
      <c r="N18">
        <f t="shared" si="4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2"/>
        <v>19.295950336000001</v>
      </c>
      <c r="M19">
        <f t="shared" si="3"/>
        <v>7184.5325714506835</v>
      </c>
      <c r="N19">
        <f t="shared" si="4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5">L24^3</f>
        <v>5650.8294417236166</v>
      </c>
      <c r="N24">
        <f t="shared" ref="N24:N31" si="6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6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7">$L$9*H26</f>
        <v>18.182722432000002</v>
      </c>
      <c r="M26">
        <f t="shared" si="5"/>
        <v>6011.4152288532778</v>
      </c>
      <c r="N26">
        <f t="shared" si="6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7"/>
        <v>18.368260416000002</v>
      </c>
      <c r="M27">
        <f t="shared" si="5"/>
        <v>6197.3223158942128</v>
      </c>
      <c r="N27">
        <f t="shared" si="6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7"/>
        <v>18.553798400000002</v>
      </c>
      <c r="M28">
        <f t="shared" si="5"/>
        <v>6387.0232947722425</v>
      </c>
      <c r="N28">
        <f t="shared" si="6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7"/>
        <v>18.739336384000001</v>
      </c>
      <c r="M29">
        <f t="shared" si="5"/>
        <v>6580.5564876271364</v>
      </c>
      <c r="N29">
        <f t="shared" si="6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7"/>
        <v>18.924874368000001</v>
      </c>
      <c r="M30">
        <f t="shared" si="5"/>
        <v>6777.9602165986616</v>
      </c>
      <c r="N30">
        <f t="shared" si="6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7"/>
        <v>19.295950336000001</v>
      </c>
      <c r="M31">
        <f t="shared" si="5"/>
        <v>7184.5325714506835</v>
      </c>
      <c r="N31">
        <f t="shared" si="6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8">L36^3</f>
        <v>5650.8294417236166</v>
      </c>
      <c r="N36">
        <f t="shared" ref="N36:N43" si="9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9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0">$L$9*H38</f>
        <v>18.368260416000002</v>
      </c>
      <c r="M38">
        <f t="shared" si="8"/>
        <v>6197.3223158942128</v>
      </c>
      <c r="N38">
        <f t="shared" si="9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0"/>
        <v>18.553798400000002</v>
      </c>
      <c r="M39">
        <f t="shared" si="8"/>
        <v>6387.0232947722425</v>
      </c>
      <c r="N39">
        <f t="shared" si="9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0"/>
        <v>18.739336384000001</v>
      </c>
      <c r="M40">
        <f t="shared" si="8"/>
        <v>6580.5564876271364</v>
      </c>
      <c r="N40">
        <f t="shared" si="9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0"/>
        <v>18.924874368000001</v>
      </c>
      <c r="M41">
        <f t="shared" si="8"/>
        <v>6777.9602165986616</v>
      </c>
      <c r="N41">
        <f t="shared" si="9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0"/>
        <v>19.110412352000001</v>
      </c>
      <c r="M42">
        <f t="shared" si="8"/>
        <v>6979.2728038265886</v>
      </c>
      <c r="N42">
        <f t="shared" si="9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0"/>
        <v>19.295950336000001</v>
      </c>
      <c r="M43">
        <f>L43^3</f>
        <v>7184.5325714506835</v>
      </c>
      <c r="N43">
        <f t="shared" si="9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11">$L$9*H48</f>
        <v>17.626108479999999</v>
      </c>
      <c r="M48">
        <f t="shared" ref="M48:M53" si="12">L48^3</f>
        <v>5476.0740973553493</v>
      </c>
      <c r="N48">
        <f t="shared" ref="N48:N53" si="13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11"/>
        <v>17.811646464000003</v>
      </c>
      <c r="M49">
        <f t="shared" si="12"/>
        <v>5650.8294417236166</v>
      </c>
      <c r="N49">
        <f t="shared" si="13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1"/>
        <v>17.997184448000002</v>
      </c>
      <c r="M50">
        <f t="shared" si="12"/>
        <v>5829.2637115096677</v>
      </c>
      <c r="N50">
        <f t="shared" si="13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1"/>
        <v>18.182722432000002</v>
      </c>
      <c r="M51">
        <f t="shared" si="12"/>
        <v>6011.4152288532778</v>
      </c>
      <c r="N51">
        <f t="shared" si="13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1"/>
        <v>18.368260416000002</v>
      </c>
      <c r="M52">
        <f t="shared" si="12"/>
        <v>6197.3223158942128</v>
      </c>
      <c r="N52">
        <f t="shared" si="13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1"/>
        <v>18.553798400000002</v>
      </c>
      <c r="M53">
        <f t="shared" si="12"/>
        <v>6387.0232947722425</v>
      </c>
      <c r="N53">
        <f t="shared" si="13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4">$L$9*H58</f>
        <v>17.440570495999999</v>
      </c>
      <c r="M58">
        <f t="shared" ref="M58:M63" si="15">L58^3</f>
        <v>5304.9593562651062</v>
      </c>
      <c r="N58">
        <f t="shared" ref="N58:N63" si="16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4"/>
        <v>17.626108479999999</v>
      </c>
      <c r="M59">
        <f t="shared" si="15"/>
        <v>5476.0740973553493</v>
      </c>
      <c r="N59">
        <f t="shared" si="16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4"/>
        <v>17.811646464000003</v>
      </c>
      <c r="M60">
        <f t="shared" si="15"/>
        <v>5650.8294417236166</v>
      </c>
      <c r="N60">
        <f t="shared" si="16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4"/>
        <v>17.997184448000002</v>
      </c>
      <c r="M61">
        <f t="shared" si="15"/>
        <v>5829.2637115096677</v>
      </c>
      <c r="N61">
        <f t="shared" si="16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4"/>
        <v>18.182722432000002</v>
      </c>
      <c r="M62">
        <f t="shared" si="15"/>
        <v>6011.4152288532778</v>
      </c>
      <c r="N62">
        <f t="shared" si="16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4"/>
        <v>18.368260416000002</v>
      </c>
      <c r="M63">
        <f t="shared" si="15"/>
        <v>6197.3223158942128</v>
      </c>
      <c r="N63">
        <f t="shared" si="16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19" x14ac:dyDescent="0.2">
      <c r="A65">
        <v>52</v>
      </c>
      <c r="B65" s="1">
        <v>-385.13546000000002</v>
      </c>
      <c r="C65">
        <v>4.68</v>
      </c>
      <c r="H65">
        <v>700</v>
      </c>
    </row>
    <row r="66" spans="1:19" x14ac:dyDescent="0.2">
      <c r="A66">
        <v>53</v>
      </c>
      <c r="B66" s="1">
        <v>-385.27821999999998</v>
      </c>
      <c r="C66">
        <v>4.46</v>
      </c>
    </row>
    <row r="67" spans="1:19" x14ac:dyDescent="0.2">
      <c r="A67">
        <v>54</v>
      </c>
      <c r="B67" s="1">
        <v>-385.49423000000002</v>
      </c>
      <c r="C67">
        <v>4.38</v>
      </c>
      <c r="I67" t="s">
        <v>13</v>
      </c>
      <c r="J67" t="s">
        <v>15</v>
      </c>
      <c r="K67" t="s">
        <v>16</v>
      </c>
      <c r="L67" t="s">
        <v>17</v>
      </c>
      <c r="M67" t="s">
        <v>18</v>
      </c>
      <c r="N67" t="s">
        <v>19</v>
      </c>
      <c r="O67" t="s">
        <v>20</v>
      </c>
      <c r="P67" t="s">
        <v>17</v>
      </c>
      <c r="Q67" t="s">
        <v>19</v>
      </c>
      <c r="R67" t="s">
        <v>21</v>
      </c>
      <c r="S67" t="s">
        <v>22</v>
      </c>
    </row>
    <row r="68" spans="1:19" x14ac:dyDescent="0.2">
      <c r="A68">
        <v>55</v>
      </c>
      <c r="B68" s="1">
        <v>-385.75569999999999</v>
      </c>
      <c r="C68">
        <v>4.3600000000000003</v>
      </c>
      <c r="H68">
        <v>0.94</v>
      </c>
      <c r="I68">
        <v>-416.91636136444498</v>
      </c>
      <c r="J68">
        <v>18.057324000000001</v>
      </c>
      <c r="K68">
        <v>9.5380466666666699</v>
      </c>
      <c r="L68">
        <f t="shared" ref="L68:L72" si="17">$L$9*H68</f>
        <v>17.440570495999999</v>
      </c>
      <c r="M68">
        <f t="shared" ref="M68:M72" si="18">L68^3</f>
        <v>5304.9593562651062</v>
      </c>
      <c r="N68">
        <f t="shared" ref="N68:N72" si="19">$L$5/M68/(1E-24)</f>
        <v>1.7710475592813351</v>
      </c>
    </row>
    <row r="69" spans="1:19" x14ac:dyDescent="0.2">
      <c r="A69">
        <v>56</v>
      </c>
      <c r="B69" s="1">
        <v>-386.04521</v>
      </c>
      <c r="C69">
        <v>4.26</v>
      </c>
      <c r="H69">
        <v>0.95</v>
      </c>
      <c r="I69">
        <v>-415.70642831777798</v>
      </c>
      <c r="J69">
        <v>18.171710666666701</v>
      </c>
      <c r="K69">
        <v>6.6397555555555599</v>
      </c>
      <c r="L69">
        <f t="shared" si="17"/>
        <v>17.626108479999999</v>
      </c>
      <c r="M69">
        <f t="shared" si="18"/>
        <v>5476.0740973553493</v>
      </c>
      <c r="N69">
        <f t="shared" si="19"/>
        <v>1.7157063898272384</v>
      </c>
    </row>
    <row r="70" spans="1:19" x14ac:dyDescent="0.2">
      <c r="A70">
        <v>57</v>
      </c>
      <c r="B70" s="1">
        <v>-386.32670000000002</v>
      </c>
      <c r="C70">
        <v>4.07</v>
      </c>
      <c r="H70">
        <v>0.96</v>
      </c>
      <c r="I70">
        <v>-414.49028454888901</v>
      </c>
      <c r="J70">
        <v>18.321934444444501</v>
      </c>
      <c r="K70">
        <v>3.5028311111111101</v>
      </c>
      <c r="L70">
        <f t="shared" si="17"/>
        <v>17.811646464000003</v>
      </c>
      <c r="M70">
        <f t="shared" si="18"/>
        <v>5650.8294417236166</v>
      </c>
      <c r="N70">
        <f t="shared" si="19"/>
        <v>1.6626471240891381</v>
      </c>
    </row>
    <row r="71" spans="1:19" x14ac:dyDescent="0.2">
      <c r="A71">
        <v>58</v>
      </c>
      <c r="B71" s="1">
        <v>-386.55347999999998</v>
      </c>
      <c r="C71">
        <v>4.1100000000000003</v>
      </c>
      <c r="H71">
        <v>0.97</v>
      </c>
      <c r="I71">
        <v>-413.65676411555501</v>
      </c>
      <c r="J71">
        <v>18.145422</v>
      </c>
      <c r="K71">
        <v>0.83164000000000105</v>
      </c>
      <c r="L71">
        <f t="shared" si="17"/>
        <v>17.997184448000002</v>
      </c>
      <c r="M71">
        <f t="shared" si="18"/>
        <v>5829.2637115096677</v>
      </c>
      <c r="N71">
        <f t="shared" si="19"/>
        <v>1.6117533508475959</v>
      </c>
      <c r="O71">
        <v>5916.0569514349218</v>
      </c>
      <c r="P71">
        <f>O71^(1/3)</f>
        <v>18.086066167805207</v>
      </c>
      <c r="Q71">
        <f>$L$5/(O71*(10^-24))</f>
        <v>1.5881076529733522</v>
      </c>
      <c r="R71">
        <v>-413.05421942134194</v>
      </c>
      <c r="S71">
        <f>R71/R73</f>
        <v>-4.1305421942134197</v>
      </c>
    </row>
    <row r="72" spans="1:19" x14ac:dyDescent="0.2">
      <c r="A72">
        <v>59</v>
      </c>
      <c r="B72" s="1">
        <v>-386.64524999999998</v>
      </c>
      <c r="C72">
        <v>4.2699999999999996</v>
      </c>
      <c r="H72">
        <v>0.98</v>
      </c>
      <c r="I72">
        <v>-412.53339621333299</v>
      </c>
      <c r="J72">
        <v>18.281121333333299</v>
      </c>
      <c r="K72">
        <v>-0.90975111111111195</v>
      </c>
      <c r="L72">
        <f t="shared" si="17"/>
        <v>18.182722432000002</v>
      </c>
      <c r="M72">
        <f t="shared" si="18"/>
        <v>6011.4152288532778</v>
      </c>
      <c r="N72">
        <f t="shared" si="19"/>
        <v>1.5629157132424922</v>
      </c>
    </row>
    <row r="73" spans="1:19" x14ac:dyDescent="0.2">
      <c r="A73">
        <v>60</v>
      </c>
      <c r="B73" s="1">
        <v>-386.62722000000002</v>
      </c>
      <c r="C73">
        <v>4.62</v>
      </c>
      <c r="Q73" t="s">
        <v>37</v>
      </c>
      <c r="R73">
        <v>100</v>
      </c>
    </row>
    <row r="74" spans="1:19" x14ac:dyDescent="0.2">
      <c r="A74">
        <v>61</v>
      </c>
      <c r="B74" s="1">
        <v>-386.52071999999998</v>
      </c>
      <c r="C74">
        <v>5.03</v>
      </c>
    </row>
    <row r="75" spans="1:19" x14ac:dyDescent="0.2">
      <c r="A75">
        <v>62</v>
      </c>
      <c r="B75" s="1">
        <v>-386.32990999999998</v>
      </c>
      <c r="C75">
        <v>5.28</v>
      </c>
    </row>
    <row r="76" spans="1:19" x14ac:dyDescent="0.2">
      <c r="A76">
        <v>63</v>
      </c>
      <c r="B76" s="1">
        <v>-386.11622</v>
      </c>
      <c r="C76">
        <v>5.57</v>
      </c>
    </row>
    <row r="77" spans="1:19" x14ac:dyDescent="0.2">
      <c r="A77">
        <v>64</v>
      </c>
      <c r="B77" s="1">
        <v>-385.89852000000002</v>
      </c>
      <c r="C77">
        <v>5.83</v>
      </c>
    </row>
    <row r="78" spans="1:19" x14ac:dyDescent="0.2">
      <c r="A78">
        <v>65</v>
      </c>
      <c r="B78" s="1">
        <v>-385.76749999999998</v>
      </c>
      <c r="C78">
        <v>5.88</v>
      </c>
    </row>
    <row r="79" spans="1:19" x14ac:dyDescent="0.2">
      <c r="A79">
        <v>66</v>
      </c>
      <c r="B79" s="1">
        <v>-385.76080999999999</v>
      </c>
      <c r="C79">
        <v>6.11</v>
      </c>
    </row>
    <row r="80" spans="1:19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G42" workbookViewId="0">
      <selection activeCell="O69" sqref="O69:S6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LINEST(K67:K72,M67:M72^{1,2})</f>
        <v>1.4858915633010878E-5</v>
      </c>
      <c r="Q5">
        <v>-0.18372604771791126</v>
      </c>
      <c r="R5">
        <v>566.89634443374916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6446.0260146929713</v>
      </c>
      <c r="R6">
        <f>(-Q5-SQRT(Q5^2-4*P5*R5))/(2*P5)</f>
        <v>5918.6748999378124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LINEST(K67:K72,I67:I72^{1,2})</f>
        <v>1.4243421211233944</v>
      </c>
      <c r="Q9">
        <v>1215.0209107795179</v>
      </c>
      <c r="R9">
        <v>259114.53439120468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-425.74842856774598</v>
      </c>
      <c r="R10">
        <f>(-Q9-SQRT(Q9^2-4*P9*R9))/(2*P9)</f>
        <v>-427.29164709976106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  <c r="H64">
        <v>700</v>
      </c>
    </row>
    <row r="65" spans="1:19" x14ac:dyDescent="0.2">
      <c r="A65">
        <v>52</v>
      </c>
      <c r="B65" s="1">
        <v>-397.1823</v>
      </c>
      <c r="C65">
        <v>5.42</v>
      </c>
    </row>
    <row r="66" spans="1:19" x14ac:dyDescent="0.2">
      <c r="A66">
        <v>53</v>
      </c>
      <c r="B66" s="1">
        <v>-397.06781000000001</v>
      </c>
      <c r="C66">
        <v>5.47</v>
      </c>
      <c r="I66" t="s">
        <v>13</v>
      </c>
      <c r="J66" t="s">
        <v>15</v>
      </c>
      <c r="K66" t="s">
        <v>16</v>
      </c>
      <c r="L66" t="s">
        <v>17</v>
      </c>
      <c r="M66" t="s">
        <v>18</v>
      </c>
      <c r="N66" t="s">
        <v>19</v>
      </c>
      <c r="O66" t="s">
        <v>20</v>
      </c>
      <c r="P66" t="s">
        <v>17</v>
      </c>
      <c r="Q66" t="s">
        <v>19</v>
      </c>
      <c r="R66" t="s">
        <v>21</v>
      </c>
      <c r="S66" t="s">
        <v>22</v>
      </c>
    </row>
    <row r="67" spans="1:19" x14ac:dyDescent="0.2">
      <c r="A67">
        <v>54</v>
      </c>
      <c r="B67" s="1">
        <v>-396.94950999999998</v>
      </c>
      <c r="C67">
        <v>5.63</v>
      </c>
      <c r="H67">
        <v>0.93</v>
      </c>
      <c r="I67">
        <v>-429.394246786667</v>
      </c>
      <c r="J67">
        <v>18.083665111111099</v>
      </c>
      <c r="K67">
        <v>15.325564444444501</v>
      </c>
      <c r="L67">
        <f>$L$9*H67</f>
        <v>17.255032512000003</v>
      </c>
      <c r="M67">
        <f t="shared" ref="M67:M72" si="15">L67^3</f>
        <v>5137.4468963131185</v>
      </c>
      <c r="N67">
        <f>$L$5/M67/(1E-24)</f>
        <v>1.8236230698021392</v>
      </c>
    </row>
    <row r="68" spans="1:19" x14ac:dyDescent="0.2">
      <c r="A68">
        <v>55</v>
      </c>
      <c r="B68" s="1">
        <v>-396.78928999999999</v>
      </c>
      <c r="C68">
        <v>5.62</v>
      </c>
      <c r="H68">
        <v>0.94</v>
      </c>
      <c r="I68">
        <v>-429.44705398222197</v>
      </c>
      <c r="J68">
        <v>18.087517777777801</v>
      </c>
      <c r="K68">
        <v>10.1216622222223</v>
      </c>
      <c r="L68">
        <f t="shared" ref="L68:L72" si="16">$L$9*H68</f>
        <v>17.440570495999999</v>
      </c>
      <c r="M68">
        <f t="shared" si="15"/>
        <v>5304.9593562651062</v>
      </c>
      <c r="N68">
        <f t="shared" ref="N68:N72" si="17">$L$5/M68/(1E-24)</f>
        <v>1.7660392947093133</v>
      </c>
    </row>
    <row r="69" spans="1:19" x14ac:dyDescent="0.2">
      <c r="A69">
        <v>56</v>
      </c>
      <c r="B69" s="1">
        <v>-396.59028000000001</v>
      </c>
      <c r="C69">
        <v>5.8</v>
      </c>
      <c r="H69">
        <v>0.95</v>
      </c>
      <c r="I69">
        <v>-429.28274754</v>
      </c>
      <c r="J69">
        <v>17.879457777777802</v>
      </c>
      <c r="K69">
        <v>6.4684533333333301</v>
      </c>
      <c r="L69">
        <f t="shared" si="16"/>
        <v>17.626108479999999</v>
      </c>
      <c r="M69">
        <f t="shared" si="15"/>
        <v>5476.0740973553493</v>
      </c>
      <c r="N69">
        <f t="shared" si="17"/>
        <v>1.7108546220228493</v>
      </c>
      <c r="O69">
        <v>5918.6748999378124</v>
      </c>
      <c r="P69">
        <f>O69^(1/3)</f>
        <v>18.088733564226839</v>
      </c>
      <c r="Q69">
        <f>$L$5/(O69*(10^-24))</f>
        <v>1.5829162504090968</v>
      </c>
      <c r="R69">
        <v>-427.29164709976106</v>
      </c>
      <c r="S69">
        <f>R69/R71</f>
        <v>-4.2729164709976111</v>
      </c>
    </row>
    <row r="70" spans="1:19" x14ac:dyDescent="0.2">
      <c r="A70">
        <v>57</v>
      </c>
      <c r="B70" s="1">
        <v>-396.42390999999998</v>
      </c>
      <c r="C70">
        <v>6.13</v>
      </c>
      <c r="H70">
        <v>0.96</v>
      </c>
      <c r="I70">
        <v>-428.05329709111101</v>
      </c>
      <c r="J70">
        <v>18.0788915555556</v>
      </c>
      <c r="K70">
        <v>3.2645200000000001</v>
      </c>
      <c r="L70">
        <f t="shared" si="16"/>
        <v>17.811646464000003</v>
      </c>
      <c r="M70">
        <f t="shared" si="15"/>
        <v>5650.8294417236166</v>
      </c>
      <c r="N70">
        <f t="shared" si="17"/>
        <v>1.6579454001609963</v>
      </c>
    </row>
    <row r="71" spans="1:19" x14ac:dyDescent="0.2">
      <c r="A71">
        <v>58</v>
      </c>
      <c r="B71" s="1">
        <v>-396.23595</v>
      </c>
      <c r="C71">
        <v>6.26</v>
      </c>
      <c r="H71">
        <v>0.97</v>
      </c>
      <c r="I71">
        <v>-427.70852254888899</v>
      </c>
      <c r="J71">
        <v>18.225936888888899</v>
      </c>
      <c r="K71">
        <v>0.81075999999999804</v>
      </c>
      <c r="L71">
        <f t="shared" si="16"/>
        <v>17.997184448000002</v>
      </c>
      <c r="M71">
        <f t="shared" si="15"/>
        <v>5829.2637115096677</v>
      </c>
      <c r="N71">
        <f t="shared" si="17"/>
        <v>1.6071955470982919</v>
      </c>
      <c r="Q71" t="s">
        <v>37</v>
      </c>
      <c r="R71">
        <v>100</v>
      </c>
    </row>
    <row r="72" spans="1:19" x14ac:dyDescent="0.2">
      <c r="A72">
        <v>59</v>
      </c>
      <c r="B72" s="1">
        <v>-396.06157000000002</v>
      </c>
      <c r="C72">
        <v>6.58</v>
      </c>
      <c r="H72">
        <v>0.98</v>
      </c>
      <c r="I72">
        <v>-426.10365460666702</v>
      </c>
      <c r="J72">
        <v>17.796532444444399</v>
      </c>
      <c r="K72">
        <v>-0.63090444444444405</v>
      </c>
      <c r="L72">
        <f t="shared" si="16"/>
        <v>18.182722432000002</v>
      </c>
      <c r="M72">
        <f t="shared" si="15"/>
        <v>6011.4152288532778</v>
      </c>
      <c r="N72">
        <f t="shared" si="17"/>
        <v>1.5584960152198908</v>
      </c>
    </row>
    <row r="73" spans="1:19" x14ac:dyDescent="0.2">
      <c r="A73">
        <v>60</v>
      </c>
      <c r="B73" s="1">
        <v>-395.92809</v>
      </c>
      <c r="C73">
        <v>6.8</v>
      </c>
    </row>
    <row r="74" spans="1:19" x14ac:dyDescent="0.2">
      <c r="A74">
        <v>61</v>
      </c>
      <c r="B74" s="1">
        <v>-395.84616999999997</v>
      </c>
      <c r="C74">
        <v>6.88</v>
      </c>
    </row>
    <row r="75" spans="1:19" x14ac:dyDescent="0.2">
      <c r="A75">
        <v>62</v>
      </c>
      <c r="B75" s="1">
        <v>-395.87034999999997</v>
      </c>
      <c r="C75">
        <v>6.97</v>
      </c>
    </row>
    <row r="76" spans="1:19" x14ac:dyDescent="0.2">
      <c r="A76">
        <v>63</v>
      </c>
      <c r="B76" s="1">
        <v>-395.93387000000001</v>
      </c>
      <c r="C76">
        <v>7.02</v>
      </c>
    </row>
    <row r="77" spans="1:19" x14ac:dyDescent="0.2">
      <c r="A77">
        <v>64</v>
      </c>
      <c r="B77" s="1">
        <v>-396.05291999999997</v>
      </c>
      <c r="C77">
        <v>7.14</v>
      </c>
    </row>
    <row r="78" spans="1:19" x14ac:dyDescent="0.2">
      <c r="A78">
        <v>65</v>
      </c>
      <c r="B78" s="1">
        <v>-396.24502000000001</v>
      </c>
      <c r="C78">
        <v>7.18</v>
      </c>
    </row>
    <row r="79" spans="1:19" x14ac:dyDescent="0.2">
      <c r="A79">
        <v>66</v>
      </c>
      <c r="B79" s="1">
        <v>-396.43743999999998</v>
      </c>
      <c r="C79">
        <v>7.35</v>
      </c>
    </row>
    <row r="80" spans="1:19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F1" workbookViewId="0">
      <selection activeCell="E10" sqref="E10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P16" s="7">
        <f>P17/$L$9</f>
        <v>1.0420091222934531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P27" s="7">
        <f>P28/$L$9</f>
        <v>1.0510405081015741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P38" s="7">
        <f>P39/$L$9</f>
        <v>1.0629518844918397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topLeftCell="E23" workbookViewId="0">
      <selection activeCell="V25" sqref="V25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W68"/>
  <sheetViews>
    <sheetView tabSelected="1" workbookViewId="0">
      <selection activeCell="I29" sqref="I29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s="8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700</v>
      </c>
      <c r="D18">
        <v>5916.0569514349218</v>
      </c>
      <c r="E18">
        <v>18.086066167805207</v>
      </c>
      <c r="F18">
        <v>1.5881076529733522</v>
      </c>
      <c r="G18">
        <v>-413.05421942134194</v>
      </c>
      <c r="H18">
        <v>-4.1305421942134197</v>
      </c>
      <c r="I18">
        <f t="shared" ref="I18:I23" si="0">(3/2)*C18*(0.000086173)*200</f>
        <v>18.096329999999998</v>
      </c>
      <c r="J18">
        <f t="shared" ref="J18:J23" si="1">I18+G18</f>
        <v>-394.95788942134192</v>
      </c>
    </row>
    <row r="19" spans="3:22" x14ac:dyDescent="0.2">
      <c r="C19">
        <v>800</v>
      </c>
      <c r="D19">
        <v>6019.4963105301313</v>
      </c>
      <c r="E19">
        <v>18.19086639738844</v>
      </c>
      <c r="F19">
        <v>1.5608175228157188</v>
      </c>
      <c r="G19">
        <v>-409.38013513535145</v>
      </c>
      <c r="H19">
        <v>-4.0938013513535143</v>
      </c>
      <c r="I19">
        <f t="shared" si="0"/>
        <v>20.681519999999999</v>
      </c>
      <c r="J19">
        <f t="shared" si="1"/>
        <v>-388.69861513535147</v>
      </c>
    </row>
    <row r="20" spans="3:22" x14ac:dyDescent="0.2">
      <c r="C20">
        <v>900</v>
      </c>
      <c r="D20">
        <v>6176.5337130656571</v>
      </c>
      <c r="E20">
        <v>18.347698942596661</v>
      </c>
      <c r="F20">
        <v>1.52113398169031</v>
      </c>
      <c r="G20">
        <v>-405.39137178663566</v>
      </c>
      <c r="H20">
        <v>-4.0539137178663562</v>
      </c>
      <c r="I20">
        <f t="shared" si="0"/>
        <v>23.266710000000003</v>
      </c>
      <c r="J20">
        <f t="shared" si="1"/>
        <v>-382.12466178663567</v>
      </c>
    </row>
    <row r="21" spans="3:22" x14ac:dyDescent="0.2">
      <c r="C21">
        <v>1000</v>
      </c>
      <c r="D21">
        <v>6358.3744844687963</v>
      </c>
      <c r="E21">
        <v>18.526015975399279</v>
      </c>
      <c r="F21">
        <v>1.4776316404372527</v>
      </c>
      <c r="G21">
        <v>-399.9129263861966</v>
      </c>
      <c r="H21">
        <v>-3.999129263861966</v>
      </c>
      <c r="I21">
        <f t="shared" si="0"/>
        <v>25.851900000000001</v>
      </c>
      <c r="J21">
        <f t="shared" si="1"/>
        <v>-374.0610263861966</v>
      </c>
    </row>
    <row r="22" spans="3:22" x14ac:dyDescent="0.2">
      <c r="C22">
        <v>1100</v>
      </c>
      <c r="D22">
        <v>6557.8387862421878</v>
      </c>
      <c r="E22">
        <v>18.717747253391824</v>
      </c>
      <c r="F22">
        <v>1.432687753732319</v>
      </c>
      <c r="G22">
        <v>-396.1506803872266</v>
      </c>
      <c r="H22">
        <v>-3.9615068038722661</v>
      </c>
      <c r="I22">
        <f t="shared" si="0"/>
        <v>28.437090000000005</v>
      </c>
      <c r="J22">
        <f t="shared" si="1"/>
        <v>-367.71359038722659</v>
      </c>
      <c r="T22" t="s">
        <v>54</v>
      </c>
    </row>
    <row r="23" spans="3:22" x14ac:dyDescent="0.2">
      <c r="C23">
        <v>1200</v>
      </c>
      <c r="D23">
        <v>6704.6426647042599</v>
      </c>
      <c r="E23">
        <v>18.856389716940416</v>
      </c>
      <c r="F23">
        <v>1.4013178315170394</v>
      </c>
      <c r="G23">
        <v>-392.22342670788009</v>
      </c>
      <c r="H23">
        <v>-3.9222342670788009</v>
      </c>
      <c r="I23">
        <f t="shared" si="0"/>
        <v>31.022280000000002</v>
      </c>
      <c r="J23">
        <f t="shared" si="1"/>
        <v>-361.20114670788007</v>
      </c>
      <c r="S23" t="s">
        <v>47</v>
      </c>
      <c r="T23" t="s">
        <v>48</v>
      </c>
    </row>
    <row r="24" spans="3:22" x14ac:dyDescent="0.2">
      <c r="S24" s="3">
        <v>973</v>
      </c>
      <c r="T24" s="4">
        <v>1.5760000000000001</v>
      </c>
    </row>
    <row r="25" spans="3:22" x14ac:dyDescent="0.2">
      <c r="C25" t="s">
        <v>46</v>
      </c>
      <c r="S25" s="5">
        <v>1023</v>
      </c>
      <c r="T25" s="6">
        <v>1.5469999999999999</v>
      </c>
    </row>
    <row r="26" spans="3:22" x14ac:dyDescent="0.2">
      <c r="S26" s="3">
        <v>1023</v>
      </c>
      <c r="T26" s="4">
        <v>1.5489999999999999</v>
      </c>
    </row>
    <row r="27" spans="3:22" x14ac:dyDescent="0.2">
      <c r="D27" t="s">
        <v>20</v>
      </c>
      <c r="E27" t="s">
        <v>17</v>
      </c>
      <c r="F27" t="s">
        <v>19</v>
      </c>
      <c r="G27" t="s">
        <v>21</v>
      </c>
      <c r="H27" t="s">
        <v>22</v>
      </c>
      <c r="I27" t="s">
        <v>15</v>
      </c>
      <c r="J27" t="s">
        <v>42</v>
      </c>
      <c r="S27" s="5">
        <v>1073</v>
      </c>
      <c r="T27" s="6">
        <v>1.52</v>
      </c>
    </row>
    <row r="28" spans="3:22" x14ac:dyDescent="0.2">
      <c r="S28" s="3">
        <v>1023</v>
      </c>
      <c r="T28" s="4">
        <v>1.548</v>
      </c>
    </row>
    <row r="29" spans="3:22" x14ac:dyDescent="0.2">
      <c r="C29">
        <v>700</v>
      </c>
      <c r="D29">
        <v>5918.6748999378124</v>
      </c>
      <c r="E29">
        <v>18.088733564226839</v>
      </c>
      <c r="F29">
        <v>1.5829162504090968</v>
      </c>
      <c r="G29">
        <v>-427.29164709976106</v>
      </c>
      <c r="H29">
        <v>-4.2729164709976111</v>
      </c>
      <c r="I29">
        <f>(3/2)*C29*(0.000086173)*200</f>
        <v>18.096329999999998</v>
      </c>
      <c r="J29">
        <f t="shared" ref="J29:J34" si="2">I29+G29</f>
        <v>-409.19531709976104</v>
      </c>
      <c r="S29" s="5">
        <v>973</v>
      </c>
      <c r="T29" s="6">
        <v>1.575</v>
      </c>
    </row>
    <row r="30" spans="3:22" x14ac:dyDescent="0.2">
      <c r="C30">
        <v>800</v>
      </c>
      <c r="D30">
        <v>6035.6071045597528</v>
      </c>
      <c r="E30">
        <v>18.207080834297606</v>
      </c>
      <c r="F30">
        <v>1.5522492630314069</v>
      </c>
      <c r="G30">
        <v>-420.84514446976226</v>
      </c>
      <c r="H30">
        <v>-4.2084514446976229</v>
      </c>
      <c r="I30">
        <f t="shared" ref="I29:I34" si="3">(3/2)*C30*(0.000086173)*200</f>
        <v>20.681519999999999</v>
      </c>
      <c r="J30">
        <f t="shared" si="2"/>
        <v>-400.16362446976228</v>
      </c>
    </row>
    <row r="31" spans="3:22" x14ac:dyDescent="0.2">
      <c r="C31">
        <v>900</v>
      </c>
      <c r="D31">
        <v>6142.708867578498</v>
      </c>
      <c r="E31">
        <v>18.314144824243932</v>
      </c>
      <c r="F31">
        <v>1.5251848788486109</v>
      </c>
      <c r="G31">
        <v>-418.98689954144544</v>
      </c>
      <c r="H31">
        <v>-4.1898689954144546</v>
      </c>
      <c r="I31">
        <f t="shared" si="3"/>
        <v>23.266710000000003</v>
      </c>
      <c r="J31">
        <f t="shared" si="2"/>
        <v>-395.72018954144545</v>
      </c>
      <c r="T31" t="s">
        <v>56</v>
      </c>
      <c r="U31" t="s">
        <v>57</v>
      </c>
      <c r="V31" t="s">
        <v>58</v>
      </c>
    </row>
    <row r="32" spans="3:22" x14ac:dyDescent="0.2">
      <c r="C32">
        <v>1000</v>
      </c>
      <c r="D32">
        <v>6345.534123522245</v>
      </c>
      <c r="E32">
        <v>18.513536840405155</v>
      </c>
      <c r="F32">
        <v>1.4764346858164297</v>
      </c>
      <c r="G32">
        <v>-414.22411110281547</v>
      </c>
      <c r="H32">
        <v>-4.142241111028155</v>
      </c>
      <c r="I32">
        <f t="shared" si="3"/>
        <v>25.851900000000001</v>
      </c>
      <c r="J32">
        <f t="shared" si="2"/>
        <v>-388.37221110281547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3" x14ac:dyDescent="0.2">
      <c r="C33">
        <v>1100</v>
      </c>
      <c r="D33">
        <v>6512.8167106970395</v>
      </c>
      <c r="E33">
        <v>18.674814016748027</v>
      </c>
      <c r="F33">
        <v>1.4385122591600308</v>
      </c>
      <c r="G33">
        <v>-410.54898716704326</v>
      </c>
      <c r="H33">
        <v>-4.1054898716704322</v>
      </c>
      <c r="I33">
        <f t="shared" si="3"/>
        <v>28.437090000000005</v>
      </c>
      <c r="J33">
        <f t="shared" si="2"/>
        <v>-382.11189716704325</v>
      </c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3" x14ac:dyDescent="0.2">
      <c r="C34">
        <v>1200</v>
      </c>
      <c r="D34">
        <v>6693.58186696128</v>
      </c>
      <c r="E34">
        <v>18.846014741426266</v>
      </c>
      <c r="F34">
        <v>1.3996641657948654</v>
      </c>
      <c r="G34">
        <v>-406.33542435288115</v>
      </c>
      <c r="H34">
        <v>-4.0633542435288117</v>
      </c>
      <c r="I34">
        <f t="shared" si="3"/>
        <v>31.022280000000002</v>
      </c>
      <c r="J34">
        <f t="shared" si="2"/>
        <v>-375.31314435288112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3" x14ac:dyDescent="0.2">
      <c r="C36" t="s">
        <v>59</v>
      </c>
      <c r="T36" t="s">
        <v>61</v>
      </c>
    </row>
    <row r="37" spans="3:23" x14ac:dyDescent="0.2">
      <c r="T37">
        <f>ABS(V32-T32)/V32</f>
        <v>1.8547442318511256E-2</v>
      </c>
    </row>
    <row r="38" spans="3:23" x14ac:dyDescent="0.2">
      <c r="D38" t="s">
        <v>20</v>
      </c>
      <c r="E38" t="s">
        <v>17</v>
      </c>
      <c r="F38" t="s">
        <v>19</v>
      </c>
      <c r="G38" t="s">
        <v>21</v>
      </c>
      <c r="H38" t="s">
        <v>22</v>
      </c>
      <c r="I38" t="s">
        <v>15</v>
      </c>
      <c r="J38" t="s">
        <v>42</v>
      </c>
      <c r="T38">
        <f>ABS(V33-T33)/V33</f>
        <v>8.4127301765975025E-3</v>
      </c>
    </row>
    <row r="39" spans="3:23" x14ac:dyDescent="0.2">
      <c r="T39">
        <f>ABS(V34-T34)/V34</f>
        <v>4.7246340952900243E-3</v>
      </c>
    </row>
    <row r="40" spans="3:23" x14ac:dyDescent="0.2">
      <c r="C40">
        <v>1000</v>
      </c>
      <c r="D40">
        <v>7226.2513444736687</v>
      </c>
      <c r="E40">
        <v>19.333227185993675</v>
      </c>
      <c r="F40">
        <v>1.5281216323100779</v>
      </c>
      <c r="G40">
        <v>-296.23594144366388</v>
      </c>
      <c r="H40">
        <v>-2.962359414436639</v>
      </c>
      <c r="I40">
        <f>(3/2)*C40*(0.000086173)*200</f>
        <v>25.851900000000001</v>
      </c>
      <c r="J40">
        <f>I40+G40</f>
        <v>-270.38404144366388</v>
      </c>
    </row>
    <row r="41" spans="3:23" x14ac:dyDescent="0.2">
      <c r="C41">
        <v>1100</v>
      </c>
      <c r="D41">
        <v>7415.780447333269</v>
      </c>
      <c r="E41">
        <v>19.500793697550176</v>
      </c>
      <c r="F41">
        <v>1.4890666030938036</v>
      </c>
      <c r="G41">
        <v>-292.21346176185108</v>
      </c>
      <c r="H41">
        <v>-2.9221346176185108</v>
      </c>
      <c r="I41">
        <f>(3/2)*C41*(0.000086173)*200</f>
        <v>28.437090000000005</v>
      </c>
      <c r="J41">
        <f>I41+G41</f>
        <v>-263.77637176185107</v>
      </c>
      <c r="L41" t="s">
        <v>63</v>
      </c>
    </row>
    <row r="42" spans="3:23" x14ac:dyDescent="0.2">
      <c r="C42">
        <v>1200</v>
      </c>
      <c r="D42">
        <v>7670.7763181886648</v>
      </c>
      <c r="E42">
        <v>19.721794973761682</v>
      </c>
      <c r="F42">
        <v>1.4395662892445724</v>
      </c>
      <c r="G42">
        <v>-287.54340088918281</v>
      </c>
      <c r="H42">
        <v>-2.875434008891828</v>
      </c>
      <c r="I42">
        <f>(3/2)*C42*(0.000086173)*200</f>
        <v>31.022280000000002</v>
      </c>
      <c r="J42">
        <f>I42+G42</f>
        <v>-256.52112088918278</v>
      </c>
      <c r="M42" t="s">
        <v>19</v>
      </c>
      <c r="N42" t="s">
        <v>35</v>
      </c>
      <c r="O42" t="s">
        <v>17</v>
      </c>
      <c r="P42" t="s">
        <v>36</v>
      </c>
      <c r="Q42" t="s">
        <v>15</v>
      </c>
      <c r="R42" t="s">
        <v>62</v>
      </c>
      <c r="T42" t="s">
        <v>64</v>
      </c>
    </row>
    <row r="43" spans="3:23" x14ac:dyDescent="0.2">
      <c r="U43" t="s">
        <v>2</v>
      </c>
      <c r="V43" t="s">
        <v>65</v>
      </c>
      <c r="W43" t="s">
        <v>66</v>
      </c>
    </row>
    <row r="44" spans="3:23" x14ac:dyDescent="0.2">
      <c r="C44" t="s">
        <v>60</v>
      </c>
      <c r="L44">
        <v>1300</v>
      </c>
      <c r="M44">
        <v>1.3650365131223825</v>
      </c>
      <c r="N44">
        <v>6766.2176695670023</v>
      </c>
      <c r="O44">
        <v>18.91393918609694</v>
      </c>
      <c r="P44">
        <v>-395.29328589426768</v>
      </c>
      <c r="Q44">
        <f>(3/2)*L44*(0.000086173)*200</f>
        <v>33.607469999999999</v>
      </c>
      <c r="R44">
        <f>P44+Q44</f>
        <v>-361.68581589426771</v>
      </c>
      <c r="T44" t="s">
        <v>43</v>
      </c>
      <c r="U44">
        <v>0.41</v>
      </c>
      <c r="V44">
        <f>0.0706</f>
        <v>7.0599999999999996E-2</v>
      </c>
      <c r="W44">
        <f>V44*965</f>
        <v>68.128999999999991</v>
      </c>
    </row>
    <row r="45" spans="3:23" x14ac:dyDescent="0.2">
      <c r="L45">
        <v>1200</v>
      </c>
      <c r="M45">
        <v>1.3979040624911605</v>
      </c>
      <c r="N45">
        <v>6607.1302191034274</v>
      </c>
      <c r="O45">
        <v>18.76452702374084</v>
      </c>
      <c r="P45">
        <v>-399.08564044680531</v>
      </c>
      <c r="Q45">
        <f t="shared" ref="Q45:Q50" si="4">(3/2)*L45*(0.000086173)*200</f>
        <v>31.022280000000002</v>
      </c>
      <c r="R45">
        <f t="shared" ref="R45" si="5">P45+Q45</f>
        <v>-368.06336044680529</v>
      </c>
      <c r="T45" t="s">
        <v>45</v>
      </c>
      <c r="U45">
        <v>0.24</v>
      </c>
      <c r="V45">
        <f>0.0694</f>
        <v>6.9400000000000003E-2</v>
      </c>
      <c r="W45">
        <f t="shared" ref="W45:W48" si="6">V45*965</f>
        <v>66.971000000000004</v>
      </c>
    </row>
    <row r="46" spans="3:23" x14ac:dyDescent="0.2">
      <c r="D46" t="s">
        <v>20</v>
      </c>
      <c r="E46" t="s">
        <v>17</v>
      </c>
      <c r="F46" t="s">
        <v>19</v>
      </c>
      <c r="G46" t="s">
        <v>21</v>
      </c>
      <c r="H46" t="s">
        <v>22</v>
      </c>
      <c r="I46" t="s">
        <v>15</v>
      </c>
      <c r="J46" t="s">
        <v>42</v>
      </c>
      <c r="L46">
        <v>1100</v>
      </c>
      <c r="M46">
        <v>1.4372094115694805</v>
      </c>
      <c r="N46">
        <v>6426.4359113865166</v>
      </c>
      <c r="O46">
        <v>18.591883682234656</v>
      </c>
      <c r="P46">
        <v>-403.52791940989761</v>
      </c>
      <c r="Q46">
        <f t="shared" si="4"/>
        <v>28.437090000000005</v>
      </c>
      <c r="R46">
        <f>P46+Q46</f>
        <v>-375.09082940989759</v>
      </c>
      <c r="T46" t="s">
        <v>46</v>
      </c>
      <c r="U46">
        <v>0.15</v>
      </c>
      <c r="V46">
        <f>0.0633</f>
        <v>6.3299999999999995E-2</v>
      </c>
      <c r="W46">
        <f t="shared" si="6"/>
        <v>61.084499999999998</v>
      </c>
    </row>
    <row r="47" spans="3:23" x14ac:dyDescent="0.2">
      <c r="L47">
        <v>1000</v>
      </c>
      <c r="M47">
        <v>1.4776504696487072</v>
      </c>
      <c r="N47">
        <v>6250.5540819058297</v>
      </c>
      <c r="O47">
        <v>18.42070181183545</v>
      </c>
      <c r="P47">
        <v>-407.73414979420915</v>
      </c>
      <c r="Q47">
        <f t="shared" si="4"/>
        <v>25.851900000000001</v>
      </c>
      <c r="R47">
        <f t="shared" ref="R47:R50" si="7">P47+Q47</f>
        <v>-381.88224979420914</v>
      </c>
      <c r="U47">
        <v>0</v>
      </c>
      <c r="V47">
        <f>0.0673</f>
        <v>6.7299999999999999E-2</v>
      </c>
      <c r="W47">
        <f t="shared" si="6"/>
        <v>64.944500000000005</v>
      </c>
    </row>
    <row r="48" spans="3:23" x14ac:dyDescent="0.2">
      <c r="C48">
        <v>1000</v>
      </c>
      <c r="D48">
        <v>5359.9015072641942</v>
      </c>
      <c r="E48">
        <v>17.500573050365933</v>
      </c>
      <c r="F48">
        <v>1.4554776630553989</v>
      </c>
      <c r="G48">
        <v>-460.64853208595002</v>
      </c>
      <c r="H48">
        <v>-4.6064853208595</v>
      </c>
      <c r="I48">
        <f>(3/2)*C48*(0.000086173)*200</f>
        <v>25.851900000000001</v>
      </c>
      <c r="J48">
        <f>I48+G48</f>
        <v>-434.79663208595002</v>
      </c>
      <c r="L48">
        <v>900</v>
      </c>
      <c r="M48">
        <v>1.5142757209787261</v>
      </c>
      <c r="N48">
        <v>6099.3741408752003</v>
      </c>
      <c r="O48">
        <v>18.270976459369884</v>
      </c>
      <c r="P48">
        <v>-411.6818030463491</v>
      </c>
      <c r="Q48">
        <f t="shared" si="4"/>
        <v>23.266710000000003</v>
      </c>
      <c r="R48">
        <f t="shared" si="7"/>
        <v>-388.41509304634911</v>
      </c>
      <c r="U48">
        <v>1</v>
      </c>
      <c r="V48">
        <f>0.0431</f>
        <v>4.3099999999999999E-2</v>
      </c>
      <c r="W48">
        <f t="shared" si="6"/>
        <v>41.591499999999996</v>
      </c>
    </row>
    <row r="49" spans="3:18" x14ac:dyDescent="0.2">
      <c r="C49">
        <v>1100</v>
      </c>
      <c r="D49">
        <v>5484.6724641401834</v>
      </c>
      <c r="E49">
        <v>17.635328984164858</v>
      </c>
      <c r="F49">
        <v>1.4223669637532264</v>
      </c>
      <c r="G49">
        <v>-456.28857967033053</v>
      </c>
      <c r="H49">
        <v>-4.5628857967033056</v>
      </c>
      <c r="I49">
        <f>(3/2)*C49*(0.000086173)*200</f>
        <v>28.437090000000005</v>
      </c>
      <c r="J49">
        <f>I49+G49</f>
        <v>-427.85148967033052</v>
      </c>
      <c r="L49">
        <v>800</v>
      </c>
      <c r="M49">
        <v>1.5494920044554759</v>
      </c>
      <c r="N49">
        <v>5960.7498122835195</v>
      </c>
      <c r="O49">
        <v>18.131495697711848</v>
      </c>
      <c r="P49">
        <v>-415.95658554008014</v>
      </c>
      <c r="Q49">
        <f t="shared" si="4"/>
        <v>20.681519999999999</v>
      </c>
      <c r="R49">
        <f t="shared" si="7"/>
        <v>-395.27506554008016</v>
      </c>
    </row>
    <row r="50" spans="3:18" x14ac:dyDescent="0.2">
      <c r="C50">
        <v>1200</v>
      </c>
      <c r="D50">
        <v>5664.9976171917751</v>
      </c>
      <c r="E50">
        <v>17.82652026366334</v>
      </c>
      <c r="F50">
        <v>1.377090944632591</v>
      </c>
      <c r="G50">
        <v>-452.15582522669803</v>
      </c>
      <c r="H50">
        <v>-4.5215582522669804</v>
      </c>
      <c r="I50">
        <f>(3/2)*C50*(0.000086173)*200</f>
        <v>31.022280000000002</v>
      </c>
      <c r="J50">
        <f>I50+G50</f>
        <v>-421.133545226698</v>
      </c>
      <c r="L50">
        <v>700</v>
      </c>
      <c r="M50">
        <v>1.5871878123306469</v>
      </c>
      <c r="N50">
        <v>5819.181638706219</v>
      </c>
      <c r="O50">
        <v>17.986802711841939</v>
      </c>
      <c r="P50">
        <v>-421.24548040339181</v>
      </c>
      <c r="Q50">
        <f t="shared" si="4"/>
        <v>18.096329999999998</v>
      </c>
      <c r="R50">
        <f t="shared" si="7"/>
        <v>-403.14915040339179</v>
      </c>
    </row>
    <row r="52" spans="3:18" x14ac:dyDescent="0.2">
      <c r="C52" t="s">
        <v>0</v>
      </c>
    </row>
    <row r="53" spans="3:18" x14ac:dyDescent="0.2">
      <c r="D53" t="s">
        <v>35</v>
      </c>
      <c r="E53" t="s">
        <v>17</v>
      </c>
      <c r="F53" t="s">
        <v>19</v>
      </c>
      <c r="G53" t="s">
        <v>36</v>
      </c>
      <c r="H53" t="s">
        <v>22</v>
      </c>
      <c r="I53" t="s">
        <v>15</v>
      </c>
      <c r="J53" t="s">
        <v>42</v>
      </c>
    </row>
    <row r="54" spans="3:18" x14ac:dyDescent="0.2">
      <c r="C54">
        <v>1000</v>
      </c>
      <c r="D54">
        <v>4978.3602016417981</v>
      </c>
      <c r="E54">
        <v>17.075054768980639</v>
      </c>
      <c r="F54">
        <v>1.4176266298205369</v>
      </c>
      <c r="G54">
        <v>-483.30728027693169</v>
      </c>
      <c r="H54">
        <f>G54/100</f>
        <v>-4.8330728027693173</v>
      </c>
      <c r="I54">
        <f>(3/2)*C54*(0.000086173)*200</f>
        <v>25.851900000000001</v>
      </c>
      <c r="J54">
        <f>I54+G54</f>
        <v>-457.45538027693169</v>
      </c>
    </row>
    <row r="55" spans="3:18" x14ac:dyDescent="0.2">
      <c r="C55">
        <v>1100</v>
      </c>
      <c r="D55">
        <v>5099.653171847368</v>
      </c>
      <c r="E55">
        <v>17.212616005271059</v>
      </c>
      <c r="F55">
        <v>1.3839090143711799</v>
      </c>
      <c r="G55">
        <v>-479.22451900649088</v>
      </c>
      <c r="H55">
        <f>G55/100</f>
        <v>-4.792245190064909</v>
      </c>
      <c r="I55">
        <f>(3/2)*C55*(0.000086173)*200</f>
        <v>28.437090000000005</v>
      </c>
      <c r="J55">
        <f>I55+G55</f>
        <v>-450.78742900649087</v>
      </c>
    </row>
    <row r="56" spans="3:18" x14ac:dyDescent="0.2">
      <c r="C56">
        <v>1200</v>
      </c>
      <c r="D56">
        <v>5226.7646781062476</v>
      </c>
      <c r="E56">
        <v>17.354455115400171</v>
      </c>
      <c r="F56">
        <v>1.3502532502081568</v>
      </c>
      <c r="G56">
        <v>-476.00398971107279</v>
      </c>
      <c r="H56">
        <f>G56/100</f>
        <v>-4.7600398971107278</v>
      </c>
      <c r="I56">
        <f>(3/2)*C56*(0.000086173)*200</f>
        <v>31.022280000000002</v>
      </c>
      <c r="J56">
        <f>I56+G56</f>
        <v>-444.98170971107277</v>
      </c>
    </row>
    <row r="58" spans="3:18" x14ac:dyDescent="0.2">
      <c r="C58" t="s">
        <v>1</v>
      </c>
    </row>
    <row r="59" spans="3:18" x14ac:dyDescent="0.2">
      <c r="D59" t="s">
        <v>35</v>
      </c>
      <c r="E59" t="s">
        <v>17</v>
      </c>
      <c r="F59" t="s">
        <v>19</v>
      </c>
      <c r="G59" t="s">
        <v>36</v>
      </c>
      <c r="H59" t="s">
        <v>22</v>
      </c>
      <c r="I59" t="s">
        <v>15</v>
      </c>
      <c r="J59" t="s">
        <v>42</v>
      </c>
    </row>
    <row r="60" spans="3:18" x14ac:dyDescent="0.2">
      <c r="C60">
        <v>1000</v>
      </c>
      <c r="D60">
        <v>8203.2669532908785</v>
      </c>
      <c r="E60">
        <v>20.167974408099074</v>
      </c>
      <c r="F60">
        <v>1.5081678694565137</v>
      </c>
      <c r="G60">
        <v>-288.15376435398008</v>
      </c>
      <c r="H60">
        <f>G60/100</f>
        <v>-2.8815376435398008</v>
      </c>
      <c r="I60">
        <f>(3/2)*C60*(0.000086173)*200</f>
        <v>25.851900000000001</v>
      </c>
      <c r="J60">
        <f>I60+G60</f>
        <v>-262.30186435398008</v>
      </c>
    </row>
    <row r="61" spans="3:18" x14ac:dyDescent="0.2">
      <c r="C61">
        <v>1100</v>
      </c>
      <c r="D61">
        <v>8390.275100875102</v>
      </c>
      <c r="E61">
        <v>20.320079383159275</v>
      </c>
      <c r="F61">
        <v>1.4745331657501464</v>
      </c>
      <c r="G61">
        <v>-283.35831775174546</v>
      </c>
      <c r="H61">
        <f>G61/100</f>
        <v>-2.8335831775174545</v>
      </c>
      <c r="I61">
        <f>(3/2)*C61*(0.000086173)*200</f>
        <v>28.437090000000005</v>
      </c>
      <c r="J61">
        <f>I61+G61</f>
        <v>-254.92122775174545</v>
      </c>
    </row>
    <row r="62" spans="3:18" x14ac:dyDescent="0.2">
      <c r="C62">
        <v>1200</v>
      </c>
      <c r="D62">
        <v>8583.6406584237411</v>
      </c>
      <c r="E62">
        <v>20.474996808837023</v>
      </c>
      <c r="F62">
        <v>1.4413298591066881</v>
      </c>
      <c r="G62">
        <v>-279.6987301829144</v>
      </c>
      <c r="H62">
        <f>G62/100</f>
        <v>-2.796987301829144</v>
      </c>
      <c r="I62">
        <f>(3/2)*C62*(0.000086173)*200</f>
        <v>31.022280000000002</v>
      </c>
      <c r="J62">
        <f>I62+G62</f>
        <v>-248.67645018291441</v>
      </c>
    </row>
    <row r="64" spans="3:18" x14ac:dyDescent="0.2">
      <c r="C64" t="s">
        <v>2</v>
      </c>
    </row>
    <row r="65" spans="3:10" x14ac:dyDescent="0.2">
      <c r="D65" t="s">
        <v>20</v>
      </c>
      <c r="E65" t="s">
        <v>17</v>
      </c>
      <c r="F65" t="s">
        <v>19</v>
      </c>
      <c r="G65" t="s">
        <v>21</v>
      </c>
      <c r="H65" t="s">
        <v>22</v>
      </c>
      <c r="I65" t="s">
        <v>15</v>
      </c>
      <c r="J65" t="s">
        <v>42</v>
      </c>
    </row>
    <row r="66" spans="3:10" x14ac:dyDescent="0.2">
      <c r="C66">
        <v>1100</v>
      </c>
      <c r="D66">
        <v>3153.3249869999167</v>
      </c>
      <c r="E66">
        <v>14.664128041393068</v>
      </c>
      <c r="F66">
        <v>1.5403392679948031</v>
      </c>
      <c r="G66">
        <v>-141.39053509775999</v>
      </c>
      <c r="H66">
        <v>-2.8278107019552077</v>
      </c>
      <c r="I66">
        <f>(3/2)*C66*(0.000086173)*200</f>
        <v>28.437090000000005</v>
      </c>
      <c r="J66">
        <f>I66+G66</f>
        <v>-112.95344509775998</v>
      </c>
    </row>
    <row r="67" spans="3:10" x14ac:dyDescent="0.2">
      <c r="C67">
        <v>1250</v>
      </c>
      <c r="D67">
        <v>3264.3368522635783</v>
      </c>
      <c r="E67">
        <v>14.834229350754038</v>
      </c>
      <c r="F67">
        <v>1.4879562134824009</v>
      </c>
      <c r="G67">
        <v>-138.51870545286911</v>
      </c>
      <c r="H67">
        <v>-2.7703741090573821</v>
      </c>
      <c r="I67">
        <f>(3/2)*C67*(0.000086173)*200</f>
        <v>32.314875000000001</v>
      </c>
      <c r="J67">
        <f>I67+G67</f>
        <v>-106.20383045286911</v>
      </c>
    </row>
    <row r="68" spans="3:10" x14ac:dyDescent="0.2">
      <c r="C68">
        <v>1400</v>
      </c>
      <c r="D68">
        <v>3391.3025104225098</v>
      </c>
      <c r="E68">
        <f>D68^(1/3)</f>
        <v>15.024113083801051</v>
      </c>
      <c r="F68">
        <v>1.4322491984414667</v>
      </c>
      <c r="G68">
        <v>-136.22822519565582</v>
      </c>
      <c r="H68">
        <v>-2.7245645039131166</v>
      </c>
      <c r="I68">
        <f>(3/2)*C68*(0.000086173)*200</f>
        <v>36.192659999999997</v>
      </c>
      <c r="J68">
        <f>I68+G68</f>
        <v>-100.03556519565583</v>
      </c>
    </row>
  </sheetData>
  <sortState xmlns:xlrd2="http://schemas.microsoft.com/office/spreadsheetml/2017/richdata2" ref="C66:H68">
    <sortCondition ref="C66:C6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2022-10-19T15:19:40Z</dcterms:modified>
</cp:coreProperties>
</file>