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CBF92DF4-51FE-9F46-B66B-14C1B7C4AEA4}" xr6:coauthVersionLast="47" xr6:coauthVersionMax="47" xr10:uidLastSave="{00000000-0000-0000-0000-000000000000}"/>
  <bookViews>
    <workbookView xWindow="0" yWindow="500" windowWidth="22580" windowHeight="15800" activeTab="1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12" i="3" l="1"/>
  <c r="AB12" i="3"/>
  <c r="AA12" i="3"/>
  <c r="Y12" i="3"/>
  <c r="X12" i="3"/>
  <c r="P9" i="3" a="1"/>
  <c r="P9" i="3" s="1"/>
  <c r="P5" i="3" a="1"/>
  <c r="P5" i="3" s="1"/>
  <c r="L72" i="4"/>
  <c r="M72" i="4" s="1"/>
  <c r="N72" i="4" s="1"/>
  <c r="M71" i="4"/>
  <c r="N71" i="4" s="1"/>
  <c r="L71" i="4"/>
  <c r="L70" i="4"/>
  <c r="M70" i="4" s="1"/>
  <c r="N70" i="4" s="1"/>
  <c r="S69" i="4"/>
  <c r="Q69" i="4"/>
  <c r="P69" i="4"/>
  <c r="L69" i="4"/>
  <c r="M69" i="4" s="1"/>
  <c r="N69" i="4" s="1"/>
  <c r="M68" i="4"/>
  <c r="N68" i="4" s="1"/>
  <c r="L68" i="4"/>
  <c r="L67" i="4"/>
  <c r="M67" i="4" s="1"/>
  <c r="N67" i="4" s="1"/>
  <c r="L72" i="3"/>
  <c r="M72" i="3" s="1"/>
  <c r="N72" i="3" s="1"/>
  <c r="S71" i="3"/>
  <c r="Q71" i="3"/>
  <c r="P71" i="3"/>
  <c r="L71" i="3"/>
  <c r="M71" i="3" s="1"/>
  <c r="N71" i="3" s="1"/>
  <c r="L70" i="3"/>
  <c r="M70" i="3" s="1"/>
  <c r="N70" i="3" s="1"/>
  <c r="L69" i="3"/>
  <c r="M69" i="3" s="1"/>
  <c r="N69" i="3" s="1"/>
  <c r="M68" i="3"/>
  <c r="N68" i="3" s="1"/>
  <c r="L68" i="3"/>
  <c r="P38" i="6"/>
  <c r="P27" i="6"/>
  <c r="P16" i="6"/>
  <c r="W45" i="5"/>
  <c r="W46" i="5"/>
  <c r="W47" i="5"/>
  <c r="W48" i="5"/>
  <c r="W44" i="5"/>
  <c r="V48" i="5" l="1"/>
  <c r="I66" i="5"/>
  <c r="I64" i="5"/>
  <c r="J64" i="5"/>
  <c r="V47" i="5"/>
  <c r="V46" i="5"/>
  <c r="V45" i="5"/>
  <c r="V44" i="5"/>
  <c r="I52" i="5"/>
  <c r="J52" i="5" s="1"/>
  <c r="I58" i="5"/>
  <c r="J58" i="5"/>
  <c r="J66" i="5"/>
  <c r="I65" i="5"/>
  <c r="J65" i="5" s="1"/>
  <c r="I60" i="5"/>
  <c r="J60" i="5" s="1"/>
  <c r="I59" i="5"/>
  <c r="J59" i="5" s="1"/>
  <c r="I54" i="5"/>
  <c r="J54" i="5" s="1"/>
  <c r="I53" i="5"/>
  <c r="J53" i="5" s="1"/>
  <c r="Q50" i="5"/>
  <c r="R50" i="5" s="1"/>
  <c r="Q49" i="5"/>
  <c r="R49" i="5" s="1"/>
  <c r="Q48" i="5"/>
  <c r="R48" i="5" s="1"/>
  <c r="Q47" i="5"/>
  <c r="R47" i="5" s="1"/>
  <c r="Q46" i="5"/>
  <c r="R46" i="5" s="1"/>
  <c r="Q45" i="5"/>
  <c r="R45" i="5" s="1"/>
  <c r="Q44" i="5"/>
  <c r="R44" i="5" s="1"/>
  <c r="E66" i="5"/>
  <c r="H58" i="5" l="1"/>
  <c r="H59" i="5"/>
  <c r="H60" i="5"/>
  <c r="H53" i="5"/>
  <c r="H52" i="5"/>
  <c r="H54" i="5"/>
  <c r="T38" i="5" l="1"/>
  <c r="T39" i="5"/>
  <c r="I48" i="5"/>
  <c r="J48" i="5" s="1"/>
  <c r="I47" i="5"/>
  <c r="J47" i="5" s="1"/>
  <c r="I46" i="5"/>
  <c r="J46" i="5" s="1"/>
  <c r="I38" i="5"/>
  <c r="J38" i="5" s="1"/>
  <c r="I40" i="5"/>
  <c r="J40" i="5" s="1"/>
  <c r="I39" i="5"/>
  <c r="J39" i="5" s="1"/>
  <c r="V33" i="5"/>
  <c r="V34" i="5"/>
  <c r="V32" i="5"/>
  <c r="T37" i="5" s="1"/>
  <c r="AC5" i="6" a="1"/>
  <c r="AC5" i="6" s="1"/>
  <c r="AC9" i="6" a="1"/>
  <c r="AC9" i="6" s="1"/>
  <c r="P9" i="6" a="1"/>
  <c r="P9" i="6" s="1"/>
  <c r="P5" i="6" a="1"/>
  <c r="P5" i="6" s="1"/>
  <c r="Y45" i="6"/>
  <c r="Z45" i="6" s="1"/>
  <c r="AA45" i="6" s="1"/>
  <c r="P9" i="7" a="1"/>
  <c r="P9" i="7" s="1"/>
  <c r="P5" i="7" a="1"/>
  <c r="P5" i="7" s="1"/>
  <c r="L14" i="7"/>
  <c r="M14" i="7" s="1"/>
  <c r="N14" i="7" s="1"/>
  <c r="Y33" i="6"/>
  <c r="Z33" i="6"/>
  <c r="AA33" i="6" s="1"/>
  <c r="L42" i="6"/>
  <c r="M42" i="6" s="1"/>
  <c r="L31" i="6"/>
  <c r="M31" i="6" s="1"/>
  <c r="Y21" i="6"/>
  <c r="Z21" i="6" s="1"/>
  <c r="Y44" i="6"/>
  <c r="Z44" i="6" s="1"/>
  <c r="Y32" i="6"/>
  <c r="Z32" i="6" s="1"/>
  <c r="Y20" i="6"/>
  <c r="Z20" i="6" s="1"/>
  <c r="Y43" i="6"/>
  <c r="Z43" i="6" s="1"/>
  <c r="Y42" i="6"/>
  <c r="Z42" i="6" s="1"/>
  <c r="AF41" i="6"/>
  <c r="AC41" i="6"/>
  <c r="Y41" i="6"/>
  <c r="Z41" i="6" s="1"/>
  <c r="Y40" i="6"/>
  <c r="Z40" i="6" s="1"/>
  <c r="Y39" i="6"/>
  <c r="Z39" i="6" s="1"/>
  <c r="Y38" i="6"/>
  <c r="Z38" i="6" s="1"/>
  <c r="Y31" i="6"/>
  <c r="Z31" i="6" s="1"/>
  <c r="Y30" i="6"/>
  <c r="Z30" i="6" s="1"/>
  <c r="AF29" i="6"/>
  <c r="AC29" i="6"/>
  <c r="Y29" i="6"/>
  <c r="Z29" i="6" s="1"/>
  <c r="Y28" i="6"/>
  <c r="Z28" i="6" s="1"/>
  <c r="Y27" i="6"/>
  <c r="Z27" i="6" s="1"/>
  <c r="Y26" i="6"/>
  <c r="Z26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1" i="6"/>
  <c r="M41" i="6" s="1"/>
  <c r="L40" i="6"/>
  <c r="M40" i="6" s="1"/>
  <c r="S39" i="6"/>
  <c r="P39" i="6"/>
  <c r="L39" i="6"/>
  <c r="M39" i="6" s="1"/>
  <c r="L38" i="6"/>
  <c r="M38" i="6" s="1"/>
  <c r="L37" i="6"/>
  <c r="M37" i="6" s="1"/>
  <c r="L36" i="6"/>
  <c r="M36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1" i="7"/>
  <c r="M41" i="7" s="1"/>
  <c r="L40" i="7"/>
  <c r="M40" i="7" s="1"/>
  <c r="S39" i="7"/>
  <c r="P39" i="7"/>
  <c r="L39" i="7"/>
  <c r="M39" i="7" s="1"/>
  <c r="L38" i="7"/>
  <c r="M38" i="7" s="1"/>
  <c r="L37" i="7"/>
  <c r="M37" i="7" s="1"/>
  <c r="L36" i="7"/>
  <c r="M36" i="7" s="1"/>
  <c r="L31" i="7"/>
  <c r="M31" i="7" s="1"/>
  <c r="L30" i="7"/>
  <c r="M30" i="7" s="1"/>
  <c r="S29" i="7"/>
  <c r="P29" i="7"/>
  <c r="L29" i="7"/>
  <c r="M29" i="7" s="1"/>
  <c r="L28" i="7"/>
  <c r="M28" i="7" s="1"/>
  <c r="L27" i="7"/>
  <c r="M27" i="7" s="1"/>
  <c r="L26" i="7"/>
  <c r="M26" i="7" s="1"/>
  <c r="AE6" i="6" l="1"/>
  <c r="AE10" i="6"/>
  <c r="AD6" i="6"/>
  <c r="L20" i="7"/>
  <c r="M20" i="7" s="1"/>
  <c r="L19" i="7"/>
  <c r="M19" i="7" s="1"/>
  <c r="S18" i="7"/>
  <c r="P18" i="7"/>
  <c r="L18" i="7"/>
  <c r="M18" i="7" s="1"/>
  <c r="L17" i="7"/>
  <c r="M17" i="7" s="1"/>
  <c r="L16" i="7"/>
  <c r="M16" i="7" s="1"/>
  <c r="L15" i="7"/>
  <c r="M15" i="7" s="1"/>
  <c r="H5" i="7"/>
  <c r="H4" i="7"/>
  <c r="H3" i="7"/>
  <c r="H2" i="7"/>
  <c r="H5" i="6"/>
  <c r="H3" i="6"/>
  <c r="H2" i="6"/>
  <c r="F36" i="1"/>
  <c r="H31" i="1"/>
  <c r="G31" i="1"/>
  <c r="AD10" i="6" l="1"/>
  <c r="H6" i="7"/>
  <c r="H7" i="7" s="1"/>
  <c r="L5" i="7" s="1"/>
  <c r="Q6" i="7"/>
  <c r="R6" i="7"/>
  <c r="N20" i="7"/>
  <c r="N15" i="7"/>
  <c r="N19" i="7"/>
  <c r="N18" i="7"/>
  <c r="N17" i="7"/>
  <c r="N16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Q29" i="7" l="1"/>
  <c r="Q39" i="7"/>
  <c r="Q18" i="7"/>
  <c r="N30" i="7"/>
  <c r="N38" i="7"/>
  <c r="N31" i="7"/>
  <c r="N26" i="7"/>
  <c r="N39" i="7"/>
  <c r="N29" i="7"/>
  <c r="N36" i="7"/>
  <c r="N27" i="7"/>
  <c r="N28" i="7"/>
  <c r="N37" i="7"/>
  <c r="N40" i="7"/>
  <c r="N41" i="7"/>
  <c r="AA21" i="6"/>
  <c r="N31" i="6"/>
  <c r="N42" i="6"/>
  <c r="AA44" i="6"/>
  <c r="AA32" i="6"/>
  <c r="AA20" i="6"/>
  <c r="Q39" i="6"/>
  <c r="AD29" i="6"/>
  <c r="Q28" i="6"/>
  <c r="Q17" i="6"/>
  <c r="AD41" i="6"/>
  <c r="AD17" i="6"/>
  <c r="N28" i="6"/>
  <c r="AA28" i="6"/>
  <c r="N41" i="6"/>
  <c r="AA39" i="6"/>
  <c r="N15" i="6"/>
  <c r="AA14" i="6"/>
  <c r="AA40" i="6"/>
  <c r="N16" i="6"/>
  <c r="AA15" i="6"/>
  <c r="N29" i="6"/>
  <c r="N17" i="6"/>
  <c r="AA31" i="6"/>
  <c r="AA41" i="6"/>
  <c r="N36" i="6"/>
  <c r="N30" i="6"/>
  <c r="N37" i="6"/>
  <c r="AA18" i="6"/>
  <c r="N38" i="6"/>
  <c r="AA19" i="6"/>
  <c r="AA26" i="6"/>
  <c r="AA16" i="6"/>
  <c r="N19" i="6"/>
  <c r="AA17" i="6"/>
  <c r="AA29" i="6"/>
  <c r="AA42" i="6"/>
  <c r="AA38" i="6"/>
  <c r="N14" i="6"/>
  <c r="AA30" i="6"/>
  <c r="N39" i="6"/>
  <c r="N25" i="6"/>
  <c r="N26" i="6"/>
  <c r="N27" i="6"/>
  <c r="N40" i="6"/>
  <c r="AA43" i="6"/>
  <c r="AA27" i="6"/>
  <c r="N18" i="6"/>
  <c r="I22" i="5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<sst xmlns="http://schemas.openxmlformats.org/spreadsheetml/2006/main" count="638" uniqueCount="67">
  <si>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</si>
  <si>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</si>
  <si>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</si>
  <si>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</si>
  <si>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</si>
  <si>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</si>
  <si>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</si>
  <si>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</si>
  <si>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</si>
  <si>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</si>
  <si>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</si>
  <si>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</si>
  <si>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</si>
  <si>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</si>
  <si>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</si>
  <si>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</si>
  <si>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</si>
  <si>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</si>
  <si>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</si>
  <si>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</si>
  <si>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</si>
  <si>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</si>
  <si>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</si>
  <si>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</si>
  <si>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</si>
  <si>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</si>
  <si>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</si>
  <si>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</si>
  <si>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</si>
  <si>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</si>
  <si>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</si>
  <si>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</si>
  <si>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</si>
  <si>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</si>
  <si>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</si>
  <si>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</si>
  <si>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</si>
  <si>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</si>
  <si>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</si>
  <si>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</si>
  <si>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</si>
  <si>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</si>
  <si>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</si>
  <si>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</si>
  <si>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</si>
  <si>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</si>
  <si>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</si>
  <si>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</si>
  <si>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</si>
  <si>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</si>
  <si>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</si>
  <si>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</si>
  <si>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</si>
  <si>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</si>
  <si>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</si>
  <si>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</si>
  <si>
    <t>vdW-DF2</t>
  </si>
  <si>
    <t>vdW-cx</t>
  </si>
  <si>
    <t>EXP</t>
  </si>
  <si>
    <t>0.50.50</t>
  </si>
  <si>
    <t>72.0.28</t>
  </si>
  <si>
    <t>error</t>
  </si>
  <si>
    <t>TE</t>
  </si>
  <si>
    <t>LiCl-KCl Eutectic</t>
  </si>
  <si>
    <t>Heat Capacity Slopes</t>
  </si>
  <si>
    <t>Cp</t>
  </si>
  <si>
    <t>Cp (J/mol-K)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</si>
</sst>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'44.32.24'!$V$12:$V$17</c:f>
              <c:numCache>
                <c:formatCode>General</c:formatCode>
                <c:ptCount val="6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</c:numCache>
            </c:numRef>
          </c:xVal>
          <c:yVal>
            <c:numRef>
              <c:f>'44.32.24'!$W$12:$W$17</c:f>
              <c:numCache>
                <c:formatCode>General</c:formatCode>
                <c:ptCount val="6"/>
                <c:pt idx="0">
                  <c:v>5916.0569514349218</c:v>
                </c:pt>
                <c:pt idx="1">
                  <c:v>6019.4963105301313</c:v>
                </c:pt>
                <c:pt idx="2">
                  <c:v>6176.5337130656571</c:v>
                </c:pt>
                <c:pt idx="3">
                  <c:v>6358.3744844687963</c:v>
                </c:pt>
                <c:pt idx="4">
                  <c:v>6557.8387862421878</c:v>
                </c:pt>
                <c:pt idx="5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'44.32.24'!$V$12:$V$17</c:f>
              <c:numCache>
                <c:formatCode>General</c:formatCode>
                <c:ptCount val="6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</c:numCache>
            </c:numRef>
          </c:xVal>
          <c:yVal>
            <c:numRef>
              <c:f>'44.32.24'!$AC$12:$AC$17</c:f>
              <c:numCache>
                <c:formatCode>General</c:formatCode>
                <c:ptCount val="6"/>
                <c:pt idx="0">
                  <c:v>-394.95788942134192</c:v>
                </c:pt>
                <c:pt idx="1">
                  <c:v>-388.69861513535147</c:v>
                </c:pt>
                <c:pt idx="2">
                  <c:v>-382.12466178663567</c:v>
                </c:pt>
                <c:pt idx="3">
                  <c:v>-374.0610263861966</c:v>
                </c:pt>
                <c:pt idx="4">
                  <c:v>-367.71359038722659</c:v>
                </c:pt>
                <c:pt idx="5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6625765529308835E-2"/>
                  <c:y val="-0.441264216972878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'0.50.50'!$Z$38:$Z$45</c:f>
              <c:numCache>
                <c:formatCode>General</c:formatCode>
                <c:ptCount val="8"/>
                <c:pt idx="0">
                  <c:v>6387.0232947722425</c:v>
                </c:pt>
                <c:pt idx="1">
                  <c:v>6580.5564876271364</c:v>
                </c:pt>
                <c:pt idx="2">
                  <c:v>6777.9602165986616</c:v>
                </c:pt>
                <c:pt idx="3">
                  <c:v>7184.5325714506835</c:v>
                </c:pt>
                <c:pt idx="4">
                  <c:v>7393.7778416107194</c:v>
                </c:pt>
                <c:pt idx="5">
                  <c:v>7607.0469364464598</c:v>
                </c:pt>
                <c:pt idx="6">
                  <c:v>7824.3781780976751</c:v>
                </c:pt>
                <c:pt idx="7">
                  <c:v>8045.8098887041342</c:v>
                </c:pt>
              </c:numCache>
            </c:numRef>
          </c:xVal>
          <c:yVal>
            <c:numRef>
              <c:f>'0.50.50'!$X$38:$X$45</c:f>
              <c:numCache>
                <c:formatCode>General</c:formatCode>
                <c:ptCount val="8"/>
                <c:pt idx="0">
                  <c:v>10.381817777777799</c:v>
                </c:pt>
                <c:pt idx="1">
                  <c:v>8.7996888888888893</c:v>
                </c:pt>
                <c:pt idx="2">
                  <c:v>6.3560329183692401</c:v>
                </c:pt>
                <c:pt idx="3">
                  <c:v>3.20892444444444</c:v>
                </c:pt>
                <c:pt idx="4">
                  <c:v>1.9042266666666701</c:v>
                </c:pt>
                <c:pt idx="5">
                  <c:v>0.89494888888888902</c:v>
                </c:pt>
                <c:pt idx="6">
                  <c:v>-0.39358666666666597</c:v>
                </c:pt>
                <c:pt idx="7">
                  <c:v>-0.89960444444444498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3-0245-AF38-5B55A1F4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29855"/>
        <c:axId val="1411831503"/>
      </c:scatterChart>
      <c:valAx>
        <c:axId val="1411829855"/>
        <c:scaling>
          <c:orientation val="minMax"/>
          <c:min val="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31503"/>
        <c:crosses val="autoZero"/>
        <c:crossBetween val="midCat"/>
      </c:valAx>
      <c:valAx>
        <c:axId val="141183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29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Summary!$C$64:$C$68</c:f>
              <c:numCache>
                <c:formatCode>General</c:formatCode>
                <c:ptCount val="5"/>
                <c:pt idx="0">
                  <c:v>1100</c:v>
                </c:pt>
                <c:pt idx="1">
                  <c:v>1250</c:v>
                </c:pt>
                <c:pt idx="2">
                  <c:v>1400</c:v>
                </c:pt>
              </c:numCache>
            </c:numRef>
          </c:xVal>
          <c:yVal>
            <c:numRef>
              <c:f>Summary!$J$64:$J$68</c:f>
              <c:numCache>
                <c:formatCode>General</c:formatCode>
                <c:ptCount val="5"/>
                <c:pt idx="0">
                  <c:v>-112.95344509775998</c:v>
                </c:pt>
                <c:pt idx="1">
                  <c:v>-106.20383045286911</c:v>
                </c:pt>
                <c:pt idx="2">
                  <c:v>-100.03556519565583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660850846881551"/>
                  <c:y val="-0.208520831447793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30980569874809"/>
                  <c:y val="-0.256608139499803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Summary!$T$32:$T$34</c:f>
              <c:numCache>
                <c:formatCode>General</c:formatCode>
                <c:ptCount val="3"/>
                <c:pt idx="0">
                  <c:v>1.5281216323100779</c:v>
                </c:pt>
                <c:pt idx="1">
                  <c:v>1.4890666030938036</c:v>
                </c:pt>
                <c:pt idx="2">
                  <c:v>1.4395662892445724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E-CF4A-97CF-54F6A0C0655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69829490738118"/>
                  <c:y val="-0.2047213925845476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Summary!$U$32:$U$34</c:f>
              <c:numCache>
                <c:formatCode>General</c:formatCode>
                <c:ptCount val="3"/>
                <c:pt idx="0">
                  <c:v>1.5171519498607862</c:v>
                </c:pt>
                <c:pt idx="1">
                  <c:v>1.4806041794868821</c:v>
                </c:pt>
                <c:pt idx="2">
                  <c:v>1.4216337512205526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2-CF46-9EB1-F380B83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Summary!$C$52:$C$54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Summary!$F$52:$F$54</c:f>
              <c:numCache>
                <c:formatCode>General</c:formatCode>
                <c:ptCount val="3"/>
                <c:pt idx="0">
                  <c:v>1.4176266298205369</c:v>
                </c:pt>
                <c:pt idx="1">
                  <c:v>1.3839090143711799</c:v>
                </c:pt>
                <c:pt idx="2">
                  <c:v>1.3502532502081568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C2-9B40-A145-901E6DCAF10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Summary!$C$58:$C$60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Summary!$F$58:$F$60</c:f>
              <c:numCache>
                <c:formatCode>General</c:formatCode>
                <c:ptCount val="3"/>
                <c:pt idx="0">
                  <c:v>1.5081678694565137</c:v>
                </c:pt>
                <c:pt idx="1">
                  <c:v>1.4745331657501464</c:v>
                </c:pt>
                <c:pt idx="2">
                  <c:v>1.4413298591066881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C2-9B40-A145-901E6DCAF10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Summary!$C$64:$C$66</c:f>
              <c:numCache>
                <c:formatCode>General</c:formatCode>
                <c:ptCount val="3"/>
                <c:pt idx="0">
                  <c:v>1100</c:v>
                </c:pt>
                <c:pt idx="1">
                  <c:v>1250</c:v>
                </c:pt>
                <c:pt idx="2">
                  <c:v>1400</c:v>
                </c:pt>
              </c:numCache>
            </c:numRef>
          </c:xVal>
          <c:yVal>
            <c:numRef>
              <c:f>Summary!$F$64:$F$66</c:f>
              <c:numCache>
                <c:formatCode>General</c:formatCode>
                <c:ptCount val="3"/>
                <c:pt idx="0">
                  <c:v>1.5403392679948031</c:v>
                </c:pt>
                <c:pt idx="1">
                  <c:v>1.4879562134824009</c:v>
                </c:pt>
                <c:pt idx="2">
                  <c:v>1.4322491984414667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C2-9B40-A145-901E6DCAF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842335"/>
        <c:axId val="1377307279"/>
      </c:scatterChart>
      <c:valAx>
        <c:axId val="137284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307279"/>
        <c:crosses val="autoZero"/>
        <c:crossBetween val="midCat"/>
      </c:valAx>
      <c:valAx>
        <c:axId val="137730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4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Summary!$U$44:$U$48</c:f>
              <c:numCache>
                <c:formatCode>General</c:formatCode>
                <c:ptCount val="5"/>
                <c:pt idx="0">
                  <c:v>0.41</c:v>
                </c:pt>
                <c:pt idx="1">
                  <c:v>0.24</c:v>
                </c:pt>
                <c:pt idx="2">
                  <c:v>0.15</c:v>
                </c:pt>
                <c:pt idx="3">
                  <c:v>0</c:v>
                </c:pt>
                <c:pt idx="4">
                  <c:v>1</c:v>
                </c:pt>
              </c:numCache>
            </c:numRef>
          </c:xVal>
          <c:yVal>
            <c:numRef>
              <c:f>Summary!$V$44:$V$48</c:f>
              <c:numCache>
                <c:formatCode>General</c:formatCode>
                <c:ptCount val="5"/>
                <c:pt idx="0">
                  <c:v>7.0599999999999996E-2</c:v>
                </c:pt>
                <c:pt idx="1">
                  <c:v>6.9400000000000003E-2</c:v>
                </c:pt>
                <c:pt idx="2">
                  <c:v>6.3299999999999995E-2</c:v>
                </c:pt>
                <c:pt idx="3">
                  <c:v>6.7299999999999999E-2</c:v>
                </c:pt>
                <c:pt idx="4">
                  <c:v>4.3099999999999999E-2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0-5342-9577-52AD80ADB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926815"/>
        <c:axId val="1296835967"/>
      </c:scatterChart>
      <c:valAx>
        <c:axId val="1531926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35967"/>
        <c:crosses val="autoZero"/>
        <c:crossBetween val="midCat"/>
      </c:valAx>
      <c:valAx>
        <c:axId val="129683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26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266700</xdr:colOff>
      <xdr:row>10</xdr:row>
      <xdr:rowOff>177800</xdr:rowOff>
    </xdr:from>
    <xdr:to>
      <xdr:col>37</xdr:col>
      <xdr:colOff>711200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CD08FF-2EDB-A454-E084-5789455EB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361950</xdr:colOff>
      <xdr:row>51</xdr:row>
      <xdr:rowOff>171450</xdr:rowOff>
    </xdr:from>
    <xdr:to>
      <xdr:col>17</xdr:col>
      <xdr:colOff>177800</xdr:colOff>
      <xdr:row>67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10F6DD-C35F-EC20-B16B-24A9A5E7A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749300</xdr:colOff>
      <xdr:row>48</xdr:row>
      <xdr:rowOff>107950</xdr:rowOff>
    </xdr:from>
    <xdr:to>
      <xdr:col>24</xdr:col>
      <xdr:colOff>368300</xdr:colOff>
      <xdr:row>62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64BD02-7E54-D6C3-B15F-E83F797BC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tabSelected="1" workbookViewId="0">
      <selection activeCell="G19" sqref="G19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>C4*F4</f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>(3/2)*AA11*(0.000086173)*200</f>
        <v>20.681519999999999</v>
      </c>
      <c r="AH11">
        <f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>(3/2)*AA12*(0.000086173)*200</f>
        <v>23.266710000000003</v>
      </c>
      <c r="AH12">
        <f>AG12+AE12</f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>(3/2)*AA14*(0.000086173)*200</f>
        <v>28.437090000000005</v>
      </c>
      <c r="AH14">
        <f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si="0"/>
        <v>17.997184448000002</v>
      </c>
      <c r="M15">
        <f t="shared" si="1"/>
        <v>5829.2637115096677</v>
      </c>
      <c r="N15">
        <f t="shared" si="2"/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>(3/2)*AA15*(0.000086173)*200</f>
        <v>31.022280000000002</v>
      </c>
      <c r="AH15">
        <f>AG15+AE15</f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0"/>
        <v>18.182722432000002</v>
      </c>
      <c r="M16">
        <f t="shared" si="1"/>
        <v>6011.4152288532778</v>
      </c>
      <c r="N16">
        <f t="shared" si="2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0"/>
        <v>18.368260416000002</v>
      </c>
      <c r="M17">
        <f t="shared" si="1"/>
        <v>6197.3223158942128</v>
      </c>
      <c r="N17">
        <f t="shared" si="2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0"/>
        <v>18.553798400000002</v>
      </c>
      <c r="M18">
        <f t="shared" si="1"/>
        <v>6387.0232947722425</v>
      </c>
      <c r="N18">
        <f t="shared" si="2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0"/>
        <v>19.295950336000001</v>
      </c>
      <c r="M19">
        <f t="shared" si="1"/>
        <v>7184.5325714506835</v>
      </c>
      <c r="N19">
        <f t="shared" si="2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 t="shared" ref="L24:L30" si="3">$L$9*H24</f>
        <v>17.811646464000003</v>
      </c>
      <c r="M24">
        <f t="shared" ref="M24:M29" si="4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si="3"/>
        <v>18.182722432000002</v>
      </c>
      <c r="M25">
        <f t="shared" si="4"/>
        <v>6011.4152288532778</v>
      </c>
      <c r="N25">
        <f t="shared" ref="N25:N30" si="5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3"/>
        <v>18.368260416000002</v>
      </c>
      <c r="M26">
        <f t="shared" si="4"/>
        <v>6197.3223158942128</v>
      </c>
      <c r="N26">
        <f t="shared" si="5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3"/>
        <v>18.553798400000002</v>
      </c>
      <c r="M27">
        <f t="shared" si="4"/>
        <v>6387.0232947722425</v>
      </c>
      <c r="N27">
        <f t="shared" si="5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3"/>
        <v>18.739336384000001</v>
      </c>
      <c r="M28">
        <f t="shared" si="4"/>
        <v>6580.5564876271364</v>
      </c>
      <c r="N28">
        <f t="shared" si="5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3"/>
        <v>18.924874368000001</v>
      </c>
      <c r="M29">
        <f t="shared" si="4"/>
        <v>6777.9602165986616</v>
      </c>
      <c r="N29">
        <f t="shared" si="5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si="3"/>
        <v>19.295950336000001</v>
      </c>
      <c r="M30">
        <f>L30^3</f>
        <v>7184.5325714506835</v>
      </c>
      <c r="N30">
        <f t="shared" si="5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 t="shared" ref="L35:L42" si="6">$L$9*H35</f>
        <v>17.811646464000003</v>
      </c>
      <c r="M35">
        <f t="shared" ref="M35:M41" si="7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 t="shared" si="6"/>
        <v>18.182722432000002</v>
      </c>
      <c r="M36">
        <f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si="6"/>
        <v>18.368260416000002</v>
      </c>
      <c r="M37">
        <f t="shared" si="7"/>
        <v>6197.3223158942128</v>
      </c>
      <c r="N37">
        <f t="shared" ref="N37:N42" si="8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6"/>
        <v>18.553798400000002</v>
      </c>
      <c r="M38">
        <f t="shared" si="7"/>
        <v>6387.0232947722425</v>
      </c>
      <c r="N38">
        <f t="shared" si="8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6"/>
        <v>18.739336384000001</v>
      </c>
      <c r="M39">
        <f t="shared" si="7"/>
        <v>6580.5564876271364</v>
      </c>
      <c r="N39">
        <f t="shared" si="8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6"/>
        <v>18.924874368000001</v>
      </c>
      <c r="M40">
        <f t="shared" si="7"/>
        <v>6777.9602165986616</v>
      </c>
      <c r="N40">
        <f t="shared" si="8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6"/>
        <v>19.110412352000001</v>
      </c>
      <c r="M41">
        <f t="shared" si="7"/>
        <v>6979.2728038265886</v>
      </c>
      <c r="N41">
        <f t="shared" si="8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si="6"/>
        <v>19.295950336000001</v>
      </c>
      <c r="M42">
        <f>L42^3</f>
        <v>7184.5325714506835</v>
      </c>
      <c r="N42">
        <f t="shared" si="8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 t="shared" ref="L47:L52" si="9">$L$9*H47</f>
        <v>17.626108479999999</v>
      </c>
      <c r="M47">
        <f t="shared" ref="M47:M52" si="10">L47^3</f>
        <v>5476.0740973553493</v>
      </c>
      <c r="N47">
        <f t="shared" ref="N47:N52" si="11"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si="9"/>
        <v>17.811646464000003</v>
      </c>
      <c r="M48">
        <f t="shared" si="10"/>
        <v>5650.8294417236166</v>
      </c>
      <c r="N48">
        <f t="shared" si="11"/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9"/>
        <v>17.997184448000002</v>
      </c>
      <c r="M49">
        <f t="shared" si="10"/>
        <v>5829.2637115096677</v>
      </c>
      <c r="N49">
        <f t="shared" si="1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9"/>
        <v>18.182722432000002</v>
      </c>
      <c r="M50">
        <f t="shared" si="10"/>
        <v>6011.4152288532778</v>
      </c>
      <c r="N50">
        <f t="shared" si="1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9"/>
        <v>18.368260416000002</v>
      </c>
      <c r="M51">
        <f t="shared" si="10"/>
        <v>6197.3223158942128</v>
      </c>
      <c r="N51">
        <f t="shared" si="1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9"/>
        <v>18.553798400000002</v>
      </c>
      <c r="M52">
        <f t="shared" si="10"/>
        <v>6387.0232947722425</v>
      </c>
      <c r="N52">
        <f t="shared" si="1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 t="shared" ref="L57:L62" si="12">$L$9*H57</f>
        <v>17.440570495999999</v>
      </c>
      <c r="M57">
        <f t="shared" ref="M57:M62" si="13">L57^3</f>
        <v>5304.9593562651062</v>
      </c>
      <c r="N57">
        <f t="shared" ref="N57:N62" si="14"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si="12"/>
        <v>17.626108479999999</v>
      </c>
      <c r="M58">
        <f t="shared" si="13"/>
        <v>5476.0740973553493</v>
      </c>
      <c r="N58">
        <f t="shared" si="14"/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12"/>
        <v>17.811646464000003</v>
      </c>
      <c r="M59">
        <f t="shared" si="13"/>
        <v>5650.8294417236166</v>
      </c>
      <c r="N59">
        <f t="shared" si="1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12"/>
        <v>17.997184448000002</v>
      </c>
      <c r="M60">
        <f t="shared" si="13"/>
        <v>5829.2637115096677</v>
      </c>
      <c r="N60">
        <f t="shared" si="1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12"/>
        <v>18.182722432000002</v>
      </c>
      <c r="M61">
        <f t="shared" si="13"/>
        <v>6011.4152288532778</v>
      </c>
      <c r="N61">
        <f t="shared" si="1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12"/>
        <v>18.368260416000002</v>
      </c>
      <c r="M62">
        <f t="shared" si="13"/>
        <v>6197.3223158942128</v>
      </c>
      <c r="N62">
        <f t="shared" si="1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topLeftCell="E5" workbookViewId="0">
      <selection activeCell="X7" sqref="X7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LINEST(K68:K72,M68:M72^{1,2})</f>
        <v>7.3219060812253629E-6</v>
      </c>
      <c r="Q5">
        <v>-9.7961554243807467E-2</v>
      </c>
      <c r="R5">
        <v>323.28139910829242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7463.1851690011599</v>
      </c>
      <c r="R6">
        <f>(-Q5-SQRT(Q5^2-4*P5*R5))/(2*P5)</f>
        <v>5916.0569514349218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LINEST(K68:K72,I68:I72^{1,2})</f>
        <v>8.2039806160061485E-2</v>
      </c>
      <c r="Q9">
        <v>65.585007493120202</v>
      </c>
      <c r="R9">
        <v>13093.041965147091</v>
      </c>
    </row>
    <row r="10" spans="1:29" x14ac:dyDescent="0.2">
      <c r="B10" t="s">
        <v>12</v>
      </c>
      <c r="P10" t="s">
        <v>34</v>
      </c>
      <c r="Q10">
        <f>(-Q9+SQRT(Q9^2-4*P9*R9))/(2*P9)</f>
        <v>-386.37486949145233</v>
      </c>
      <c r="R10">
        <f>(-Q9-SQRT(Q9^2-4*P9*R9))/(2*P9)</f>
        <v>-413.05421942134194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  <c r="V12">
        <v>700</v>
      </c>
      <c r="W12">
        <v>5916.0569514349218</v>
      </c>
      <c r="X12">
        <f>W12^(1/3)</f>
        <v>18.086066167805207</v>
      </c>
      <c r="Y12">
        <f>$L$5/(W12*(10^-24))</f>
        <v>1.5881076529733522</v>
      </c>
      <c r="Z12">
        <v>-413.05421942134194</v>
      </c>
      <c r="AA12">
        <f>Z12/Z14</f>
        <v>1.0189023451607633</v>
      </c>
      <c r="AB12">
        <f t="shared" ref="AB12:AB17" si="0">(3/2)*V12*(0.000086173)*200</f>
        <v>18.096329999999998</v>
      </c>
      <c r="AC12">
        <f t="shared" ref="AC12:AC17" si="1">AB12+Z12</f>
        <v>-394.95788942134192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 t="shared" si="0"/>
        <v>20.681519999999999</v>
      </c>
      <c r="AC13">
        <f t="shared" si="1"/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 t="shared" ref="L14:L19" si="2">$L$9*H14</f>
        <v>17.811646464000003</v>
      </c>
      <c r="M14">
        <f t="shared" ref="M14:M19" si="3">L14^3</f>
        <v>5650.8294417236166</v>
      </c>
      <c r="N14">
        <f t="shared" ref="N14:N19" si="4"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 t="shared" si="0"/>
        <v>23.266710000000003</v>
      </c>
      <c r="AC14">
        <f t="shared" si="1"/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si="2"/>
        <v>17.997184448000002</v>
      </c>
      <c r="M15">
        <f t="shared" si="3"/>
        <v>5829.2637115096677</v>
      </c>
      <c r="N15">
        <f t="shared" si="4"/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 t="shared" si="0"/>
        <v>25.851900000000001</v>
      </c>
      <c r="AC15">
        <f t="shared" si="1"/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2"/>
        <v>18.182722432000002</v>
      </c>
      <c r="M16">
        <f t="shared" si="3"/>
        <v>6011.4152288532778</v>
      </c>
      <c r="N16">
        <f t="shared" si="4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 t="shared" si="0"/>
        <v>28.437090000000005</v>
      </c>
      <c r="AC16">
        <f t="shared" si="1"/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2"/>
        <v>18.368260416000002</v>
      </c>
      <c r="M17">
        <f t="shared" si="3"/>
        <v>6197.3223158942128</v>
      </c>
      <c r="N17">
        <f t="shared" si="4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 t="shared" si="0"/>
        <v>31.022280000000002</v>
      </c>
      <c r="AC17">
        <f t="shared" si="1"/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si="2"/>
        <v>18.553798400000002</v>
      </c>
      <c r="M18">
        <f t="shared" si="3"/>
        <v>6387.0232947722425</v>
      </c>
      <c r="N18">
        <f t="shared" si="4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2"/>
        <v>19.295950336000001</v>
      </c>
      <c r="M19">
        <f t="shared" si="3"/>
        <v>7184.5325714506835</v>
      </c>
      <c r="N19">
        <f t="shared" si="4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5">L24^3</f>
        <v>5650.8294417236166</v>
      </c>
      <c r="N24">
        <f t="shared" ref="N24:N31" si="6"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>L25^3</f>
        <v>5829.2637115096677</v>
      </c>
      <c r="N25">
        <f t="shared" si="6"/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7">$L$9*H26</f>
        <v>18.182722432000002</v>
      </c>
      <c r="M26">
        <f t="shared" si="5"/>
        <v>6011.4152288532778</v>
      </c>
      <c r="N26">
        <f t="shared" si="6"/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7"/>
        <v>18.368260416000002</v>
      </c>
      <c r="M27">
        <f t="shared" si="5"/>
        <v>6197.3223158942128</v>
      </c>
      <c r="N27">
        <f t="shared" si="6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7"/>
        <v>18.553798400000002</v>
      </c>
      <c r="M28">
        <f t="shared" si="5"/>
        <v>6387.0232947722425</v>
      </c>
      <c r="N28">
        <f t="shared" si="6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7"/>
        <v>18.739336384000001</v>
      </c>
      <c r="M29">
        <f t="shared" si="5"/>
        <v>6580.5564876271364</v>
      </c>
      <c r="N29">
        <f t="shared" si="6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7"/>
        <v>18.924874368000001</v>
      </c>
      <c r="M30">
        <f t="shared" si="5"/>
        <v>6777.9602165986616</v>
      </c>
      <c r="N30">
        <f t="shared" si="6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7"/>
        <v>19.295950336000001</v>
      </c>
      <c r="M31">
        <f t="shared" si="5"/>
        <v>7184.5325714506835</v>
      </c>
      <c r="N31">
        <f t="shared" si="6"/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8">L36^3</f>
        <v>5650.8294417236166</v>
      </c>
      <c r="N36">
        <f t="shared" ref="N36:N43" si="9"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>L37^3</f>
        <v>6011.4152288532778</v>
      </c>
      <c r="N37">
        <f t="shared" si="9"/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10">$L$9*H38</f>
        <v>18.368260416000002</v>
      </c>
      <c r="M38">
        <f t="shared" si="8"/>
        <v>6197.3223158942128</v>
      </c>
      <c r="N38">
        <f t="shared" si="9"/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10"/>
        <v>18.553798400000002</v>
      </c>
      <c r="M39">
        <f t="shared" si="8"/>
        <v>6387.0232947722425</v>
      </c>
      <c r="N39">
        <f t="shared" si="9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10"/>
        <v>18.739336384000001</v>
      </c>
      <c r="M40">
        <f t="shared" si="8"/>
        <v>6580.5564876271364</v>
      </c>
      <c r="N40">
        <f t="shared" si="9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10"/>
        <v>18.924874368000001</v>
      </c>
      <c r="M41">
        <f t="shared" si="8"/>
        <v>6777.9602165986616</v>
      </c>
      <c r="N41">
        <f t="shared" si="9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10"/>
        <v>19.110412352000001</v>
      </c>
      <c r="M42">
        <f t="shared" si="8"/>
        <v>6979.2728038265886</v>
      </c>
      <c r="N42">
        <f t="shared" si="9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10"/>
        <v>19.295950336000001</v>
      </c>
      <c r="M43">
        <f>L43^3</f>
        <v>7184.5325714506835</v>
      </c>
      <c r="N43">
        <f t="shared" si="9"/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 t="shared" ref="L48:L53" si="11">$L$9*H48</f>
        <v>17.626108479999999</v>
      </c>
      <c r="M48">
        <f t="shared" ref="M48:M53" si="12">L48^3</f>
        <v>5476.0740973553493</v>
      </c>
      <c r="N48">
        <f t="shared" ref="N48:N53" si="13"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si="11"/>
        <v>17.811646464000003</v>
      </c>
      <c r="M49">
        <f t="shared" si="12"/>
        <v>5650.8294417236166</v>
      </c>
      <c r="N49">
        <f t="shared" si="13"/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11"/>
        <v>17.997184448000002</v>
      </c>
      <c r="M50">
        <f t="shared" si="12"/>
        <v>5829.2637115096677</v>
      </c>
      <c r="N50">
        <f t="shared" si="13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11"/>
        <v>18.182722432000002</v>
      </c>
      <c r="M51">
        <f t="shared" si="12"/>
        <v>6011.4152288532778</v>
      </c>
      <c r="N51">
        <f t="shared" si="13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11"/>
        <v>18.368260416000002</v>
      </c>
      <c r="M52">
        <f t="shared" si="12"/>
        <v>6197.3223158942128</v>
      </c>
      <c r="N52">
        <f t="shared" si="13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11"/>
        <v>18.553798400000002</v>
      </c>
      <c r="M53">
        <f t="shared" si="12"/>
        <v>6387.0232947722425</v>
      </c>
      <c r="N53">
        <f t="shared" si="13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 t="shared" ref="L58:L63" si="14">$L$9*H58</f>
        <v>17.440570495999999</v>
      </c>
      <c r="M58">
        <f t="shared" ref="M58:M63" si="15">L58^3</f>
        <v>5304.9593562651062</v>
      </c>
      <c r="N58">
        <f t="shared" ref="N58:N63" si="16"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si="14"/>
        <v>17.626108479999999</v>
      </c>
      <c r="M59">
        <f t="shared" si="15"/>
        <v>5476.0740973553493</v>
      </c>
      <c r="N59">
        <f t="shared" si="16"/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4"/>
        <v>17.811646464000003</v>
      </c>
      <c r="M60">
        <f t="shared" si="15"/>
        <v>5650.8294417236166</v>
      </c>
      <c r="N60">
        <f t="shared" si="16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4"/>
        <v>17.997184448000002</v>
      </c>
      <c r="M61">
        <f t="shared" si="15"/>
        <v>5829.2637115096677</v>
      </c>
      <c r="N61">
        <f t="shared" si="16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4"/>
        <v>18.182722432000002</v>
      </c>
      <c r="M62">
        <f t="shared" si="15"/>
        <v>6011.4152288532778</v>
      </c>
      <c r="N62">
        <f t="shared" si="16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4"/>
        <v>18.368260416000002</v>
      </c>
      <c r="M63">
        <f t="shared" si="15"/>
        <v>6197.3223158942128</v>
      </c>
      <c r="N63">
        <f t="shared" si="16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19" x14ac:dyDescent="0.2">
      <c r="A65">
        <v>52</v>
      </c>
      <c r="B65" s="1">
        <v>-385.13546000000002</v>
      </c>
      <c r="C65">
        <v>4.68</v>
      </c>
      <c r="H65">
        <v>700</v>
      </c>
    </row>
    <row r="66" spans="1:19" x14ac:dyDescent="0.2">
      <c r="A66">
        <v>53</v>
      </c>
      <c r="B66" s="1">
        <v>-385.27821999999998</v>
      </c>
      <c r="C66">
        <v>4.46</v>
      </c>
    </row>
    <row r="67" spans="1:19" x14ac:dyDescent="0.2">
      <c r="A67">
        <v>54</v>
      </c>
      <c r="B67" s="1">
        <v>-385.49423000000002</v>
      </c>
      <c r="C67">
        <v>4.38</v>
      </c>
      <c r="I67" t="s">
        <v>13</v>
      </c>
      <c r="J67" t="s">
        <v>15</v>
      </c>
      <c r="K67" t="s">
        <v>16</v>
      </c>
      <c r="L67" t="s">
        <v>17</v>
      </c>
      <c r="M67" t="s">
        <v>18</v>
      </c>
      <c r="N67" t="s">
        <v>19</v>
      </c>
      <c r="O67" t="s">
        <v>20</v>
      </c>
      <c r="P67" t="s">
        <v>17</v>
      </c>
      <c r="Q67" t="s">
        <v>19</v>
      </c>
      <c r="R67" t="s">
        <v>21</v>
      </c>
      <c r="S67" t="s">
        <v>22</v>
      </c>
    </row>
    <row r="68" spans="1:19" x14ac:dyDescent="0.2">
      <c r="A68">
        <v>55</v>
      </c>
      <c r="B68" s="1">
        <v>-385.75569999999999</v>
      </c>
      <c r="C68">
        <v>4.3600000000000003</v>
      </c>
      <c r="H68">
        <v>0.94</v>
      </c>
      <c r="I68">
        <v>-416.91636136444498</v>
      </c>
      <c r="J68">
        <v>18.057324000000001</v>
      </c>
      <c r="K68">
        <v>9.5380466666666699</v>
      </c>
      <c r="L68">
        <f t="shared" ref="L68:L72" si="17">$L$9*H68</f>
        <v>17.440570495999999</v>
      </c>
      <c r="M68">
        <f t="shared" ref="M68:M72" si="18">L68^3</f>
        <v>5304.9593562651062</v>
      </c>
      <c r="N68">
        <f t="shared" ref="N68:N72" si="19">$L$5/M68/(1E-24)</f>
        <v>1.7710475592813351</v>
      </c>
    </row>
    <row r="69" spans="1:19" x14ac:dyDescent="0.2">
      <c r="A69">
        <v>56</v>
      </c>
      <c r="B69" s="1">
        <v>-386.04521</v>
      </c>
      <c r="C69">
        <v>4.26</v>
      </c>
      <c r="H69">
        <v>0.95</v>
      </c>
      <c r="I69">
        <v>-415.70642831777798</v>
      </c>
      <c r="J69">
        <v>18.171710666666701</v>
      </c>
      <c r="K69">
        <v>6.6397555555555599</v>
      </c>
      <c r="L69">
        <f t="shared" si="17"/>
        <v>17.626108479999999</v>
      </c>
      <c r="M69">
        <f t="shared" si="18"/>
        <v>5476.0740973553493</v>
      </c>
      <c r="N69">
        <f t="shared" si="19"/>
        <v>1.7157063898272384</v>
      </c>
    </row>
    <row r="70" spans="1:19" x14ac:dyDescent="0.2">
      <c r="A70">
        <v>57</v>
      </c>
      <c r="B70" s="1">
        <v>-386.32670000000002</v>
      </c>
      <c r="C70">
        <v>4.07</v>
      </c>
      <c r="H70">
        <v>0.96</v>
      </c>
      <c r="I70">
        <v>-414.49028454888901</v>
      </c>
      <c r="J70">
        <v>18.321934444444501</v>
      </c>
      <c r="K70">
        <v>3.5028311111111101</v>
      </c>
      <c r="L70">
        <f t="shared" si="17"/>
        <v>17.811646464000003</v>
      </c>
      <c r="M70">
        <f t="shared" si="18"/>
        <v>5650.8294417236166</v>
      </c>
      <c r="N70">
        <f t="shared" si="19"/>
        <v>1.6626471240891381</v>
      </c>
    </row>
    <row r="71" spans="1:19" x14ac:dyDescent="0.2">
      <c r="A71">
        <v>58</v>
      </c>
      <c r="B71" s="1">
        <v>-386.55347999999998</v>
      </c>
      <c r="C71">
        <v>4.1100000000000003</v>
      </c>
      <c r="H71">
        <v>0.97</v>
      </c>
      <c r="I71">
        <v>-413.65676411555501</v>
      </c>
      <c r="J71">
        <v>18.145422</v>
      </c>
      <c r="K71">
        <v>0.83164000000000105</v>
      </c>
      <c r="L71">
        <f t="shared" si="17"/>
        <v>17.997184448000002</v>
      </c>
      <c r="M71">
        <f t="shared" si="18"/>
        <v>5829.2637115096677</v>
      </c>
      <c r="N71">
        <f t="shared" si="19"/>
        <v>1.6117533508475959</v>
      </c>
      <c r="O71">
        <v>5916.0569514349218</v>
      </c>
      <c r="P71">
        <f>O71^(1/3)</f>
        <v>18.086066167805207</v>
      </c>
      <c r="Q71">
        <f>$L$5/(O71*(10^-24))</f>
        <v>1.5881076529733522</v>
      </c>
      <c r="R71">
        <v>-413.05421942134194</v>
      </c>
      <c r="S71">
        <f>R71/R73</f>
        <v>-4.1305421942134197</v>
      </c>
    </row>
    <row r="72" spans="1:19" x14ac:dyDescent="0.2">
      <c r="A72">
        <v>59</v>
      </c>
      <c r="B72" s="1">
        <v>-386.64524999999998</v>
      </c>
      <c r="C72">
        <v>4.2699999999999996</v>
      </c>
      <c r="H72">
        <v>0.98</v>
      </c>
      <c r="I72">
        <v>-412.53339621333299</v>
      </c>
      <c r="J72">
        <v>18.281121333333299</v>
      </c>
      <c r="K72">
        <v>-0.90975111111111195</v>
      </c>
      <c r="L72">
        <f t="shared" si="17"/>
        <v>18.182722432000002</v>
      </c>
      <c r="M72">
        <f t="shared" si="18"/>
        <v>6011.4152288532778</v>
      </c>
      <c r="N72">
        <f t="shared" si="19"/>
        <v>1.5629157132424922</v>
      </c>
    </row>
    <row r="73" spans="1:19" x14ac:dyDescent="0.2">
      <c r="A73">
        <v>60</v>
      </c>
      <c r="B73" s="1">
        <v>-386.62722000000002</v>
      </c>
      <c r="C73">
        <v>4.62</v>
      </c>
      <c r="Q73" t="s">
        <v>37</v>
      </c>
      <c r="R73">
        <v>100</v>
      </c>
    </row>
    <row r="74" spans="1:19" x14ac:dyDescent="0.2">
      <c r="A74">
        <v>61</v>
      </c>
      <c r="B74" s="1">
        <v>-386.52071999999998</v>
      </c>
      <c r="C74">
        <v>5.03</v>
      </c>
    </row>
    <row r="75" spans="1:19" x14ac:dyDescent="0.2">
      <c r="A75">
        <v>62</v>
      </c>
      <c r="B75" s="1">
        <v>-386.32990999999998</v>
      </c>
      <c r="C75">
        <v>5.28</v>
      </c>
    </row>
    <row r="76" spans="1:19" x14ac:dyDescent="0.2">
      <c r="A76">
        <v>63</v>
      </c>
      <c r="B76" s="1">
        <v>-386.11622</v>
      </c>
      <c r="C76">
        <v>5.57</v>
      </c>
    </row>
    <row r="77" spans="1:19" x14ac:dyDescent="0.2">
      <c r="A77">
        <v>64</v>
      </c>
      <c r="B77" s="1">
        <v>-385.89852000000002</v>
      </c>
      <c r="C77">
        <v>5.83</v>
      </c>
    </row>
    <row r="78" spans="1:19" x14ac:dyDescent="0.2">
      <c r="A78">
        <v>65</v>
      </c>
      <c r="B78" s="1">
        <v>-385.76749999999998</v>
      </c>
      <c r="C78">
        <v>5.88</v>
      </c>
    </row>
    <row r="79" spans="1:19" x14ac:dyDescent="0.2">
      <c r="A79">
        <v>66</v>
      </c>
      <c r="B79" s="1">
        <v>-385.76080999999999</v>
      </c>
      <c r="C79">
        <v>6.11</v>
      </c>
    </row>
    <row r="80" spans="1:19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topLeftCell="B1" workbookViewId="0">
      <selection activeCell="J66" sqref="J66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>(3/2)*V11*(0.000086173)*200</f>
        <v>20.681519999999999</v>
      </c>
      <c r="AC11">
        <f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>(3/2)*V12*(0.000086173)*200</f>
        <v>23.266710000000003</v>
      </c>
      <c r="AC12">
        <f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>(3/2)*V14*(0.000086173)*200</f>
        <v>28.437090000000005</v>
      </c>
      <c r="AC14">
        <f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si="0"/>
        <v>17.997184448000002</v>
      </c>
      <c r="M15">
        <f t="shared" si="1"/>
        <v>5829.2637115096677</v>
      </c>
      <c r="N15">
        <f t="shared" si="2"/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>AB15+Z15</f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0"/>
        <v>18.182722432000002</v>
      </c>
      <c r="M16">
        <f t="shared" si="1"/>
        <v>6011.4152288532778</v>
      </c>
      <c r="N16">
        <f t="shared" si="2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0"/>
        <v>18.368260416000002</v>
      </c>
      <c r="M17">
        <f t="shared" si="1"/>
        <v>6197.3223158942128</v>
      </c>
      <c r="N17">
        <f t="shared" si="2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0"/>
        <v>18.553798400000002</v>
      </c>
      <c r="M18">
        <f t="shared" si="1"/>
        <v>6387.0232947722425</v>
      </c>
      <c r="N18">
        <f t="shared" si="2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0"/>
        <v>19.295950336000001</v>
      </c>
      <c r="M19">
        <f t="shared" si="1"/>
        <v>7184.5325714506835</v>
      </c>
      <c r="N19">
        <f t="shared" si="2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3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4">$L$9*H25</f>
        <v>18.182722432000002</v>
      </c>
      <c r="M25">
        <f t="shared" si="3"/>
        <v>6011.4152288532778</v>
      </c>
      <c r="N25">
        <f t="shared" ref="N25:N30" si="5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4"/>
        <v>18.368260416000002</v>
      </c>
      <c r="M26">
        <f t="shared" si="3"/>
        <v>6197.3223158942128</v>
      </c>
      <c r="N26">
        <f t="shared" si="5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4"/>
        <v>18.553798400000002</v>
      </c>
      <c r="M27">
        <f t="shared" si="3"/>
        <v>6387.0232947722425</v>
      </c>
      <c r="N27">
        <f t="shared" si="5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4"/>
        <v>18.739336384000001</v>
      </c>
      <c r="M28">
        <f t="shared" si="3"/>
        <v>6580.5564876271364</v>
      </c>
      <c r="N28">
        <f t="shared" si="5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4"/>
        <v>18.924874368000001</v>
      </c>
      <c r="M29">
        <f t="shared" si="3"/>
        <v>6777.9602165986616</v>
      </c>
      <c r="N29">
        <f t="shared" si="5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4"/>
        <v>19.295950336000001</v>
      </c>
      <c r="M30">
        <f t="shared" si="3"/>
        <v>7184.5325714506835</v>
      </c>
      <c r="N30">
        <f t="shared" si="5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6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7">$L$9*H36</f>
        <v>18.368260416000002</v>
      </c>
      <c r="M36">
        <f t="shared" si="6"/>
        <v>6197.3223158942128</v>
      </c>
      <c r="N36">
        <f t="shared" ref="N36:N41" si="8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7"/>
        <v>18.553798400000002</v>
      </c>
      <c r="M37">
        <f t="shared" si="6"/>
        <v>6387.0232947722425</v>
      </c>
      <c r="N37">
        <f t="shared" si="8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7"/>
        <v>18.739336384000001</v>
      </c>
      <c r="M38">
        <f t="shared" si="6"/>
        <v>6580.5564876271364</v>
      </c>
      <c r="N38">
        <f t="shared" si="8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7"/>
        <v>18.924874368000001</v>
      </c>
      <c r="M39">
        <f t="shared" si="6"/>
        <v>6777.9602165986616</v>
      </c>
      <c r="N39">
        <f t="shared" si="8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7"/>
        <v>19.110412352000001</v>
      </c>
      <c r="M40">
        <f t="shared" si="6"/>
        <v>6979.2728038265886</v>
      </c>
      <c r="N40">
        <f t="shared" si="8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7"/>
        <v>19.295950336000001</v>
      </c>
      <c r="M41">
        <f t="shared" si="6"/>
        <v>7184.5325714506835</v>
      </c>
      <c r="N41">
        <f t="shared" si="8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 t="shared" ref="L46:L51" si="9">$L$9*H46</f>
        <v>17.440570495999999</v>
      </c>
      <c r="M46">
        <f t="shared" ref="M46:M51" si="10">L46^3</f>
        <v>5304.9593562651062</v>
      </c>
      <c r="N46">
        <f t="shared" ref="N46:N51" si="11"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si="9"/>
        <v>17.626108479999999</v>
      </c>
      <c r="M47">
        <f t="shared" si="10"/>
        <v>5476.0740973553493</v>
      </c>
      <c r="N47">
        <f t="shared" si="11"/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9"/>
        <v>17.811646464000003</v>
      </c>
      <c r="M48">
        <f t="shared" si="10"/>
        <v>5650.8294417236166</v>
      </c>
      <c r="N48">
        <f t="shared" si="11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9"/>
        <v>17.997184448000002</v>
      </c>
      <c r="M49">
        <f t="shared" si="10"/>
        <v>5829.2637115096677</v>
      </c>
      <c r="N49">
        <f t="shared" si="11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9"/>
        <v>18.182722432000002</v>
      </c>
      <c r="M50">
        <f t="shared" si="10"/>
        <v>6011.4152288532778</v>
      </c>
      <c r="N50">
        <f t="shared" si="11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si="9"/>
        <v>18.368260416000002</v>
      </c>
      <c r="M51">
        <f t="shared" si="10"/>
        <v>6197.3223158942128</v>
      </c>
      <c r="N51">
        <f t="shared" si="11"/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1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13">$L$9*H57</f>
        <v>17.440570495999999</v>
      </c>
      <c r="M57">
        <f t="shared" si="12"/>
        <v>5304.9593562651062</v>
      </c>
      <c r="N57">
        <f t="shared" ref="N57:N62" si="1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13"/>
        <v>17.626108479999999</v>
      </c>
      <c r="M58">
        <f t="shared" si="12"/>
        <v>5476.0740973553493</v>
      </c>
      <c r="N58">
        <f t="shared" si="1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13"/>
        <v>17.811646464000003</v>
      </c>
      <c r="M59">
        <f t="shared" si="12"/>
        <v>5650.8294417236166</v>
      </c>
      <c r="N59">
        <f t="shared" si="1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13"/>
        <v>17.997184448000002</v>
      </c>
      <c r="M60">
        <f t="shared" si="12"/>
        <v>5829.2637115096677</v>
      </c>
      <c r="N60">
        <f t="shared" si="1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13"/>
        <v>18.182722432000002</v>
      </c>
      <c r="M61">
        <f t="shared" si="12"/>
        <v>6011.4152288532778</v>
      </c>
      <c r="N61">
        <f t="shared" si="1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13"/>
        <v>18.368260416000002</v>
      </c>
      <c r="M62">
        <f t="shared" si="12"/>
        <v>6197.3223158942128</v>
      </c>
      <c r="N62">
        <f t="shared" si="1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  <c r="H64">
        <v>700</v>
      </c>
    </row>
    <row r="65" spans="1:19" x14ac:dyDescent="0.2">
      <c r="A65">
        <v>52</v>
      </c>
      <c r="B65" s="1">
        <v>-397.1823</v>
      </c>
      <c r="C65">
        <v>5.42</v>
      </c>
    </row>
    <row r="66" spans="1:19" x14ac:dyDescent="0.2">
      <c r="A66">
        <v>53</v>
      </c>
      <c r="B66" s="1">
        <v>-397.06781000000001</v>
      </c>
      <c r="C66">
        <v>5.47</v>
      </c>
      <c r="I66" t="s">
        <v>13</v>
      </c>
      <c r="J66" t="s">
        <v>15</v>
      </c>
      <c r="K66" t="s">
        <v>16</v>
      </c>
      <c r="L66" t="s">
        <v>17</v>
      </c>
      <c r="M66" t="s">
        <v>18</v>
      </c>
      <c r="N66" t="s">
        <v>19</v>
      </c>
      <c r="O66" t="s">
        <v>20</v>
      </c>
      <c r="P66" t="s">
        <v>17</v>
      </c>
      <c r="Q66" t="s">
        <v>19</v>
      </c>
      <c r="R66" t="s">
        <v>21</v>
      </c>
      <c r="S66" t="s">
        <v>22</v>
      </c>
    </row>
    <row r="67" spans="1:19" x14ac:dyDescent="0.2">
      <c r="A67">
        <v>54</v>
      </c>
      <c r="B67" s="1">
        <v>-396.94950999999998</v>
      </c>
      <c r="C67">
        <v>5.63</v>
      </c>
      <c r="H67">
        <v>0.93</v>
      </c>
      <c r="I67">
        <v>-429.394246786667</v>
      </c>
      <c r="J67">
        <v>18.083665111111099</v>
      </c>
      <c r="K67">
        <v>15.325564444444501</v>
      </c>
      <c r="L67">
        <f>$L$9*H67</f>
        <v>17.255032512000003</v>
      </c>
      <c r="M67">
        <f t="shared" ref="M67:M72" si="15">L67^3</f>
        <v>5137.4468963131185</v>
      </c>
      <c r="N67">
        <f>$L$5/M67/(1E-24)</f>
        <v>1.8236230698021392</v>
      </c>
    </row>
    <row r="68" spans="1:19" x14ac:dyDescent="0.2">
      <c r="A68">
        <v>55</v>
      </c>
      <c r="B68" s="1">
        <v>-396.78928999999999</v>
      </c>
      <c r="C68">
        <v>5.62</v>
      </c>
      <c r="H68">
        <v>0.94</v>
      </c>
      <c r="I68">
        <v>-429.44705398222197</v>
      </c>
      <c r="J68">
        <v>18.087517777777801</v>
      </c>
      <c r="K68">
        <v>10.1216622222223</v>
      </c>
      <c r="L68">
        <f t="shared" ref="L68:L72" si="16">$L$9*H68</f>
        <v>17.440570495999999</v>
      </c>
      <c r="M68">
        <f t="shared" si="15"/>
        <v>5304.9593562651062</v>
      </c>
      <c r="N68">
        <f t="shared" ref="N68:N72" si="17">$L$5/M68/(1E-24)</f>
        <v>1.7660392947093133</v>
      </c>
    </row>
    <row r="69" spans="1:19" x14ac:dyDescent="0.2">
      <c r="A69">
        <v>56</v>
      </c>
      <c r="B69" s="1">
        <v>-396.59028000000001</v>
      </c>
      <c r="C69">
        <v>5.8</v>
      </c>
      <c r="H69">
        <v>0.95</v>
      </c>
      <c r="I69">
        <v>-429.28274754</v>
      </c>
      <c r="J69">
        <v>17.879457777777802</v>
      </c>
      <c r="K69">
        <v>6.4684533333333301</v>
      </c>
      <c r="L69">
        <f t="shared" si="16"/>
        <v>17.626108479999999</v>
      </c>
      <c r="M69">
        <f t="shared" si="15"/>
        <v>5476.0740973553493</v>
      </c>
      <c r="N69">
        <f t="shared" si="17"/>
        <v>1.7108546220228493</v>
      </c>
      <c r="P69">
        <f>O69^(1/3)</f>
        <v>0</v>
      </c>
      <c r="Q69" t="e">
        <f>$L$5/(O69*(10^-24))</f>
        <v>#DIV/0!</v>
      </c>
      <c r="S69">
        <f>R69/R71</f>
        <v>0</v>
      </c>
    </row>
    <row r="70" spans="1:19" x14ac:dyDescent="0.2">
      <c r="A70">
        <v>57</v>
      </c>
      <c r="B70" s="1">
        <v>-396.42390999999998</v>
      </c>
      <c r="C70">
        <v>6.13</v>
      </c>
      <c r="H70">
        <v>0.96</v>
      </c>
      <c r="I70">
        <v>-428.05329709111101</v>
      </c>
      <c r="J70">
        <v>18.0788915555556</v>
      </c>
      <c r="K70">
        <v>3.2645200000000001</v>
      </c>
      <c r="L70">
        <f t="shared" si="16"/>
        <v>17.811646464000003</v>
      </c>
      <c r="M70">
        <f t="shared" si="15"/>
        <v>5650.8294417236166</v>
      </c>
      <c r="N70">
        <f t="shared" si="17"/>
        <v>1.6579454001609963</v>
      </c>
    </row>
    <row r="71" spans="1:19" x14ac:dyDescent="0.2">
      <c r="A71">
        <v>58</v>
      </c>
      <c r="B71" s="1">
        <v>-396.23595</v>
      </c>
      <c r="C71">
        <v>6.26</v>
      </c>
      <c r="H71">
        <v>0.97</v>
      </c>
      <c r="I71">
        <v>-427.70852254888899</v>
      </c>
      <c r="J71">
        <v>18.225936888888899</v>
      </c>
      <c r="K71">
        <v>0.81075999999999804</v>
      </c>
      <c r="L71">
        <f t="shared" si="16"/>
        <v>17.997184448000002</v>
      </c>
      <c r="M71">
        <f t="shared" si="15"/>
        <v>5829.2637115096677</v>
      </c>
      <c r="N71">
        <f t="shared" si="17"/>
        <v>1.6071955470982919</v>
      </c>
      <c r="Q71" t="s">
        <v>37</v>
      </c>
      <c r="R71">
        <v>100</v>
      </c>
    </row>
    <row r="72" spans="1:19" x14ac:dyDescent="0.2">
      <c r="A72">
        <v>59</v>
      </c>
      <c r="B72" s="1">
        <v>-396.06157000000002</v>
      </c>
      <c r="C72">
        <v>6.58</v>
      </c>
      <c r="H72">
        <v>0.98</v>
      </c>
      <c r="I72">
        <v>-426.10365460666702</v>
      </c>
      <c r="J72">
        <v>17.796532444444399</v>
      </c>
      <c r="K72">
        <v>-0.63090444444444405</v>
      </c>
      <c r="L72">
        <f t="shared" si="16"/>
        <v>18.182722432000002</v>
      </c>
      <c r="M72">
        <f t="shared" si="15"/>
        <v>6011.4152288532778</v>
      </c>
      <c r="N72">
        <f t="shared" si="17"/>
        <v>1.5584960152198908</v>
      </c>
    </row>
    <row r="73" spans="1:19" x14ac:dyDescent="0.2">
      <c r="A73">
        <v>60</v>
      </c>
      <c r="B73" s="1">
        <v>-395.92809</v>
      </c>
      <c r="C73">
        <v>6.8</v>
      </c>
    </row>
    <row r="74" spans="1:19" x14ac:dyDescent="0.2">
      <c r="A74">
        <v>61</v>
      </c>
      <c r="B74" s="1">
        <v>-395.84616999999997</v>
      </c>
      <c r="C74">
        <v>6.88</v>
      </c>
    </row>
    <row r="75" spans="1:19" x14ac:dyDescent="0.2">
      <c r="A75">
        <v>62</v>
      </c>
      <c r="B75" s="1">
        <v>-395.87034999999997</v>
      </c>
      <c r="C75">
        <v>6.97</v>
      </c>
    </row>
    <row r="76" spans="1:19" x14ac:dyDescent="0.2">
      <c r="A76">
        <v>63</v>
      </c>
      <c r="B76" s="1">
        <v>-395.93387000000001</v>
      </c>
      <c r="C76">
        <v>7.02</v>
      </c>
    </row>
    <row r="77" spans="1:19" x14ac:dyDescent="0.2">
      <c r="A77">
        <v>64</v>
      </c>
      <c r="B77" s="1">
        <v>-396.05291999999997</v>
      </c>
      <c r="C77">
        <v>7.14</v>
      </c>
    </row>
    <row r="78" spans="1:19" x14ac:dyDescent="0.2">
      <c r="A78">
        <v>65</v>
      </c>
      <c r="B78" s="1">
        <v>-396.24502000000001</v>
      </c>
      <c r="C78">
        <v>7.18</v>
      </c>
    </row>
    <row r="79" spans="1:19" x14ac:dyDescent="0.2">
      <c r="A79">
        <v>66</v>
      </c>
      <c r="B79" s="1">
        <v>-396.43743999999998</v>
      </c>
      <c r="C79">
        <v>7.35</v>
      </c>
    </row>
    <row r="80" spans="1:19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topLeftCell="A13" workbookViewId="0">
      <selection activeCell="E10" sqref="E10"/>
    </sheetView>
  </sheetViews>
  <sheetFormatPr baseColWidth="10" defaultRowHeight="16" x14ac:dyDescent="0.2"/>
  <cols>
    <col min="16" max="16" width="12.1640625" bestFit="1" customWidth="1"/>
    <col min="29" max="29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>C3*F3</f>
        <v>0</v>
      </c>
      <c r="K3" t="s">
        <v>53</v>
      </c>
      <c r="L3">
        <v>930</v>
      </c>
      <c r="O3" t="s">
        <v>35</v>
      </c>
      <c r="AB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  <c r="AC4" t="s">
        <v>30</v>
      </c>
      <c r="AD4" t="s">
        <v>31</v>
      </c>
      <c r="AE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LINEST(K36:K42,M36:M42^{1,2})</f>
        <v>3.5712870829734356E-6</v>
      </c>
      <c r="Q5">
        <v>-5.9299945358752604E-2</v>
      </c>
      <c r="R5">
        <v>244.73919423842557</v>
      </c>
      <c r="AB5" t="s">
        <v>33</v>
      </c>
      <c r="AC5" cm="1">
        <f t="array" ref="AC5:AE5">LINEST(X38:X45,Z38:Z45^{1,2})</f>
        <v>2.5360869546617801E-6</v>
      </c>
      <c r="AD5">
        <v>-4.3518020710435756E-2</v>
      </c>
      <c r="AE5">
        <v>185.01396021492613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8933.8662045232777</v>
      </c>
      <c r="R6">
        <f>(-Q5-SQRT(Q5^2-4*P5*R5))/(2*P5)</f>
        <v>7670.7763181886648</v>
      </c>
      <c r="AC6" t="s">
        <v>34</v>
      </c>
      <c r="AD6">
        <f>(-AD5+SQRT(AD5^2-4*AC5*AE5))/(2*AC5)</f>
        <v>9391.9786765415611</v>
      </c>
      <c r="AE6">
        <f>(-AD5-SQRT(AD5^2-4*AC5*AE5))/(2*AC5)</f>
        <v>7767.5357598392084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  <c r="AB7" t="s">
        <v>36</v>
      </c>
    </row>
    <row r="8" spans="1:32" x14ac:dyDescent="0.2">
      <c r="P8" t="s">
        <v>30</v>
      </c>
      <c r="Q8" t="s">
        <v>31</v>
      </c>
      <c r="R8" t="s">
        <v>32</v>
      </c>
      <c r="AC8" t="s">
        <v>30</v>
      </c>
      <c r="AD8" t="s">
        <v>31</v>
      </c>
      <c r="AE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LINEST(K36:K42,I36:I42^{1,2})</f>
        <v>0.11756742062857496</v>
      </c>
      <c r="Q9">
        <v>66.965391835142157</v>
      </c>
      <c r="R9">
        <v>9534.8402222768073</v>
      </c>
      <c r="AB9" t="s">
        <v>33</v>
      </c>
      <c r="AC9" cm="1">
        <f t="array" ref="AC9:AE9">LINEST(X38:X45,V38:V45^{1,2})</f>
        <v>4.7242899492739396E-2</v>
      </c>
      <c r="AD9">
        <v>22.023201433691234</v>
      </c>
      <c r="AE9">
        <v>2563.9765017615168</v>
      </c>
    </row>
    <row r="10" spans="1:32" x14ac:dyDescent="0.2">
      <c r="B10" t="s">
        <v>12</v>
      </c>
      <c r="P10" t="s">
        <v>34</v>
      </c>
      <c r="Q10">
        <f>(-Q9+SQRT(Q9^2-4*P9*R9))/(2*P9)</f>
        <v>-282.04800017338425</v>
      </c>
      <c r="R10">
        <f>(-Q9-SQRT(Q9^2-4*P9*R9))/(2*P9)</f>
        <v>-287.54340088918281</v>
      </c>
      <c r="U10" t="s">
        <v>55</v>
      </c>
      <c r="AC10" t="s">
        <v>34</v>
      </c>
      <c r="AD10">
        <f>(-AD9+SQRT(AD9^2-4*AC9*AE9))/(2*AC9)</f>
        <v>-225.58112609508891</v>
      </c>
      <c r="AE10">
        <f>(-AD9-SQRT(AD9^2-4*AC9*AE9))/(2*AC9)</f>
        <v>-240.58842891022798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 t="shared" ref="L14:L19" si="0">$L$9*H14</f>
        <v>18.182722432000002</v>
      </c>
      <c r="M14">
        <f t="shared" ref="M14:M19" si="1">L14^3</f>
        <v>6011.4152288532778</v>
      </c>
      <c r="N14">
        <f t="shared" ref="N14:N19" si="2"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1" si="3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si="0"/>
        <v>18.553798400000002</v>
      </c>
      <c r="M15">
        <f t="shared" si="1"/>
        <v>6387.0232947722425</v>
      </c>
      <c r="N15">
        <f t="shared" si="2"/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1" si="4">$L$9*U15</f>
        <v>18.553798400000002</v>
      </c>
      <c r="Z15">
        <f t="shared" si="3"/>
        <v>6387.0232947722425</v>
      </c>
      <c r="AA15">
        <f t="shared" ref="AA15:AA21" si="5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0"/>
        <v>18.924874368000001</v>
      </c>
      <c r="M16">
        <f t="shared" si="1"/>
        <v>6777.9602165986616</v>
      </c>
      <c r="N16">
        <f t="shared" si="2"/>
        <v>1.6291908844430234</v>
      </c>
      <c r="P16" s="7">
        <f>P17/$L$9</f>
        <v>1.0420091222934531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4"/>
        <v>18.739336384000001</v>
      </c>
      <c r="Z16">
        <f t="shared" si="3"/>
        <v>6580.5564876271364</v>
      </c>
      <c r="AA16">
        <f t="shared" si="5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0"/>
        <v>19.110412352000001</v>
      </c>
      <c r="M17">
        <f t="shared" si="1"/>
        <v>6979.2728038265886</v>
      </c>
      <c r="N17">
        <f t="shared" si="2"/>
        <v>1.5821979324186297</v>
      </c>
      <c r="O17">
        <v>7226.2513444736687</v>
      </c>
      <c r="P17">
        <f>O17^(1/3)</f>
        <v>19.333227185993675</v>
      </c>
      <c r="Q17">
        <f>$L$5/(O17*(10^-24))</f>
        <v>1.5281216323100779</v>
      </c>
      <c r="R17">
        <v>-296.23594144366388</v>
      </c>
      <c r="S17">
        <f>R17/R19</f>
        <v>-2.962359414436639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4"/>
        <v>18.924874368000001</v>
      </c>
      <c r="Z17">
        <f t="shared" si="3"/>
        <v>6777.9602165986616</v>
      </c>
      <c r="AA17">
        <f t="shared" si="5"/>
        <v>1.6291908844430234</v>
      </c>
      <c r="AB17">
        <v>7278.5003512754711</v>
      </c>
      <c r="AC17">
        <f>AB17^(1/3)</f>
        <v>19.37971127166864</v>
      </c>
      <c r="AD17">
        <f>$L$5/(AB17*(10^-24))</f>
        <v>1.5171519498607862</v>
      </c>
      <c r="AE17">
        <v>-249.88945865270523</v>
      </c>
      <c r="AF17">
        <f>AE17/AE19</f>
        <v>-2.4988945865270522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0"/>
        <v>19.295950336000001</v>
      </c>
      <c r="M18">
        <f t="shared" si="1"/>
        <v>7184.5325714506835</v>
      </c>
      <c r="N18">
        <f t="shared" si="2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4"/>
        <v>19.110412352000001</v>
      </c>
      <c r="Z18">
        <f t="shared" si="3"/>
        <v>6979.2728038265886</v>
      </c>
      <c r="AA18">
        <f t="shared" si="5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0"/>
        <v>19.481488320000004</v>
      </c>
      <c r="M19">
        <f t="shared" si="1"/>
        <v>7393.7778416107194</v>
      </c>
      <c r="N19">
        <f t="shared" si="2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4"/>
        <v>19.295950336000001</v>
      </c>
      <c r="Z19">
        <f t="shared" si="3"/>
        <v>7184.5325714506835</v>
      </c>
      <c r="AA19">
        <f t="shared" si="5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V20">
        <v>-248.28416483999999</v>
      </c>
      <c r="W20">
        <v>25.858762666666699</v>
      </c>
      <c r="X20">
        <v>-3.7111111111111299E-3</v>
      </c>
      <c r="Y20">
        <f t="shared" si="4"/>
        <v>19.481488320000004</v>
      </c>
      <c r="Z20">
        <f t="shared" si="3"/>
        <v>7393.7778416107194</v>
      </c>
      <c r="AA20">
        <f t="shared" si="5"/>
        <v>1.4934978080967598</v>
      </c>
    </row>
    <row r="21" spans="1:32" x14ac:dyDescent="0.2">
      <c r="A21">
        <v>8</v>
      </c>
      <c r="B21" s="1">
        <v>-231.91468</v>
      </c>
      <c r="C21">
        <v>70.23</v>
      </c>
      <c r="U21">
        <v>1.06</v>
      </c>
      <c r="V21">
        <v>-247.07129919777799</v>
      </c>
      <c r="W21">
        <v>25.551361555555602</v>
      </c>
      <c r="X21">
        <v>-1.49301777777778</v>
      </c>
      <c r="Y21">
        <f t="shared" si="4"/>
        <v>19.667026304000004</v>
      </c>
      <c r="Z21">
        <f t="shared" si="3"/>
        <v>7607.0469364464598</v>
      </c>
      <c r="AA21">
        <f t="shared" si="5"/>
        <v>1.4516265105573825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</row>
    <row r="23" spans="1:32" x14ac:dyDescent="0.2">
      <c r="A23">
        <v>10</v>
      </c>
      <c r="B23" s="1">
        <v>-243.64055999999999</v>
      </c>
      <c r="C23">
        <v>63.58</v>
      </c>
      <c r="U23">
        <v>1100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1" si="6">L25^3</f>
        <v>6011.4152288532778</v>
      </c>
      <c r="N25">
        <f>$L$5/M25/(1E-24)</f>
        <v>1.8369369906437918</v>
      </c>
      <c r="V25" t="s">
        <v>13</v>
      </c>
      <c r="W25" t="s">
        <v>15</v>
      </c>
      <c r="X25" t="s">
        <v>16</v>
      </c>
      <c r="Y25" t="s">
        <v>17</v>
      </c>
      <c r="Z25" t="s">
        <v>18</v>
      </c>
      <c r="AA25" t="s">
        <v>19</v>
      </c>
      <c r="AB25" t="s">
        <v>20</v>
      </c>
      <c r="AC25" t="s">
        <v>17</v>
      </c>
      <c r="AD25" t="s">
        <v>19</v>
      </c>
      <c r="AE25" t="s">
        <v>21</v>
      </c>
      <c r="AF25" t="s">
        <v>22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1" si="7">$L$9*H26</f>
        <v>18.553798400000002</v>
      </c>
      <c r="M26">
        <f t="shared" si="6"/>
        <v>6387.0232947722425</v>
      </c>
      <c r="N26">
        <f t="shared" ref="N26:N31" si="8">$L$5/M26/(1E-24)</f>
        <v>1.7289104000980122</v>
      </c>
      <c r="U26">
        <v>0.98</v>
      </c>
      <c r="V26">
        <v>-253.94991759555501</v>
      </c>
      <c r="W26">
        <v>28.317063999999998</v>
      </c>
      <c r="X26">
        <v>14.807691111111099</v>
      </c>
      <c r="Y26">
        <f>$L$9*U26</f>
        <v>18.182722432000002</v>
      </c>
      <c r="Z26">
        <f t="shared" ref="Z26:Z33" si="9">Y26^3</f>
        <v>6011.4152288532778</v>
      </c>
      <c r="AA26">
        <f>$L$5/Z26/(1E-24)</f>
        <v>1.8369369906437918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7"/>
        <v>18.924874368000001</v>
      </c>
      <c r="M27">
        <f t="shared" si="6"/>
        <v>6777.9602165986616</v>
      </c>
      <c r="N27">
        <f t="shared" si="8"/>
        <v>1.6291908844430234</v>
      </c>
      <c r="P27" s="7">
        <f>P28/$L$9</f>
        <v>1.0510405081015741</v>
      </c>
      <c r="U27">
        <v>1</v>
      </c>
      <c r="V27">
        <v>-252.407665428889</v>
      </c>
      <c r="W27">
        <v>28.2781828888888</v>
      </c>
      <c r="X27">
        <v>9.0375333333333394</v>
      </c>
      <c r="Y27">
        <f t="shared" ref="Y27:Y33" si="10">$L$9*U27</f>
        <v>18.553798400000002</v>
      </c>
      <c r="Z27">
        <f t="shared" si="9"/>
        <v>6387.0232947722425</v>
      </c>
      <c r="AA27">
        <f t="shared" ref="AA27:AA33" si="11">$L$5/Z27/(1E-24)</f>
        <v>1.7289104000980122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7"/>
        <v>19.295950336000001</v>
      </c>
      <c r="M28">
        <f t="shared" si="6"/>
        <v>7184.5325714506835</v>
      </c>
      <c r="N28">
        <f t="shared" si="8"/>
        <v>1.5369950501554073</v>
      </c>
      <c r="O28">
        <v>7415.780447333269</v>
      </c>
      <c r="P28">
        <f>O28^(1/3)</f>
        <v>19.500793697550176</v>
      </c>
      <c r="Q28">
        <f>$L$5/(O28*(10^-24))</f>
        <v>1.4890666030938036</v>
      </c>
      <c r="R28">
        <v>-292.21346176185108</v>
      </c>
      <c r="S28">
        <f>R28/R30</f>
        <v>-2.9221346176185108</v>
      </c>
      <c r="U28">
        <v>1.01</v>
      </c>
      <c r="V28">
        <v>-251.30441495333301</v>
      </c>
      <c r="W28">
        <v>28.012528222222201</v>
      </c>
      <c r="X28">
        <v>6.8142088888888903</v>
      </c>
      <c r="Y28">
        <f t="shared" si="10"/>
        <v>18.739336384000001</v>
      </c>
      <c r="Z28">
        <f t="shared" si="9"/>
        <v>6580.5564876271364</v>
      </c>
      <c r="AA28">
        <f t="shared" si="11"/>
        <v>1.6780634009847724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I29">
        <v>-292.11626410444399</v>
      </c>
      <c r="J29">
        <v>28.1940566666667</v>
      </c>
      <c r="K29">
        <v>0.15199555555555599</v>
      </c>
      <c r="L29">
        <f t="shared" si="7"/>
        <v>19.481488320000004</v>
      </c>
      <c r="M29">
        <f t="shared" si="6"/>
        <v>7393.7778416107194</v>
      </c>
      <c r="N29">
        <f t="shared" si="8"/>
        <v>1.4934978080967598</v>
      </c>
      <c r="U29">
        <v>1.02</v>
      </c>
      <c r="V29">
        <v>-249.98418636</v>
      </c>
      <c r="W29">
        <v>28.3872128888889</v>
      </c>
      <c r="X29">
        <v>4.8942244444444398</v>
      </c>
      <c r="Y29">
        <f t="shared" si="10"/>
        <v>18.924874368000001</v>
      </c>
      <c r="Z29">
        <f t="shared" si="9"/>
        <v>6777.9602165986616</v>
      </c>
      <c r="AA29">
        <f t="shared" si="11"/>
        <v>1.6291908844430234</v>
      </c>
      <c r="AB29">
        <v>7458.1654928374701</v>
      </c>
      <c r="AC29">
        <f>AB29^(1/3)</f>
        <v>19.537875535363934</v>
      </c>
      <c r="AD29">
        <f>$L$5/(AB29*(10^-24))</f>
        <v>1.4806041794868821</v>
      </c>
      <c r="AE29">
        <v>-245.99925346243199</v>
      </c>
      <c r="AF29">
        <f>AE29/AE31</f>
        <v>-2.4599925346243201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I30">
        <v>-290.04489073333298</v>
      </c>
      <c r="J30">
        <v>28.502944444444399</v>
      </c>
      <c r="K30">
        <v>-0.64582666666666599</v>
      </c>
      <c r="L30">
        <f t="shared" si="7"/>
        <v>19.667026304000004</v>
      </c>
      <c r="M30">
        <f t="shared" si="6"/>
        <v>7607.0469364464598</v>
      </c>
      <c r="N30">
        <f t="shared" si="8"/>
        <v>1.4516265105573825</v>
      </c>
      <c r="Q30" t="s">
        <v>37</v>
      </c>
      <c r="R30">
        <v>100</v>
      </c>
      <c r="U30">
        <v>1.04</v>
      </c>
      <c r="V30">
        <v>-247.30386727555501</v>
      </c>
      <c r="W30">
        <v>28.1329151111111</v>
      </c>
      <c r="X30">
        <v>1.94468888888889</v>
      </c>
      <c r="Y30">
        <f t="shared" si="10"/>
        <v>19.295950336000001</v>
      </c>
      <c r="Z30">
        <f t="shared" si="9"/>
        <v>7184.5325714506835</v>
      </c>
      <c r="AA30">
        <f t="shared" si="11"/>
        <v>1.5369950501554073</v>
      </c>
    </row>
    <row r="31" spans="1:32" x14ac:dyDescent="0.2">
      <c r="A31">
        <v>18</v>
      </c>
      <c r="B31" s="1">
        <v>-255.77126000000001</v>
      </c>
      <c r="C31">
        <v>48.91</v>
      </c>
      <c r="H31">
        <v>1.07</v>
      </c>
      <c r="I31">
        <v>-289.17124481978999</v>
      </c>
      <c r="J31">
        <v>28.016955136150301</v>
      </c>
      <c r="K31">
        <v>-1.34339657053432</v>
      </c>
      <c r="L31">
        <f t="shared" si="7"/>
        <v>19.852564288000004</v>
      </c>
      <c r="M31">
        <f t="shared" si="6"/>
        <v>7824.3781780976751</v>
      </c>
      <c r="N31">
        <f t="shared" si="8"/>
        <v>1.41130588893452</v>
      </c>
      <c r="U31">
        <v>1.05</v>
      </c>
      <c r="V31">
        <v>-246.17464281777799</v>
      </c>
      <c r="W31">
        <v>27.986123777777799</v>
      </c>
      <c r="X31">
        <v>0.152542222222222</v>
      </c>
      <c r="Y31">
        <f t="shared" si="10"/>
        <v>19.481488320000004</v>
      </c>
      <c r="Z31">
        <f t="shared" si="9"/>
        <v>7393.7778416107194</v>
      </c>
      <c r="AA31">
        <f t="shared" si="11"/>
        <v>1.4934978080967598</v>
      </c>
      <c r="AD31" t="s">
        <v>37</v>
      </c>
      <c r="AE31">
        <v>100</v>
      </c>
    </row>
    <row r="32" spans="1:32" x14ac:dyDescent="0.2">
      <c r="A32">
        <v>19</v>
      </c>
      <c r="B32" s="1">
        <v>-254.87872999999999</v>
      </c>
      <c r="C32">
        <v>48.12</v>
      </c>
      <c r="U32">
        <v>1.06</v>
      </c>
      <c r="V32">
        <v>-244.71905783333401</v>
      </c>
      <c r="W32">
        <v>27.512575111111101</v>
      </c>
      <c r="X32">
        <v>-0.490984444444444</v>
      </c>
      <c r="Y32">
        <f t="shared" si="10"/>
        <v>19.667026304000004</v>
      </c>
      <c r="Z32">
        <f t="shared" si="9"/>
        <v>7607.0469364464598</v>
      </c>
      <c r="AA32">
        <f t="shared" si="11"/>
        <v>1.4516265105573825</v>
      </c>
    </row>
    <row r="33" spans="1:32" x14ac:dyDescent="0.2">
      <c r="A33">
        <v>20</v>
      </c>
      <c r="B33" s="1">
        <v>-253.8381</v>
      </c>
      <c r="C33">
        <v>47.67</v>
      </c>
      <c r="H33">
        <v>1200</v>
      </c>
      <c r="U33">
        <v>1.07</v>
      </c>
      <c r="V33">
        <v>-243.053848200001</v>
      </c>
      <c r="W33">
        <v>28.0792604444445</v>
      </c>
      <c r="X33">
        <v>-1.3102488888888899</v>
      </c>
      <c r="Y33">
        <f t="shared" si="10"/>
        <v>19.852564288000004</v>
      </c>
      <c r="Z33">
        <f t="shared" si="9"/>
        <v>7824.3781780976751</v>
      </c>
      <c r="AA33">
        <f t="shared" si="11"/>
        <v>1.41130588893452</v>
      </c>
    </row>
    <row r="34" spans="1:32" x14ac:dyDescent="0.2">
      <c r="A34">
        <v>21</v>
      </c>
      <c r="B34" s="1">
        <v>-252.77815000000001</v>
      </c>
      <c r="C34">
        <v>46.86</v>
      </c>
    </row>
    <row r="35" spans="1:32" x14ac:dyDescent="0.2">
      <c r="A35">
        <v>22</v>
      </c>
      <c r="B35" s="1">
        <v>-251.73829000000001</v>
      </c>
      <c r="C35">
        <v>46.51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  <c r="U35">
        <v>1200</v>
      </c>
    </row>
    <row r="36" spans="1:32" x14ac:dyDescent="0.2">
      <c r="A36">
        <v>23</v>
      </c>
      <c r="B36" s="1">
        <v>-250.82133999999999</v>
      </c>
      <c r="C36">
        <v>45.95</v>
      </c>
      <c r="H36">
        <v>1</v>
      </c>
      <c r="I36">
        <v>-294.74377163999998</v>
      </c>
      <c r="J36">
        <v>31.131039333333401</v>
      </c>
      <c r="K36">
        <v>11.8397688888889</v>
      </c>
      <c r="L36">
        <f>$L$9*H36</f>
        <v>18.553798400000002</v>
      </c>
      <c r="M36">
        <f t="shared" ref="M36:M42" si="12">L36^3</f>
        <v>6387.0232947722425</v>
      </c>
      <c r="N36">
        <f>$L$5/M36/(1E-24)</f>
        <v>1.7289104000980122</v>
      </c>
    </row>
    <row r="37" spans="1:32" x14ac:dyDescent="0.2">
      <c r="A37">
        <v>24</v>
      </c>
      <c r="B37" s="1">
        <v>-249.99894</v>
      </c>
      <c r="C37">
        <v>45.59</v>
      </c>
      <c r="H37">
        <v>1.02</v>
      </c>
      <c r="I37">
        <v>-293.42366266444498</v>
      </c>
      <c r="J37">
        <v>30.894153555555601</v>
      </c>
      <c r="K37">
        <v>6.63526666666667</v>
      </c>
      <c r="L37">
        <f t="shared" ref="L37:L42" si="13">$L$9*H37</f>
        <v>18.924874368000001</v>
      </c>
      <c r="M37">
        <f t="shared" si="12"/>
        <v>6777.9602165986616</v>
      </c>
      <c r="N37">
        <f t="shared" ref="N37:N42" si="14">$L$5/M37/(1E-24)</f>
        <v>1.6291908844430234</v>
      </c>
      <c r="V37" t="s">
        <v>13</v>
      </c>
      <c r="W37" t="s">
        <v>15</v>
      </c>
      <c r="X37" t="s">
        <v>16</v>
      </c>
      <c r="Y37" t="s">
        <v>17</v>
      </c>
      <c r="Z37" t="s">
        <v>18</v>
      </c>
      <c r="AA37" t="s">
        <v>19</v>
      </c>
      <c r="AB37" t="s">
        <v>20</v>
      </c>
      <c r="AC37" t="s">
        <v>17</v>
      </c>
      <c r="AD37" t="s">
        <v>19</v>
      </c>
      <c r="AE37" t="s">
        <v>21</v>
      </c>
      <c r="AF37" t="s">
        <v>22</v>
      </c>
    </row>
    <row r="38" spans="1:32" x14ac:dyDescent="0.2">
      <c r="A38">
        <v>25</v>
      </c>
      <c r="B38" s="1">
        <v>-249.3878</v>
      </c>
      <c r="C38">
        <v>44.88</v>
      </c>
      <c r="H38">
        <v>1.04</v>
      </c>
      <c r="I38">
        <v>-290.978895284445</v>
      </c>
      <c r="J38">
        <v>30.769526888888901</v>
      </c>
      <c r="K38">
        <v>2.7651711111111101</v>
      </c>
      <c r="L38">
        <f t="shared" si="13"/>
        <v>19.295950336000001</v>
      </c>
      <c r="M38">
        <f t="shared" si="12"/>
        <v>7184.5325714506835</v>
      </c>
      <c r="N38">
        <f t="shared" si="14"/>
        <v>1.5369950501554073</v>
      </c>
      <c r="P38" s="7">
        <f>P39/$L$9</f>
        <v>1.0629518844918397</v>
      </c>
      <c r="U38">
        <v>1</v>
      </c>
      <c r="V38">
        <v>-249.986001464444</v>
      </c>
      <c r="W38">
        <v>30.581778</v>
      </c>
      <c r="X38">
        <v>10.381817777777799</v>
      </c>
      <c r="Y38">
        <f t="shared" ref="Y38:Y45" si="15">$L$9*U38</f>
        <v>18.553798400000002</v>
      </c>
      <c r="Z38">
        <f t="shared" ref="Z38:Z43" si="16">Y38^3</f>
        <v>6387.0232947722425</v>
      </c>
      <c r="AA38">
        <f t="shared" ref="AA38:AA45" si="17">$L$5/Z38/(1E-24)</f>
        <v>1.7289104000980122</v>
      </c>
    </row>
    <row r="39" spans="1:32" x14ac:dyDescent="0.2">
      <c r="A39">
        <v>26</v>
      </c>
      <c r="B39" s="1">
        <v>-249.00217000000001</v>
      </c>
      <c r="C39">
        <v>44.35</v>
      </c>
      <c r="H39">
        <v>1.05</v>
      </c>
      <c r="I39">
        <v>-288.83635324666699</v>
      </c>
      <c r="J39">
        <v>31.315932666666701</v>
      </c>
      <c r="K39">
        <v>1.7737333333333301</v>
      </c>
      <c r="L39">
        <f t="shared" si="13"/>
        <v>19.481488320000004</v>
      </c>
      <c r="M39">
        <f t="shared" si="12"/>
        <v>7393.7778416107194</v>
      </c>
      <c r="N39">
        <f t="shared" si="14"/>
        <v>1.4934978080967598</v>
      </c>
      <c r="O39">
        <v>7670.7763181886648</v>
      </c>
      <c r="P39">
        <f>O39^(1/3)</f>
        <v>19.721794973761682</v>
      </c>
      <c r="Q39">
        <f>$L$5/(O39*(10^-24))</f>
        <v>1.4395662892445724</v>
      </c>
      <c r="R39">
        <v>-287.54340088918281</v>
      </c>
      <c r="S39">
        <f>R39/R41</f>
        <v>-2.875434008891828</v>
      </c>
      <c r="U39">
        <v>1.01</v>
      </c>
      <c r="V39">
        <v>-248.14529443111101</v>
      </c>
      <c r="W39">
        <v>30.857304444444502</v>
      </c>
      <c r="X39">
        <v>8.7996888888888893</v>
      </c>
      <c r="Y39">
        <f t="shared" si="15"/>
        <v>18.739336384000001</v>
      </c>
      <c r="Z39">
        <f t="shared" si="16"/>
        <v>6580.5564876271364</v>
      </c>
      <c r="AA39">
        <f t="shared" si="17"/>
        <v>1.6780634009847724</v>
      </c>
    </row>
    <row r="40" spans="1:32" x14ac:dyDescent="0.2">
      <c r="A40">
        <v>27</v>
      </c>
      <c r="B40" s="1">
        <v>-248.83426</v>
      </c>
      <c r="C40">
        <v>43.86</v>
      </c>
      <c r="H40">
        <v>1.06</v>
      </c>
      <c r="I40">
        <v>-287.47403002666601</v>
      </c>
      <c r="J40">
        <v>30.9498653333333</v>
      </c>
      <c r="K40">
        <v>0.37837999999999999</v>
      </c>
      <c r="L40">
        <f t="shared" si="13"/>
        <v>19.667026304000004</v>
      </c>
      <c r="M40">
        <f t="shared" si="12"/>
        <v>7607.0469364464598</v>
      </c>
      <c r="N40">
        <f t="shared" si="14"/>
        <v>1.4516265105573825</v>
      </c>
      <c r="U40">
        <v>1.02</v>
      </c>
      <c r="V40">
        <v>-246.89126580340701</v>
      </c>
      <c r="W40">
        <v>30.9397051905834</v>
      </c>
      <c r="X40">
        <v>6.3560329183692401</v>
      </c>
      <c r="Y40">
        <f t="shared" si="15"/>
        <v>18.924874368000001</v>
      </c>
      <c r="Z40">
        <f t="shared" si="16"/>
        <v>6777.9602165986616</v>
      </c>
      <c r="AA40">
        <f t="shared" si="17"/>
        <v>1.6291908844430234</v>
      </c>
    </row>
    <row r="41" spans="1:32" x14ac:dyDescent="0.2">
      <c r="A41">
        <v>28</v>
      </c>
      <c r="B41" s="1">
        <v>-248.79973000000001</v>
      </c>
      <c r="C41">
        <v>43.46</v>
      </c>
      <c r="H41">
        <v>1.07</v>
      </c>
      <c r="I41">
        <v>-285.94687769777801</v>
      </c>
      <c r="J41">
        <v>30.793362444444501</v>
      </c>
      <c r="K41">
        <v>-0.29297555555555499</v>
      </c>
      <c r="L41">
        <f t="shared" si="13"/>
        <v>19.852564288000004</v>
      </c>
      <c r="M41">
        <f t="shared" si="12"/>
        <v>7824.3781780976751</v>
      </c>
      <c r="N41">
        <f t="shared" si="14"/>
        <v>1.41130588893452</v>
      </c>
      <c r="Q41" t="s">
        <v>37</v>
      </c>
      <c r="R41">
        <v>100</v>
      </c>
      <c r="U41">
        <v>1.04</v>
      </c>
      <c r="V41">
        <v>-244.346699435555</v>
      </c>
      <c r="W41">
        <v>31.002434888888899</v>
      </c>
      <c r="X41">
        <v>3.20892444444444</v>
      </c>
      <c r="Y41">
        <f t="shared" si="15"/>
        <v>19.295950336000001</v>
      </c>
      <c r="Z41">
        <f t="shared" si="16"/>
        <v>7184.5325714506835</v>
      </c>
      <c r="AA41">
        <f t="shared" si="17"/>
        <v>1.5369950501554073</v>
      </c>
      <c r="AB41">
        <v>7767.5357598392084</v>
      </c>
      <c r="AC41">
        <f>AB41^(1/3)</f>
        <v>19.804372533486454</v>
      </c>
      <c r="AD41">
        <f>$L$5/(AB41*(10^-24))</f>
        <v>1.4216337512205526</v>
      </c>
      <c r="AE41">
        <v>-240.58842891022798</v>
      </c>
      <c r="AF41">
        <f>AE41/AE43</f>
        <v>-2.4058842891022798</v>
      </c>
    </row>
    <row r="42" spans="1:32" x14ac:dyDescent="0.2">
      <c r="A42">
        <v>29</v>
      </c>
      <c r="B42" s="1">
        <v>-249.00129000000001</v>
      </c>
      <c r="C42">
        <v>42.7</v>
      </c>
      <c r="H42">
        <v>1.08</v>
      </c>
      <c r="I42">
        <v>-284.30208815107898</v>
      </c>
      <c r="J42">
        <v>30.871729077025702</v>
      </c>
      <c r="K42">
        <v>-1.48364170925677</v>
      </c>
      <c r="L42">
        <f t="shared" si="13"/>
        <v>20.038102272000003</v>
      </c>
      <c r="M42">
        <f t="shared" si="12"/>
        <v>8045.8098887041342</v>
      </c>
      <c r="N42">
        <f t="shared" si="14"/>
        <v>1.3724648174328826</v>
      </c>
      <c r="U42">
        <v>1.05</v>
      </c>
      <c r="V42">
        <v>-243.218066697778</v>
      </c>
      <c r="W42">
        <v>30.930896666666602</v>
      </c>
      <c r="X42">
        <v>1.9042266666666701</v>
      </c>
      <c r="Y42">
        <f t="shared" si="15"/>
        <v>19.481488320000004</v>
      </c>
      <c r="Z42">
        <f t="shared" si="16"/>
        <v>7393.7778416107194</v>
      </c>
      <c r="AA42">
        <f t="shared" si="17"/>
        <v>1.4934978080967598</v>
      </c>
    </row>
    <row r="43" spans="1:32" x14ac:dyDescent="0.2">
      <c r="A43">
        <v>30</v>
      </c>
      <c r="B43" s="1">
        <v>-249.27269000000001</v>
      </c>
      <c r="C43">
        <v>42.27</v>
      </c>
      <c r="U43">
        <v>1.06</v>
      </c>
      <c r="V43">
        <v>-241.605031877778</v>
      </c>
      <c r="W43">
        <v>30.685686666666701</v>
      </c>
      <c r="X43">
        <v>0.89494888888888902</v>
      </c>
      <c r="Y43">
        <f t="shared" si="15"/>
        <v>19.667026304000004</v>
      </c>
      <c r="Z43">
        <f t="shared" si="16"/>
        <v>7607.0469364464598</v>
      </c>
      <c r="AA43">
        <f t="shared" si="17"/>
        <v>1.4516265105573825</v>
      </c>
      <c r="AD43" t="s">
        <v>37</v>
      </c>
      <c r="AE43">
        <v>100</v>
      </c>
    </row>
    <row r="44" spans="1:32" x14ac:dyDescent="0.2">
      <c r="A44">
        <v>31</v>
      </c>
      <c r="B44" s="1">
        <v>-249.63621000000001</v>
      </c>
      <c r="C44">
        <v>41.57</v>
      </c>
      <c r="O44" t="s">
        <v>20</v>
      </c>
      <c r="P44" t="s">
        <v>17</v>
      </c>
      <c r="Q44" t="s">
        <v>19</v>
      </c>
      <c r="R44" t="s">
        <v>21</v>
      </c>
      <c r="S44" t="s">
        <v>22</v>
      </c>
      <c r="U44">
        <v>1.07</v>
      </c>
      <c r="V44">
        <v>-240.365020604444</v>
      </c>
      <c r="W44">
        <v>30.834861111111099</v>
      </c>
      <c r="X44">
        <v>-0.39358666666666597</v>
      </c>
      <c r="Y44">
        <f t="shared" si="15"/>
        <v>19.852564288000004</v>
      </c>
      <c r="Z44">
        <f>Y44^3</f>
        <v>7824.3781780976751</v>
      </c>
      <c r="AA44">
        <f t="shared" si="17"/>
        <v>1.41130588893452</v>
      </c>
    </row>
    <row r="45" spans="1:32" x14ac:dyDescent="0.2">
      <c r="A45">
        <v>32</v>
      </c>
      <c r="B45" s="1">
        <v>-249.93128999999999</v>
      </c>
      <c r="C45">
        <v>41.24</v>
      </c>
      <c r="N45">
        <v>1000</v>
      </c>
      <c r="O45">
        <v>7226.2513444736687</v>
      </c>
      <c r="P45">
        <v>19.333227185993675</v>
      </c>
      <c r="Q45">
        <v>1.5281216323100779</v>
      </c>
      <c r="R45">
        <v>-296.23594144366388</v>
      </c>
      <c r="S45">
        <v>-2.962359414436639</v>
      </c>
      <c r="U45">
        <v>1.08</v>
      </c>
      <c r="V45">
        <v>-238.79417283333299</v>
      </c>
      <c r="W45">
        <v>30.517279111111101</v>
      </c>
      <c r="X45">
        <v>-0.89960444444444498</v>
      </c>
      <c r="Y45">
        <f t="shared" si="15"/>
        <v>20.038102272000003</v>
      </c>
      <c r="Z45">
        <f>Y45^3</f>
        <v>8045.8098887041342</v>
      </c>
      <c r="AA45">
        <f t="shared" si="17"/>
        <v>1.3724648174328826</v>
      </c>
    </row>
    <row r="46" spans="1:32" x14ac:dyDescent="0.2">
      <c r="A46">
        <v>33</v>
      </c>
      <c r="B46" s="1">
        <v>-250.15477000000001</v>
      </c>
      <c r="C46">
        <v>40.75</v>
      </c>
      <c r="N46">
        <v>1100</v>
      </c>
      <c r="O46">
        <v>7415.780447333269</v>
      </c>
      <c r="P46">
        <v>19.500793697550176</v>
      </c>
      <c r="Q46">
        <v>1.4890666030938036</v>
      </c>
      <c r="R46">
        <v>-292.21346176185108</v>
      </c>
      <c r="S46">
        <v>-2.9221346176185108</v>
      </c>
    </row>
    <row r="47" spans="1:32" x14ac:dyDescent="0.2">
      <c r="A47">
        <v>34</v>
      </c>
      <c r="B47" s="1">
        <v>-250.32006000000001</v>
      </c>
      <c r="C47">
        <v>40.33</v>
      </c>
      <c r="N47">
        <v>1200</v>
      </c>
      <c r="O47">
        <v>7670.7763181886648</v>
      </c>
      <c r="P47">
        <v>19.721794973761682</v>
      </c>
      <c r="Q47">
        <v>1.4395662892445724</v>
      </c>
      <c r="R47">
        <v>-287.54340088918281</v>
      </c>
      <c r="S47">
        <v>-2.875434008891828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Z5013"/>
  <sheetViews>
    <sheetView topLeftCell="A23" workbookViewId="0">
      <selection activeCell="V25" sqref="V25"/>
    </sheetView>
  </sheetViews>
  <sheetFormatPr baseColWidth="10" defaultRowHeight="16" x14ac:dyDescent="0.2"/>
  <cols>
    <col min="12" max="12" width="12.1640625" bestFit="1" customWidth="1"/>
    <col min="16" max="16" width="12.1640625" bestFit="1" customWidth="1"/>
  </cols>
  <sheetData>
    <row r="1" spans="1:26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6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26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>C3*F3</f>
        <v>504</v>
      </c>
      <c r="K3" t="s">
        <v>53</v>
      </c>
      <c r="L3">
        <v>930</v>
      </c>
      <c r="O3" t="s">
        <v>35</v>
      </c>
    </row>
    <row r="4" spans="1:26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26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cm="1">
        <f t="array" ref="P5:R5">LINEST(K36:K40,M36:M40^{1,2})</f>
        <v>1.0881477788773019E-5</v>
      </c>
      <c r="Q5">
        <v>-0.12940801085423484</v>
      </c>
      <c r="R5">
        <v>383.8855333745189</v>
      </c>
    </row>
    <row r="6" spans="1:26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>
        <f>(-Q5+SQRT(Q5^2-4*P5*R5))/(2*P5)</f>
        <v>6227.5057142722417</v>
      </c>
      <c r="R6">
        <f>(-Q5-SQRT(Q5^2-4*P5*R5))/(2*P5)</f>
        <v>5664.9976171917751</v>
      </c>
    </row>
    <row r="7" spans="1:26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26" x14ac:dyDescent="0.2">
      <c r="P8" t="s">
        <v>30</v>
      </c>
      <c r="Q8" t="s">
        <v>31</v>
      </c>
      <c r="R8" t="s">
        <v>32</v>
      </c>
    </row>
    <row r="9" spans="1:26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LINEST(K36:K40,I36:I40^{1,2})</f>
        <v>0.19229083705797809</v>
      </c>
      <c r="Q9">
        <v>173.15673154083674</v>
      </c>
      <c r="R9">
        <v>38980.945757999521</v>
      </c>
    </row>
    <row r="10" spans="1:26" x14ac:dyDescent="0.2">
      <c r="B10" t="s">
        <v>12</v>
      </c>
      <c r="P10" t="s">
        <v>34</v>
      </c>
      <c r="Q10">
        <f>(-Q9+SQRT(Q9^2-4*P9*R9))/(2*P9)</f>
        <v>-448.33810464593461</v>
      </c>
      <c r="R10">
        <f>(-Q9-SQRT(Q9^2-4*P9*R9))/(2*P9)</f>
        <v>-452.15582522669803</v>
      </c>
    </row>
    <row r="11" spans="1:26" x14ac:dyDescent="0.2">
      <c r="H11">
        <v>1000</v>
      </c>
    </row>
    <row r="12" spans="1:26" x14ac:dyDescent="0.2">
      <c r="B12" t="s">
        <v>13</v>
      </c>
      <c r="C12" t="s">
        <v>14</v>
      </c>
    </row>
    <row r="13" spans="1:26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20</v>
      </c>
      <c r="W13" t="s">
        <v>17</v>
      </c>
      <c r="X13" t="s">
        <v>19</v>
      </c>
      <c r="Y13" t="s">
        <v>21</v>
      </c>
      <c r="Z13" t="s">
        <v>22</v>
      </c>
    </row>
    <row r="14" spans="1:26" x14ac:dyDescent="0.2">
      <c r="A14">
        <v>1</v>
      </c>
      <c r="B14" s="1">
        <v>-427.35964999999999</v>
      </c>
      <c r="C14">
        <v>-17.22</v>
      </c>
      <c r="H14">
        <v>0.91</v>
      </c>
      <c r="I14">
        <v>-463.95353754666598</v>
      </c>
      <c r="J14">
        <v>25.889192444444401</v>
      </c>
      <c r="K14">
        <v>9.4616111111111092</v>
      </c>
      <c r="L14">
        <f t="shared" ref="L14:L20" si="0">$L$9*H14</f>
        <v>16.883956544000004</v>
      </c>
      <c r="M14">
        <f>L14^3</f>
        <v>4813.0755312648162</v>
      </c>
      <c r="N14">
        <f t="shared" ref="N14:N20" si="1">$L$5/M14/(1E-24)</f>
        <v>1.6208382497479605</v>
      </c>
    </row>
    <row r="15" spans="1:26" x14ac:dyDescent="0.2">
      <c r="A15">
        <v>2</v>
      </c>
      <c r="B15" s="1">
        <v>-427.56590999999997</v>
      </c>
      <c r="C15">
        <v>-17.48</v>
      </c>
      <c r="H15">
        <v>0.92</v>
      </c>
      <c r="I15">
        <v>-462.83215470222302</v>
      </c>
      <c r="J15">
        <v>25.967171555555598</v>
      </c>
      <c r="K15">
        <v>5.9192822222222299</v>
      </c>
      <c r="L15">
        <f t="shared" si="0"/>
        <v>17.069494528000003</v>
      </c>
      <c r="M15">
        <f t="shared" ref="M15:M20" si="2">L15^3</f>
        <v>4973.4983953596093</v>
      </c>
      <c r="N15">
        <f t="shared" si="1"/>
        <v>1.5685572407701427</v>
      </c>
      <c r="U15">
        <v>1000</v>
      </c>
      <c r="V15">
        <v>5359.9015072641942</v>
      </c>
      <c r="W15">
        <v>17.500573050365933</v>
      </c>
      <c r="X15">
        <v>1.4554776630553989</v>
      </c>
      <c r="Y15">
        <v>-460.64853208595002</v>
      </c>
      <c r="Z15">
        <v>-4.6064853208595</v>
      </c>
    </row>
    <row r="16" spans="1:26" x14ac:dyDescent="0.2">
      <c r="A16">
        <v>3</v>
      </c>
      <c r="B16" s="1">
        <v>-427.85487000000001</v>
      </c>
      <c r="C16">
        <v>-17.32</v>
      </c>
      <c r="H16">
        <v>0.93</v>
      </c>
      <c r="I16">
        <v>-462.79811016222197</v>
      </c>
      <c r="J16">
        <v>25.5309364444444</v>
      </c>
      <c r="K16">
        <v>2.85948</v>
      </c>
      <c r="L16">
        <f t="shared" si="0"/>
        <v>17.255032512000003</v>
      </c>
      <c r="M16">
        <f t="shared" si="2"/>
        <v>5137.4468963131185</v>
      </c>
      <c r="N16">
        <f t="shared" si="1"/>
        <v>1.518500741214188</v>
      </c>
      <c r="U16">
        <v>1100</v>
      </c>
      <c r="V16">
        <v>5484.6724641401834</v>
      </c>
      <c r="W16">
        <v>17.635328984164858</v>
      </c>
      <c r="X16">
        <v>1.4223669637532264</v>
      </c>
      <c r="Y16">
        <v>-456.28857967033053</v>
      </c>
      <c r="Z16">
        <v>-4.5628857967033056</v>
      </c>
    </row>
    <row r="17" spans="1:26" x14ac:dyDescent="0.2">
      <c r="A17">
        <v>4</v>
      </c>
      <c r="B17" s="1">
        <v>-428.21668</v>
      </c>
      <c r="C17">
        <v>-17.399999999999999</v>
      </c>
      <c r="H17">
        <v>0.94</v>
      </c>
      <c r="I17">
        <v>-460.65848434888898</v>
      </c>
      <c r="J17">
        <v>25.680797777777801</v>
      </c>
      <c r="K17">
        <v>0.69340888888889096</v>
      </c>
      <c r="L17">
        <f t="shared" si="0"/>
        <v>17.440570495999999</v>
      </c>
      <c r="M17">
        <f t="shared" si="2"/>
        <v>5304.9593562651062</v>
      </c>
      <c r="N17">
        <f t="shared" si="1"/>
        <v>1.470551684960006</v>
      </c>
      <c r="U17">
        <v>1200</v>
      </c>
      <c r="V17">
        <v>5664.9976171917751</v>
      </c>
      <c r="W17">
        <v>17.82652026366334</v>
      </c>
      <c r="X17">
        <v>1.377090944632591</v>
      </c>
      <c r="Y17">
        <v>-452.15582522669803</v>
      </c>
      <c r="Z17">
        <v>-4.5215582522669804</v>
      </c>
    </row>
    <row r="18" spans="1:26" x14ac:dyDescent="0.2">
      <c r="A18">
        <v>5</v>
      </c>
      <c r="B18" s="1">
        <v>-428.64458000000002</v>
      </c>
      <c r="C18">
        <v>-17.36</v>
      </c>
      <c r="H18">
        <v>0.95</v>
      </c>
      <c r="I18">
        <v>-458.80811324000098</v>
      </c>
      <c r="J18">
        <v>25.661252666666702</v>
      </c>
      <c r="K18">
        <v>-1.06646444444444</v>
      </c>
      <c r="L18">
        <f t="shared" si="0"/>
        <v>17.626108479999999</v>
      </c>
      <c r="M18">
        <f t="shared" si="2"/>
        <v>5476.0740973553493</v>
      </c>
      <c r="N18">
        <f t="shared" si="1"/>
        <v>1.4246003215638683</v>
      </c>
      <c r="O18">
        <v>5359.9015072641942</v>
      </c>
      <c r="P18">
        <f>O18^(1/3)</f>
        <v>17.500573050365933</v>
      </c>
      <c r="Q18">
        <f>$L$5/(O18*(10^-24))</f>
        <v>1.4554776630553989</v>
      </c>
      <c r="R18">
        <v>-460.64853208595002</v>
      </c>
      <c r="S18">
        <f>R18/R20</f>
        <v>-4.6064853208595</v>
      </c>
    </row>
    <row r="19" spans="1:26" x14ac:dyDescent="0.2">
      <c r="A19">
        <v>6</v>
      </c>
      <c r="B19" s="1">
        <v>-429.04928999999998</v>
      </c>
      <c r="C19">
        <v>-17.559999999999999</v>
      </c>
      <c r="H19">
        <v>0.96</v>
      </c>
      <c r="I19">
        <v>-457.65254152666699</v>
      </c>
      <c r="J19">
        <v>25.553582888888901</v>
      </c>
      <c r="K19">
        <v>-2.0811644444444499</v>
      </c>
      <c r="L19">
        <f t="shared" si="0"/>
        <v>17.811646464000003</v>
      </c>
      <c r="M19">
        <f t="shared" si="2"/>
        <v>5650.8294417236166</v>
      </c>
      <c r="N19">
        <f t="shared" si="1"/>
        <v>1.380543688400631</v>
      </c>
    </row>
    <row r="20" spans="1:26" x14ac:dyDescent="0.2">
      <c r="A20">
        <v>7</v>
      </c>
      <c r="B20" s="1">
        <v>-429.41606000000002</v>
      </c>
      <c r="C20">
        <v>-17.11</v>
      </c>
      <c r="H20">
        <v>0.98</v>
      </c>
      <c r="I20">
        <v>-454.81560536000001</v>
      </c>
      <c r="J20">
        <v>25.601641333333401</v>
      </c>
      <c r="K20">
        <v>-4.1471933333333304</v>
      </c>
      <c r="L20">
        <f t="shared" si="0"/>
        <v>18.182722432000002</v>
      </c>
      <c r="M20">
        <f t="shared" si="2"/>
        <v>6011.4152288532778</v>
      </c>
      <c r="N20">
        <f t="shared" si="1"/>
        <v>1.297733831886396</v>
      </c>
      <c r="Q20" t="s">
        <v>37</v>
      </c>
      <c r="R20">
        <v>100</v>
      </c>
    </row>
    <row r="21" spans="1:26" x14ac:dyDescent="0.2">
      <c r="A21">
        <v>8</v>
      </c>
      <c r="B21" s="1">
        <v>-429.60854999999998</v>
      </c>
      <c r="C21">
        <v>-16.73</v>
      </c>
    </row>
    <row r="22" spans="1:26" x14ac:dyDescent="0.2">
      <c r="A22">
        <v>9</v>
      </c>
      <c r="B22" s="1">
        <v>-429.73428999999999</v>
      </c>
      <c r="C22">
        <v>-16.89</v>
      </c>
    </row>
    <row r="23" spans="1:26" x14ac:dyDescent="0.2">
      <c r="A23">
        <v>10</v>
      </c>
      <c r="B23" s="1">
        <v>-429.78253000000001</v>
      </c>
      <c r="C23">
        <v>-16.46</v>
      </c>
      <c r="H23">
        <v>1100</v>
      </c>
    </row>
    <row r="24" spans="1:26" x14ac:dyDescent="0.2">
      <c r="A24">
        <v>11</v>
      </c>
      <c r="B24" s="1">
        <v>-429.68916000000002</v>
      </c>
      <c r="C24">
        <v>-15.89</v>
      </c>
    </row>
    <row r="25" spans="1:26" x14ac:dyDescent="0.2">
      <c r="A25">
        <v>12</v>
      </c>
      <c r="B25" s="1">
        <v>-429.67459000000002</v>
      </c>
      <c r="C25">
        <v>-15.18</v>
      </c>
      <c r="I25" t="s">
        <v>13</v>
      </c>
      <c r="J25" t="s">
        <v>15</v>
      </c>
      <c r="K25" t="s">
        <v>16</v>
      </c>
      <c r="L25" t="s">
        <v>17</v>
      </c>
      <c r="M25" t="s">
        <v>18</v>
      </c>
      <c r="N25" t="s">
        <v>19</v>
      </c>
      <c r="O25" t="s">
        <v>20</v>
      </c>
      <c r="P25" t="s">
        <v>17</v>
      </c>
      <c r="Q25" t="s">
        <v>19</v>
      </c>
      <c r="R25" t="s">
        <v>21</v>
      </c>
      <c r="S25" t="s">
        <v>22</v>
      </c>
    </row>
    <row r="26" spans="1:26" x14ac:dyDescent="0.2">
      <c r="A26">
        <v>13</v>
      </c>
      <c r="B26" s="1">
        <v>-429.77749999999997</v>
      </c>
      <c r="C26">
        <v>-14.67</v>
      </c>
      <c r="H26">
        <v>0.92</v>
      </c>
      <c r="I26">
        <v>-460.62772696222299</v>
      </c>
      <c r="J26">
        <v>28.428951999999999</v>
      </c>
      <c r="K26">
        <v>7.2397999999999998</v>
      </c>
      <c r="L26">
        <f t="shared" ref="L26:L31" si="3">$L$9*H26</f>
        <v>17.069494528000003</v>
      </c>
      <c r="M26">
        <f t="shared" ref="M26:M31" si="4">L26^3</f>
        <v>4973.4983953596093</v>
      </c>
      <c r="N26">
        <f t="shared" ref="N26:N31" si="5">$L$5/M26/(1E-24)</f>
        <v>1.5685572407701427</v>
      </c>
    </row>
    <row r="27" spans="1:26" x14ac:dyDescent="0.2">
      <c r="A27">
        <v>14</v>
      </c>
      <c r="B27" s="1">
        <v>-430.04791</v>
      </c>
      <c r="C27">
        <v>-14.35</v>
      </c>
      <c r="H27">
        <v>0.93</v>
      </c>
      <c r="I27">
        <v>-458.40406996444398</v>
      </c>
      <c r="J27">
        <v>29.033998666666701</v>
      </c>
      <c r="K27">
        <v>4.7888955555555599</v>
      </c>
      <c r="L27">
        <f t="shared" si="3"/>
        <v>17.255032512000003</v>
      </c>
      <c r="M27">
        <f t="shared" si="4"/>
        <v>5137.4468963131185</v>
      </c>
      <c r="N27">
        <f t="shared" si="5"/>
        <v>1.518500741214188</v>
      </c>
    </row>
    <row r="28" spans="1:26" x14ac:dyDescent="0.2">
      <c r="A28">
        <v>15</v>
      </c>
      <c r="B28" s="1">
        <v>-430.48360000000002</v>
      </c>
      <c r="C28">
        <v>-13.76</v>
      </c>
      <c r="H28">
        <v>0.94</v>
      </c>
      <c r="I28">
        <v>-457.89244982888903</v>
      </c>
      <c r="J28">
        <v>28.442650666666701</v>
      </c>
      <c r="K28">
        <v>1.6572444444444401</v>
      </c>
      <c r="L28">
        <f t="shared" si="3"/>
        <v>17.440570495999999</v>
      </c>
      <c r="M28">
        <f t="shared" si="4"/>
        <v>5304.9593562651062</v>
      </c>
      <c r="N28">
        <f t="shared" si="5"/>
        <v>1.470551684960006</v>
      </c>
    </row>
    <row r="29" spans="1:26" x14ac:dyDescent="0.2">
      <c r="A29">
        <v>16</v>
      </c>
      <c r="B29" s="1">
        <v>-431.03595000000001</v>
      </c>
      <c r="C29">
        <v>-13.5</v>
      </c>
      <c r="H29">
        <v>0.95</v>
      </c>
      <c r="I29">
        <v>-456.61466686222298</v>
      </c>
      <c r="J29">
        <v>27.961591777777802</v>
      </c>
      <c r="K29">
        <v>0.50819555555555396</v>
      </c>
      <c r="L29">
        <f t="shared" si="3"/>
        <v>17.626108479999999</v>
      </c>
      <c r="M29">
        <f t="shared" si="4"/>
        <v>5476.0740973553493</v>
      </c>
      <c r="N29">
        <f t="shared" si="5"/>
        <v>1.4246003215638683</v>
      </c>
      <c r="O29">
        <v>5484.6724641401834</v>
      </c>
      <c r="P29">
        <f>O29^(1/3)</f>
        <v>17.635328984164858</v>
      </c>
      <c r="Q29">
        <f>$L$5/(O29*(10^-24))</f>
        <v>1.4223669637532264</v>
      </c>
      <c r="R29">
        <v>-456.28857967033053</v>
      </c>
      <c r="S29">
        <f>R29/R31</f>
        <v>-4.5628857967033056</v>
      </c>
    </row>
    <row r="30" spans="1:26" x14ac:dyDescent="0.2">
      <c r="A30">
        <v>17</v>
      </c>
      <c r="B30" s="1">
        <v>-431.58175999999997</v>
      </c>
      <c r="C30">
        <v>-12.81</v>
      </c>
      <c r="H30">
        <v>0.96</v>
      </c>
      <c r="I30">
        <v>-455.22989129777801</v>
      </c>
      <c r="J30">
        <v>28.148248666666699</v>
      </c>
      <c r="K30">
        <v>-1.7183355555555599</v>
      </c>
      <c r="L30">
        <f t="shared" si="3"/>
        <v>17.811646464000003</v>
      </c>
      <c r="M30">
        <f t="shared" si="4"/>
        <v>5650.8294417236166</v>
      </c>
      <c r="N30">
        <f t="shared" si="5"/>
        <v>1.380543688400631</v>
      </c>
    </row>
    <row r="31" spans="1:26" x14ac:dyDescent="0.2">
      <c r="A31">
        <v>18</v>
      </c>
      <c r="B31" s="1">
        <v>-431.9194</v>
      </c>
      <c r="C31">
        <v>-12.55</v>
      </c>
      <c r="H31">
        <v>0.98</v>
      </c>
      <c r="I31">
        <v>-452.12856163999999</v>
      </c>
      <c r="J31">
        <v>28.391571555555501</v>
      </c>
      <c r="K31">
        <v>-3.0477311111111098</v>
      </c>
      <c r="L31">
        <f t="shared" si="3"/>
        <v>18.182722432000002</v>
      </c>
      <c r="M31">
        <f t="shared" si="4"/>
        <v>6011.4152288532778</v>
      </c>
      <c r="N31">
        <f t="shared" si="5"/>
        <v>1.297733831886396</v>
      </c>
      <c r="Q31" t="s">
        <v>37</v>
      </c>
      <c r="R31">
        <v>100</v>
      </c>
    </row>
    <row r="32" spans="1:26" x14ac:dyDescent="0.2">
      <c r="A32">
        <v>19</v>
      </c>
      <c r="B32" s="1">
        <v>-431.98504000000003</v>
      </c>
      <c r="C32">
        <v>-12.44</v>
      </c>
    </row>
    <row r="33" spans="1:19" x14ac:dyDescent="0.2">
      <c r="A33">
        <v>20</v>
      </c>
      <c r="B33" s="1">
        <v>-432.03208000000001</v>
      </c>
      <c r="C33">
        <v>-11.32</v>
      </c>
      <c r="H33">
        <v>1200</v>
      </c>
    </row>
    <row r="34" spans="1:19" x14ac:dyDescent="0.2">
      <c r="A34">
        <v>21</v>
      </c>
      <c r="B34" s="1">
        <v>-431.94189999999998</v>
      </c>
      <c r="C34">
        <v>-11.5</v>
      </c>
    </row>
    <row r="35" spans="1:19" x14ac:dyDescent="0.2">
      <c r="A35">
        <v>22</v>
      </c>
      <c r="B35" s="1">
        <v>-431.98469</v>
      </c>
      <c r="C35">
        <v>-11.4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-432.03147000000001</v>
      </c>
      <c r="C36">
        <v>-11.23</v>
      </c>
      <c r="H36">
        <v>0.93</v>
      </c>
      <c r="I36">
        <v>-455.94184079111102</v>
      </c>
      <c r="J36">
        <v>31.256795111111099</v>
      </c>
      <c r="K36">
        <v>6.38384000000001</v>
      </c>
      <c r="L36">
        <f t="shared" ref="L36:L41" si="6">$L$9*H36</f>
        <v>17.255032512000003</v>
      </c>
      <c r="M36">
        <f t="shared" ref="M36:M41" si="7">L36^3</f>
        <v>5137.4468963131185</v>
      </c>
      <c r="N36">
        <f t="shared" ref="N36:N41" si="8">$L$5/M36/(1E-24)</f>
        <v>1.518500741214188</v>
      </c>
    </row>
    <row r="37" spans="1:19" x14ac:dyDescent="0.2">
      <c r="A37">
        <v>24</v>
      </c>
      <c r="B37" s="1">
        <v>-432.16716000000002</v>
      </c>
      <c r="C37">
        <v>-11.03</v>
      </c>
      <c r="H37">
        <v>0.94</v>
      </c>
      <c r="I37">
        <v>-455.43899543111098</v>
      </c>
      <c r="J37">
        <v>30.273658222222199</v>
      </c>
      <c r="K37">
        <v>3.36103333333334</v>
      </c>
      <c r="L37">
        <f t="shared" si="6"/>
        <v>17.440570495999999</v>
      </c>
      <c r="M37">
        <f t="shared" si="7"/>
        <v>5304.9593562651062</v>
      </c>
      <c r="N37">
        <f t="shared" si="8"/>
        <v>1.470551684960006</v>
      </c>
    </row>
    <row r="38" spans="1:19" x14ac:dyDescent="0.2">
      <c r="A38">
        <v>25</v>
      </c>
      <c r="B38" s="1">
        <v>-432.40431999999998</v>
      </c>
      <c r="C38">
        <v>-10.95</v>
      </c>
      <c r="H38">
        <v>0.95</v>
      </c>
      <c r="I38">
        <v>-453.55097451111101</v>
      </c>
      <c r="J38">
        <v>30.9208066666666</v>
      </c>
      <c r="K38">
        <v>1.56198666666666</v>
      </c>
      <c r="L38">
        <f t="shared" si="6"/>
        <v>17.626108479999999</v>
      </c>
      <c r="M38">
        <f t="shared" si="7"/>
        <v>5476.0740973553493</v>
      </c>
      <c r="N38">
        <f t="shared" si="8"/>
        <v>1.4246003215638683</v>
      </c>
    </row>
    <row r="39" spans="1:19" x14ac:dyDescent="0.2">
      <c r="A39">
        <v>26</v>
      </c>
      <c r="B39" s="1">
        <v>-432.73851999999999</v>
      </c>
      <c r="C39">
        <v>-11.51</v>
      </c>
      <c r="H39">
        <v>0.96</v>
      </c>
      <c r="I39">
        <v>-452.25103297111201</v>
      </c>
      <c r="J39">
        <v>31.0340246666666</v>
      </c>
      <c r="K39">
        <v>0.30925333333333299</v>
      </c>
      <c r="L39">
        <f t="shared" si="6"/>
        <v>17.811646464000003</v>
      </c>
      <c r="M39">
        <f t="shared" si="7"/>
        <v>5650.8294417236166</v>
      </c>
      <c r="N39">
        <f t="shared" si="8"/>
        <v>1.380543688400631</v>
      </c>
      <c r="O39">
        <v>5664.9976171917751</v>
      </c>
      <c r="P39">
        <f>O39^(1/3)</f>
        <v>17.82652026366334</v>
      </c>
      <c r="Q39">
        <f>$L$5/(O39*(10^-24))</f>
        <v>1.377090944632591</v>
      </c>
      <c r="R39">
        <v>-452.15582522669803</v>
      </c>
      <c r="S39">
        <f>R39/R41</f>
        <v>-4.5215582522669804</v>
      </c>
    </row>
    <row r="40" spans="1:19" x14ac:dyDescent="0.2">
      <c r="A40">
        <v>27</v>
      </c>
      <c r="B40" s="1">
        <v>-433.18662999999998</v>
      </c>
      <c r="C40">
        <v>-11.65</v>
      </c>
      <c r="H40">
        <v>0.97</v>
      </c>
      <c r="I40">
        <v>-450.41757303333299</v>
      </c>
      <c r="J40">
        <v>31.4546175555556</v>
      </c>
      <c r="K40">
        <v>-0.82245777777777596</v>
      </c>
      <c r="L40">
        <f t="shared" si="6"/>
        <v>17.997184448000002</v>
      </c>
      <c r="M40">
        <f t="shared" si="7"/>
        <v>5829.2637115096677</v>
      </c>
      <c r="N40">
        <f t="shared" si="8"/>
        <v>1.3382851258893611</v>
      </c>
    </row>
    <row r="41" spans="1:19" x14ac:dyDescent="0.2">
      <c r="A41">
        <v>28</v>
      </c>
      <c r="B41" s="1">
        <v>-433.57126</v>
      </c>
      <c r="C41">
        <v>-11.79</v>
      </c>
      <c r="H41">
        <v>0.98</v>
      </c>
      <c r="I41">
        <v>-449.77304698</v>
      </c>
      <c r="J41">
        <v>30.7387775555556</v>
      </c>
      <c r="K41">
        <v>-2.3345177777777799</v>
      </c>
      <c r="L41">
        <f t="shared" si="6"/>
        <v>18.182722432000002</v>
      </c>
      <c r="M41">
        <f t="shared" si="7"/>
        <v>6011.4152288532778</v>
      </c>
      <c r="N41">
        <f t="shared" si="8"/>
        <v>1.297733831886396</v>
      </c>
      <c r="Q41" t="s">
        <v>37</v>
      </c>
      <c r="R41">
        <v>100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W66"/>
  <sheetViews>
    <sheetView topLeftCell="A41" workbookViewId="0">
      <selection activeCell="K51" sqref="K51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>(3/2)*C8*(0.000086173)*200</f>
        <v>20.681519999999999</v>
      </c>
      <c r="J8">
        <f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>(3/2)*C9*(0.000086173)*200</f>
        <v>23.266710000000003</v>
      </c>
      <c r="J9">
        <f>I9+G9</f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>(3/2)*C11*(0.000086173)*200</f>
        <v>28.437090000000005</v>
      </c>
      <c r="J11">
        <f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>(3/2)*C12*(0.000086173)*200</f>
        <v>31.022280000000002</v>
      </c>
      <c r="J12">
        <f>I12+G12</f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2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2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2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2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>(3/2)*C21*(0.000086173)*200</f>
        <v>28.437090000000005</v>
      </c>
      <c r="J21">
        <f>I21+G21</f>
        <v>-367.71359038722659</v>
      </c>
    </row>
    <row r="22" spans="3:22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>I22+G22</f>
        <v>-361.20114670788007</v>
      </c>
      <c r="T22" t="s">
        <v>54</v>
      </c>
    </row>
    <row r="23" spans="3:22" x14ac:dyDescent="0.2">
      <c r="S23" t="s">
        <v>47</v>
      </c>
      <c r="T23" t="s">
        <v>48</v>
      </c>
    </row>
    <row r="24" spans="3:22" x14ac:dyDescent="0.2">
      <c r="C24" t="s">
        <v>46</v>
      </c>
      <c r="S24" s="3">
        <v>973</v>
      </c>
      <c r="T24" s="4">
        <v>1.5760000000000001</v>
      </c>
    </row>
    <row r="25" spans="3:22" x14ac:dyDescent="0.2">
      <c r="S25" s="5">
        <v>1023</v>
      </c>
      <c r="T25" s="6">
        <v>1.5469999999999999</v>
      </c>
    </row>
    <row r="26" spans="3:22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2" x14ac:dyDescent="0.2">
      <c r="S27" s="5">
        <v>1073</v>
      </c>
      <c r="T27" s="6">
        <v>1.52</v>
      </c>
    </row>
    <row r="28" spans="3:22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>(3/2)*C28*(0.000086173)*200</f>
        <v>20.681519999999999</v>
      </c>
      <c r="J28">
        <f>I28+G28</f>
        <v>-400.16362446976228</v>
      </c>
      <c r="S28" s="3">
        <v>1023</v>
      </c>
      <c r="T28" s="4">
        <v>1.548</v>
      </c>
    </row>
    <row r="29" spans="3:22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>(3/2)*C29*(0.000086173)*200</f>
        <v>23.266710000000003</v>
      </c>
      <c r="J29">
        <f>I29+G29</f>
        <v>-395.72018954144545</v>
      </c>
      <c r="S29" s="5">
        <v>973</v>
      </c>
      <c r="T29" s="6">
        <v>1.575</v>
      </c>
    </row>
    <row r="30" spans="3:22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2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>(3/2)*C31*(0.000086173)*200</f>
        <v>28.437090000000005</v>
      </c>
      <c r="J31">
        <f>I31+G31</f>
        <v>-382.11189716704325</v>
      </c>
      <c r="T31" t="s">
        <v>56</v>
      </c>
      <c r="U31" t="s">
        <v>57</v>
      </c>
      <c r="V31" t="s">
        <v>58</v>
      </c>
    </row>
    <row r="32" spans="3:22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>I32+G32</f>
        <v>-375.31314435288112</v>
      </c>
      <c r="S32">
        <v>1000</v>
      </c>
      <c r="T32">
        <v>1.5281216323100779</v>
      </c>
      <c r="U32">
        <v>1.5171519498607862</v>
      </c>
      <c r="V32">
        <f>(-0.000553)*S32+2.11</f>
        <v>1.5569999999999999</v>
      </c>
    </row>
    <row r="33" spans="3:23" x14ac:dyDescent="0.2">
      <c r="S33">
        <v>1100</v>
      </c>
      <c r="T33">
        <v>1.4890666030938036</v>
      </c>
      <c r="U33">
        <v>1.4806041794868821</v>
      </c>
      <c r="V33">
        <f>(-0.000553)*S33+2.11</f>
        <v>1.5017</v>
      </c>
    </row>
    <row r="34" spans="3:23" x14ac:dyDescent="0.2">
      <c r="C34" t="s">
        <v>59</v>
      </c>
      <c r="S34">
        <v>1200</v>
      </c>
      <c r="T34">
        <v>1.4395662892445724</v>
      </c>
      <c r="U34">
        <v>1.4216337512205526</v>
      </c>
      <c r="V34">
        <f>(-0.000553)*S34+2.11</f>
        <v>1.4463999999999999</v>
      </c>
    </row>
    <row r="36" spans="3:23" x14ac:dyDescent="0.2">
      <c r="D36" t="s">
        <v>20</v>
      </c>
      <c r="E36" t="s">
        <v>17</v>
      </c>
      <c r="F36" t="s">
        <v>19</v>
      </c>
      <c r="G36" t="s">
        <v>21</v>
      </c>
      <c r="H36" t="s">
        <v>22</v>
      </c>
      <c r="I36" t="s">
        <v>15</v>
      </c>
      <c r="J36" t="s">
        <v>42</v>
      </c>
      <c r="T36" t="s">
        <v>61</v>
      </c>
    </row>
    <row r="37" spans="3:23" x14ac:dyDescent="0.2">
      <c r="T37">
        <f>ABS(V32-T32)/V32</f>
        <v>1.8547442318511256E-2</v>
      </c>
    </row>
    <row r="38" spans="3:23" x14ac:dyDescent="0.2">
      <c r="C38">
        <v>1000</v>
      </c>
      <c r="D38">
        <v>7226.2513444736687</v>
      </c>
      <c r="E38">
        <v>19.333227185993675</v>
      </c>
      <c r="F38">
        <v>1.5281216323100779</v>
      </c>
      <c r="G38">
        <v>-296.23594144366388</v>
      </c>
      <c r="H38">
        <v>-2.962359414436639</v>
      </c>
      <c r="I38">
        <f>(3/2)*C38*(0.000086173)*200</f>
        <v>25.851900000000001</v>
      </c>
      <c r="J38">
        <f>I38+G38</f>
        <v>-270.38404144366388</v>
      </c>
      <c r="T38">
        <f>ABS(V33-T33)/V33</f>
        <v>8.4127301765975025E-3</v>
      </c>
    </row>
    <row r="39" spans="3:23" x14ac:dyDescent="0.2">
      <c r="C39">
        <v>1100</v>
      </c>
      <c r="D39">
        <v>7415.780447333269</v>
      </c>
      <c r="E39">
        <v>19.500793697550176</v>
      </c>
      <c r="F39">
        <v>1.4890666030938036</v>
      </c>
      <c r="G39">
        <v>-292.21346176185108</v>
      </c>
      <c r="H39">
        <v>-2.9221346176185108</v>
      </c>
      <c r="I39">
        <f>(3/2)*C39*(0.000086173)*200</f>
        <v>28.437090000000005</v>
      </c>
      <c r="J39">
        <f>I39+G39</f>
        <v>-263.77637176185107</v>
      </c>
      <c r="T39">
        <f>ABS(V34-T34)/V34</f>
        <v>4.7246340952900243E-3</v>
      </c>
    </row>
    <row r="40" spans="3:23" x14ac:dyDescent="0.2">
      <c r="C40">
        <v>1200</v>
      </c>
      <c r="D40">
        <v>7670.7763181886648</v>
      </c>
      <c r="E40">
        <v>19.721794973761682</v>
      </c>
      <c r="F40">
        <v>1.4395662892445724</v>
      </c>
      <c r="G40">
        <v>-287.54340088918281</v>
      </c>
      <c r="H40">
        <v>-2.875434008891828</v>
      </c>
      <c r="I40">
        <f>(3/2)*C40*(0.000086173)*200</f>
        <v>31.022280000000002</v>
      </c>
      <c r="J40">
        <f>I40+G40</f>
        <v>-256.52112088918278</v>
      </c>
    </row>
    <row r="41" spans="3:23" x14ac:dyDescent="0.2">
      <c r="L41" t="s">
        <v>63</v>
      </c>
    </row>
    <row r="42" spans="3:23" x14ac:dyDescent="0.2">
      <c r="C42" t="s">
        <v>60</v>
      </c>
      <c r="M42" t="s">
        <v>19</v>
      </c>
      <c r="N42" t="s">
        <v>35</v>
      </c>
      <c r="O42" t="s">
        <v>17</v>
      </c>
      <c r="P42" t="s">
        <v>36</v>
      </c>
      <c r="Q42" t="s">
        <v>15</v>
      </c>
      <c r="R42" t="s">
        <v>62</v>
      </c>
      <c r="T42" t="s">
        <v>64</v>
      </c>
    </row>
    <row r="43" spans="3:23" x14ac:dyDescent="0.2">
      <c r="U43" t="s">
        <v>2</v>
      </c>
      <c r="V43" t="s">
        <v>65</v>
      </c>
      <c r="W43" t="s">
        <v>66</v>
      </c>
    </row>
    <row r="44" spans="3:23" x14ac:dyDescent="0.2">
      <c r="D44" t="s">
        <v>20</v>
      </c>
      <c r="E44" t="s">
        <v>17</v>
      </c>
      <c r="F44" t="s">
        <v>19</v>
      </c>
      <c r="G44" t="s">
        <v>21</v>
      </c>
      <c r="H44" t="s">
        <v>22</v>
      </c>
      <c r="I44" t="s">
        <v>15</v>
      </c>
      <c r="J44" t="s">
        <v>42</v>
      </c>
      <c r="L44">
        <v>1300</v>
      </c>
      <c r="M44">
        <v>1.3650365131223825</v>
      </c>
      <c r="N44">
        <v>6766.2176695670023</v>
      </c>
      <c r="O44">
        <v>18.91393918609694</v>
      </c>
      <c r="P44">
        <v>-395.29328589426768</v>
      </c>
      <c r="Q44">
        <f>(3/2)*L44*(0.000086173)*200</f>
        <v>33.607469999999999</v>
      </c>
      <c r="R44">
        <f>P44+Q44</f>
        <v>-361.68581589426771</v>
      </c>
      <c r="T44" t="s">
        <v>43</v>
      </c>
      <c r="U44">
        <v>0.41</v>
      </c>
      <c r="V44">
        <f>0.0706</f>
        <v>7.0599999999999996E-2</v>
      </c>
      <c r="W44">
        <f>V44*965</f>
        <v>68.128999999999991</v>
      </c>
    </row>
    <row r="45" spans="3:23" x14ac:dyDescent="0.2">
      <c r="L45">
        <v>1200</v>
      </c>
      <c r="M45">
        <v>1.3979040624911605</v>
      </c>
      <c r="N45">
        <v>6607.1302191034274</v>
      </c>
      <c r="O45">
        <v>18.76452702374084</v>
      </c>
      <c r="P45">
        <v>-399.08564044680531</v>
      </c>
      <c r="Q45">
        <f t="shared" ref="Q45:Q50" si="0">(3/2)*L45*(0.000086173)*200</f>
        <v>31.022280000000002</v>
      </c>
      <c r="R45">
        <f t="shared" ref="R45" si="1">P45+Q45</f>
        <v>-368.06336044680529</v>
      </c>
      <c r="T45" t="s">
        <v>45</v>
      </c>
      <c r="U45">
        <v>0.24</v>
      </c>
      <c r="V45">
        <f>0.0694</f>
        <v>6.9400000000000003E-2</v>
      </c>
      <c r="W45">
        <f t="shared" ref="W45:W48" si="2">V45*965</f>
        <v>66.971000000000004</v>
      </c>
    </row>
    <row r="46" spans="3:23" x14ac:dyDescent="0.2">
      <c r="C46">
        <v>1000</v>
      </c>
      <c r="D46">
        <v>5359.9015072641942</v>
      </c>
      <c r="E46">
        <v>17.500573050365933</v>
      </c>
      <c r="F46">
        <v>1.4554776630553989</v>
      </c>
      <c r="G46">
        <v>-460.64853208595002</v>
      </c>
      <c r="H46">
        <v>-4.6064853208595</v>
      </c>
      <c r="I46">
        <f>(3/2)*C46*(0.000086173)*200</f>
        <v>25.851900000000001</v>
      </c>
      <c r="J46">
        <f>I46+G46</f>
        <v>-434.79663208595002</v>
      </c>
      <c r="L46">
        <v>1100</v>
      </c>
      <c r="M46">
        <v>1.4372094115694805</v>
      </c>
      <c r="N46">
        <v>6426.4359113865166</v>
      </c>
      <c r="O46">
        <v>18.591883682234656</v>
      </c>
      <c r="P46">
        <v>-403.52791940989761</v>
      </c>
      <c r="Q46">
        <f t="shared" si="0"/>
        <v>28.437090000000005</v>
      </c>
      <c r="R46">
        <f>P46+Q46</f>
        <v>-375.09082940989759</v>
      </c>
      <c r="T46" t="s">
        <v>46</v>
      </c>
      <c r="U46">
        <v>0.15</v>
      </c>
      <c r="V46">
        <f>0.0633</f>
        <v>6.3299999999999995E-2</v>
      </c>
      <c r="W46">
        <f t="shared" si="2"/>
        <v>61.084499999999998</v>
      </c>
    </row>
    <row r="47" spans="3:23" x14ac:dyDescent="0.2">
      <c r="C47">
        <v>1100</v>
      </c>
      <c r="D47">
        <v>5484.6724641401834</v>
      </c>
      <c r="E47">
        <v>17.635328984164858</v>
      </c>
      <c r="F47">
        <v>1.4223669637532264</v>
      </c>
      <c r="G47">
        <v>-456.28857967033053</v>
      </c>
      <c r="H47">
        <v>-4.5628857967033056</v>
      </c>
      <c r="I47">
        <f>(3/2)*C47*(0.000086173)*200</f>
        <v>28.437090000000005</v>
      </c>
      <c r="J47">
        <f>I47+G47</f>
        <v>-427.85148967033052</v>
      </c>
      <c r="L47">
        <v>1000</v>
      </c>
      <c r="M47">
        <v>1.4776504696487072</v>
      </c>
      <c r="N47">
        <v>6250.5540819058297</v>
      </c>
      <c r="O47">
        <v>18.42070181183545</v>
      </c>
      <c r="P47">
        <v>-407.73414979420915</v>
      </c>
      <c r="Q47">
        <f t="shared" si="0"/>
        <v>25.851900000000001</v>
      </c>
      <c r="R47">
        <f t="shared" ref="R47:R50" si="3">P47+Q47</f>
        <v>-381.88224979420914</v>
      </c>
      <c r="U47">
        <v>0</v>
      </c>
      <c r="V47">
        <f>0.0673</f>
        <v>6.7299999999999999E-2</v>
      </c>
      <c r="W47">
        <f t="shared" si="2"/>
        <v>64.944500000000005</v>
      </c>
    </row>
    <row r="48" spans="3:23" x14ac:dyDescent="0.2">
      <c r="C48">
        <v>1200</v>
      </c>
      <c r="D48">
        <v>5664.9976171917751</v>
      </c>
      <c r="E48">
        <v>17.82652026366334</v>
      </c>
      <c r="F48">
        <v>1.377090944632591</v>
      </c>
      <c r="G48">
        <v>-452.15582522669803</v>
      </c>
      <c r="H48">
        <v>-4.5215582522669804</v>
      </c>
      <c r="I48">
        <f>(3/2)*C48*(0.000086173)*200</f>
        <v>31.022280000000002</v>
      </c>
      <c r="J48">
        <f>I48+G48</f>
        <v>-421.133545226698</v>
      </c>
      <c r="L48">
        <v>900</v>
      </c>
      <c r="M48">
        <v>1.5142757209787261</v>
      </c>
      <c r="N48">
        <v>6099.3741408752003</v>
      </c>
      <c r="O48">
        <v>18.270976459369884</v>
      </c>
      <c r="P48">
        <v>-411.6818030463491</v>
      </c>
      <c r="Q48">
        <f t="shared" si="0"/>
        <v>23.266710000000003</v>
      </c>
      <c r="R48">
        <f t="shared" si="3"/>
        <v>-388.41509304634911</v>
      </c>
      <c r="U48">
        <v>1</v>
      </c>
      <c r="V48">
        <f>0.0431</f>
        <v>4.3099999999999999E-2</v>
      </c>
      <c r="W48">
        <f t="shared" si="2"/>
        <v>41.591499999999996</v>
      </c>
    </row>
    <row r="49" spans="3:18" x14ac:dyDescent="0.2">
      <c r="L49">
        <v>800</v>
      </c>
      <c r="M49">
        <v>1.5494920044554759</v>
      </c>
      <c r="N49">
        <v>5960.7498122835195</v>
      </c>
      <c r="O49">
        <v>18.131495697711848</v>
      </c>
      <c r="P49">
        <v>-415.95658554008014</v>
      </c>
      <c r="Q49">
        <f t="shared" si="0"/>
        <v>20.681519999999999</v>
      </c>
      <c r="R49">
        <f t="shared" si="3"/>
        <v>-395.27506554008016</v>
      </c>
    </row>
    <row r="50" spans="3:18" x14ac:dyDescent="0.2">
      <c r="C50" t="s">
        <v>0</v>
      </c>
      <c r="L50">
        <v>700</v>
      </c>
      <c r="M50">
        <v>1.5871878123306469</v>
      </c>
      <c r="N50">
        <v>5819.181638706219</v>
      </c>
      <c r="O50">
        <v>17.986802711841939</v>
      </c>
      <c r="P50">
        <v>-421.24548040339181</v>
      </c>
      <c r="Q50">
        <f t="shared" si="0"/>
        <v>18.096329999999998</v>
      </c>
      <c r="R50">
        <f t="shared" si="3"/>
        <v>-403.14915040339179</v>
      </c>
    </row>
    <row r="51" spans="3:18" x14ac:dyDescent="0.2">
      <c r="D51" t="s">
        <v>35</v>
      </c>
      <c r="E51" t="s">
        <v>17</v>
      </c>
      <c r="F51" t="s">
        <v>19</v>
      </c>
      <c r="G51" t="s">
        <v>36</v>
      </c>
      <c r="H51" t="s">
        <v>22</v>
      </c>
      <c r="I51" t="s">
        <v>15</v>
      </c>
      <c r="J51" t="s">
        <v>42</v>
      </c>
    </row>
    <row r="52" spans="3:18" x14ac:dyDescent="0.2">
      <c r="C52">
        <v>1000</v>
      </c>
      <c r="D52">
        <v>4978.3602016417981</v>
      </c>
      <c r="E52">
        <v>17.075054768980639</v>
      </c>
      <c r="F52">
        <v>1.4176266298205369</v>
      </c>
      <c r="G52">
        <v>-483.30728027693169</v>
      </c>
      <c r="H52">
        <f>G52/100</f>
        <v>-4.8330728027693173</v>
      </c>
      <c r="I52">
        <f>(3/2)*C52*(0.000086173)*200</f>
        <v>25.851900000000001</v>
      </c>
      <c r="J52">
        <f>I52+G52</f>
        <v>-457.45538027693169</v>
      </c>
    </row>
    <row r="53" spans="3:18" x14ac:dyDescent="0.2">
      <c r="C53">
        <v>1100</v>
      </c>
      <c r="D53">
        <v>5099.653171847368</v>
      </c>
      <c r="E53">
        <v>17.212616005271059</v>
      </c>
      <c r="F53">
        <v>1.3839090143711799</v>
      </c>
      <c r="G53">
        <v>-479.22451900649088</v>
      </c>
      <c r="H53">
        <f>G53/100</f>
        <v>-4.792245190064909</v>
      </c>
      <c r="I53">
        <f>(3/2)*C53*(0.000086173)*200</f>
        <v>28.437090000000005</v>
      </c>
      <c r="J53">
        <f>I53+G53</f>
        <v>-450.78742900649087</v>
      </c>
    </row>
    <row r="54" spans="3:18" x14ac:dyDescent="0.2">
      <c r="C54">
        <v>1200</v>
      </c>
      <c r="D54">
        <v>5226.7646781062476</v>
      </c>
      <c r="E54">
        <v>17.354455115400171</v>
      </c>
      <c r="F54">
        <v>1.3502532502081568</v>
      </c>
      <c r="G54">
        <v>-476.00398971107279</v>
      </c>
      <c r="H54">
        <f>G54/100</f>
        <v>-4.7600398971107278</v>
      </c>
      <c r="I54">
        <f>(3/2)*C54*(0.000086173)*200</f>
        <v>31.022280000000002</v>
      </c>
      <c r="J54">
        <f>I54+G54</f>
        <v>-444.98170971107277</v>
      </c>
    </row>
    <row r="56" spans="3:18" x14ac:dyDescent="0.2">
      <c r="C56" t="s">
        <v>1</v>
      </c>
    </row>
    <row r="57" spans="3:18" x14ac:dyDescent="0.2">
      <c r="D57" t="s">
        <v>35</v>
      </c>
      <c r="E57" t="s">
        <v>17</v>
      </c>
      <c r="F57" t="s">
        <v>19</v>
      </c>
      <c r="G57" t="s">
        <v>36</v>
      </c>
      <c r="H57" t="s">
        <v>22</v>
      </c>
      <c r="I57" t="s">
        <v>15</v>
      </c>
      <c r="J57" t="s">
        <v>42</v>
      </c>
    </row>
    <row r="58" spans="3:18" x14ac:dyDescent="0.2">
      <c r="C58">
        <v>1000</v>
      </c>
      <c r="D58">
        <v>8203.2669532908785</v>
      </c>
      <c r="E58">
        <v>20.167974408099074</v>
      </c>
      <c r="F58">
        <v>1.5081678694565137</v>
      </c>
      <c r="G58">
        <v>-288.15376435398008</v>
      </c>
      <c r="H58">
        <f>G58/100</f>
        <v>-2.8815376435398008</v>
      </c>
      <c r="I58">
        <f>(3/2)*C58*(0.000086173)*200</f>
        <v>25.851900000000001</v>
      </c>
      <c r="J58">
        <f>I58+G58</f>
        <v>-262.30186435398008</v>
      </c>
    </row>
    <row r="59" spans="3:18" x14ac:dyDescent="0.2">
      <c r="C59">
        <v>1100</v>
      </c>
      <c r="D59">
        <v>8390.275100875102</v>
      </c>
      <c r="E59">
        <v>20.320079383159275</v>
      </c>
      <c r="F59">
        <v>1.4745331657501464</v>
      </c>
      <c r="G59">
        <v>-283.35831775174546</v>
      </c>
      <c r="H59">
        <f>G59/100</f>
        <v>-2.8335831775174545</v>
      </c>
      <c r="I59">
        <f>(3/2)*C59*(0.000086173)*200</f>
        <v>28.437090000000005</v>
      </c>
      <c r="J59">
        <f>I59+G59</f>
        <v>-254.92122775174545</v>
      </c>
    </row>
    <row r="60" spans="3:18" x14ac:dyDescent="0.2">
      <c r="C60">
        <v>1200</v>
      </c>
      <c r="D60">
        <v>8583.6406584237411</v>
      </c>
      <c r="E60">
        <v>20.474996808837023</v>
      </c>
      <c r="F60">
        <v>1.4413298591066881</v>
      </c>
      <c r="G60">
        <v>-279.6987301829144</v>
      </c>
      <c r="H60">
        <f>G60/100</f>
        <v>-2.796987301829144</v>
      </c>
      <c r="I60">
        <f>(3/2)*C60*(0.000086173)*200</f>
        <v>31.022280000000002</v>
      </c>
      <c r="J60">
        <f>I60+G60</f>
        <v>-248.67645018291441</v>
      </c>
    </row>
    <row r="62" spans="3:18" x14ac:dyDescent="0.2">
      <c r="C62" t="s">
        <v>2</v>
      </c>
    </row>
    <row r="63" spans="3:18" x14ac:dyDescent="0.2">
      <c r="D63" t="s">
        <v>20</v>
      </c>
      <c r="E63" t="s">
        <v>17</v>
      </c>
      <c r="F63" t="s">
        <v>19</v>
      </c>
      <c r="G63" t="s">
        <v>21</v>
      </c>
      <c r="H63" t="s">
        <v>22</v>
      </c>
      <c r="I63" t="s">
        <v>15</v>
      </c>
      <c r="J63" t="s">
        <v>42</v>
      </c>
    </row>
    <row r="64" spans="3:18" x14ac:dyDescent="0.2">
      <c r="C64">
        <v>1100</v>
      </c>
      <c r="D64">
        <v>3153.3249869999167</v>
      </c>
      <c r="E64">
        <v>14.664128041393068</v>
      </c>
      <c r="F64">
        <v>1.5403392679948031</v>
      </c>
      <c r="G64">
        <v>-141.39053509775999</v>
      </c>
      <c r="H64">
        <v>-2.8278107019552077</v>
      </c>
      <c r="I64">
        <f>(3/2)*C64*(0.000086173)*200</f>
        <v>28.437090000000005</v>
      </c>
      <c r="J64">
        <f>I64+G64</f>
        <v>-112.95344509775998</v>
      </c>
    </row>
    <row r="65" spans="3:10" x14ac:dyDescent="0.2">
      <c r="C65">
        <v>1250</v>
      </c>
      <c r="D65">
        <v>3264.3368522635783</v>
      </c>
      <c r="E65">
        <v>14.834229350754038</v>
      </c>
      <c r="F65">
        <v>1.4879562134824009</v>
      </c>
      <c r="G65">
        <v>-138.51870545286911</v>
      </c>
      <c r="H65">
        <v>-2.7703741090573821</v>
      </c>
      <c r="I65">
        <f>(3/2)*C65*(0.000086173)*200</f>
        <v>32.314875000000001</v>
      </c>
      <c r="J65">
        <f>I65+G65</f>
        <v>-106.20383045286911</v>
      </c>
    </row>
    <row r="66" spans="3:10" x14ac:dyDescent="0.2">
      <c r="C66">
        <v>1400</v>
      </c>
      <c r="D66">
        <v>3391.3025104225098</v>
      </c>
      <c r="E66">
        <f>D66^(1/3)</f>
        <v>15.024113083801051</v>
      </c>
      <c r="F66">
        <v>1.4322491984414667</v>
      </c>
      <c r="G66">
        <v>-136.22822519565582</v>
      </c>
      <c r="H66">
        <v>-2.7245645039131166</v>
      </c>
      <c r="I66">
        <f>(3/2)*C66*(0.000086173)*200</f>
        <v>36.192659999999997</v>
      </c>
      <c r="J66">
        <f>I66+G66</f>
        <v>-100.03556519565583</v>
      </c>
    </row>
  </sheetData>
  <sortState xmlns:xlrd2="http://schemas.microsoft.com/office/spreadsheetml/2017/richdata2" ref="C64:H66">
    <sortCondition ref="C64:C6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2021-06-29T18:21:09Z</dcterms:created>
  <dcterms:modified xsi:type="dcterms:W3CDTF">2022-10-06T14:38:44Z</dcterms:modified>
</cp:coreProperties>
</file>