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3_ncr:1_{323E9126-A0DA-E244-AA5B-5BC234F49BBC}" xr6:coauthVersionLast="36" xr6:coauthVersionMax="36" xr10:uidLastSave="{00000000-0000-0000-0000-000000000000}"/>
  <bookViews>
    <workbookView xWindow="17300" yWindow="540" windowWidth="28800" windowHeight="16220" tabRatio="500" activeTab="1" xr2:uid="{00000000-000D-0000-FFFF-FFFF00000000}"/>
  </bookViews>
  <sheets>
    <sheet name="Sheet1" sheetId="1" r:id="rId1"/>
    <sheet name="Sheet2" sheetId="2" r:id="rId2"/>
  </sheet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" l="1"/>
  <c r="J6" i="2"/>
  <c r="I7" i="2"/>
  <c r="J7" i="2"/>
  <c r="E6" i="2"/>
  <c r="E7" i="2"/>
  <c r="I14" i="2"/>
  <c r="J14" i="2"/>
  <c r="I15" i="2"/>
  <c r="J15" i="2"/>
  <c r="I16" i="2"/>
  <c r="J16" i="2"/>
  <c r="E14" i="2"/>
  <c r="E15" i="2"/>
  <c r="E16" i="2"/>
  <c r="E13" i="2"/>
  <c r="I13" i="2"/>
  <c r="J13" i="2"/>
  <c r="I12" i="2"/>
  <c r="J12" i="2"/>
  <c r="I5" i="2"/>
  <c r="J5" i="2"/>
  <c r="E12" i="2"/>
  <c r="E5" i="2"/>
  <c r="J115" i="1"/>
  <c r="H115" i="1"/>
  <c r="D115" i="1"/>
  <c r="D136" i="1"/>
  <c r="D114" i="1"/>
  <c r="D112" i="1"/>
  <c r="J139" i="1"/>
  <c r="J157" i="1"/>
  <c r="H157" i="1"/>
  <c r="D157" i="1"/>
  <c r="J137" i="1"/>
  <c r="H137" i="1"/>
  <c r="D137" i="1"/>
  <c r="D88" i="1"/>
  <c r="J174" i="1"/>
  <c r="H174" i="1"/>
  <c r="D174" i="1"/>
  <c r="J150" i="1"/>
  <c r="H150" i="1"/>
  <c r="D150" i="1"/>
  <c r="J149" i="1"/>
  <c r="H149" i="1"/>
  <c r="D149" i="1"/>
  <c r="J117" i="1"/>
  <c r="J118" i="1"/>
  <c r="D118" i="1"/>
  <c r="H118" i="1"/>
  <c r="D117" i="1"/>
  <c r="H117" i="1"/>
  <c r="H87" i="1"/>
  <c r="D87" i="1"/>
  <c r="H113" i="1"/>
  <c r="D113" i="1"/>
  <c r="J87" i="1"/>
  <c r="J85" i="1"/>
  <c r="J84" i="1"/>
  <c r="J113" i="1"/>
  <c r="J105" i="1"/>
  <c r="J104" i="1"/>
  <c r="H105" i="1"/>
  <c r="D104" i="1"/>
  <c r="D105" i="1"/>
  <c r="H85" i="1"/>
  <c r="D85" i="1"/>
  <c r="H84" i="1"/>
  <c r="D84" i="1"/>
  <c r="H101" i="1"/>
  <c r="D101" i="1"/>
  <c r="J93" i="1"/>
  <c r="H93" i="1"/>
  <c r="D93" i="1"/>
  <c r="J191" i="1"/>
  <c r="J165" i="1"/>
  <c r="H165" i="1"/>
  <c r="D165" i="1"/>
  <c r="H153" i="1"/>
  <c r="D153" i="1"/>
  <c r="J152" i="1"/>
  <c r="H152" i="1"/>
  <c r="D152" i="1"/>
  <c r="J153" i="1"/>
  <c r="J100" i="1"/>
  <c r="H100" i="1"/>
  <c r="D100" i="1"/>
  <c r="H92" i="1"/>
  <c r="D92" i="1"/>
  <c r="H127" i="1"/>
  <c r="D127" i="1"/>
  <c r="D126" i="1"/>
  <c r="H126" i="1"/>
  <c r="J126" i="1"/>
  <c r="J127" i="1"/>
  <c r="J92" i="1"/>
  <c r="J124" i="1"/>
  <c r="H124" i="1"/>
  <c r="D124" i="1"/>
  <c r="D125" i="1"/>
  <c r="J91" i="1"/>
  <c r="H91" i="1"/>
  <c r="D91" i="1"/>
  <c r="H125" i="1"/>
  <c r="J125" i="1"/>
  <c r="H143" i="1"/>
  <c r="D143" i="1"/>
  <c r="H151" i="1"/>
  <c r="J151" i="1"/>
  <c r="D151" i="1"/>
  <c r="J187" i="1"/>
  <c r="H187" i="1"/>
  <c r="D187" i="1"/>
  <c r="H190" i="1"/>
  <c r="D190" i="1"/>
  <c r="J179" i="1"/>
  <c r="H179" i="1"/>
  <c r="D179" i="1"/>
  <c r="H168" i="1"/>
  <c r="D168" i="1"/>
  <c r="J143" i="1"/>
  <c r="J142" i="1"/>
  <c r="H142" i="1"/>
  <c r="D142" i="1"/>
  <c r="H164" i="1"/>
  <c r="D164" i="1"/>
  <c r="H122" i="1"/>
  <c r="D122" i="1"/>
  <c r="J122" i="1"/>
  <c r="J81" i="1"/>
  <c r="J82" i="1"/>
  <c r="J83" i="1"/>
  <c r="J89" i="1"/>
  <c r="J90" i="1"/>
  <c r="J96" i="1"/>
  <c r="J97" i="1"/>
  <c r="J98" i="1"/>
  <c r="J102" i="1"/>
  <c r="J103" i="1"/>
  <c r="J110" i="1"/>
  <c r="J111" i="1"/>
  <c r="J119" i="1"/>
  <c r="J120" i="1"/>
  <c r="J121" i="1"/>
  <c r="J135" i="1"/>
  <c r="J140" i="1"/>
  <c r="J141" i="1"/>
  <c r="J147" i="1"/>
  <c r="J148" i="1"/>
  <c r="J156" i="1"/>
  <c r="J161" i="1"/>
  <c r="J162" i="1"/>
  <c r="J163" i="1"/>
  <c r="J164" i="1"/>
  <c r="J168" i="1"/>
  <c r="J171" i="1"/>
  <c r="J172" i="1"/>
  <c r="J173" i="1"/>
  <c r="J183" i="1"/>
  <c r="J184" i="1"/>
  <c r="J186" i="1"/>
  <c r="J190" i="1"/>
  <c r="H90" i="1"/>
  <c r="D90" i="1"/>
  <c r="H121" i="1"/>
  <c r="D121" i="1"/>
  <c r="D173" i="1"/>
  <c r="H173" i="1"/>
  <c r="H186" i="1"/>
  <c r="D186" i="1"/>
  <c r="H163" i="1"/>
  <c r="D163" i="1"/>
  <c r="H172" i="1"/>
  <c r="D172" i="1"/>
  <c r="H184" i="1"/>
  <c r="D184" i="1"/>
  <c r="H162" i="1"/>
  <c r="D162" i="1"/>
  <c r="H171" i="1"/>
  <c r="D171" i="1"/>
  <c r="H183" i="1"/>
  <c r="D183" i="1"/>
  <c r="H161" i="1"/>
  <c r="D161" i="1"/>
  <c r="H156" i="1"/>
  <c r="D156" i="1"/>
  <c r="H89" i="1"/>
  <c r="D89" i="1"/>
  <c r="H148" i="1"/>
  <c r="D148" i="1"/>
  <c r="H147" i="1"/>
  <c r="D147" i="1"/>
  <c r="H120" i="1"/>
  <c r="D120" i="1"/>
  <c r="H141" i="1"/>
  <c r="D141" i="1"/>
  <c r="H119" i="1"/>
  <c r="D119" i="1"/>
  <c r="H140" i="1"/>
  <c r="D140" i="1"/>
  <c r="H103" i="1"/>
  <c r="D103" i="1"/>
  <c r="H135" i="1"/>
  <c r="D135" i="1"/>
  <c r="H111" i="1"/>
  <c r="D111" i="1"/>
  <c r="H83" i="1"/>
  <c r="D83" i="1"/>
  <c r="H102" i="1"/>
  <c r="D102" i="1"/>
  <c r="H130" i="1"/>
  <c r="D130" i="1"/>
  <c r="H98" i="1"/>
  <c r="D98" i="1"/>
  <c r="H110" i="1"/>
  <c r="D110" i="1"/>
  <c r="H82" i="1"/>
  <c r="D82" i="1"/>
  <c r="H97" i="1"/>
  <c r="D97" i="1"/>
  <c r="D96" i="1"/>
  <c r="H96" i="1"/>
  <c r="H81" i="1"/>
  <c r="D81" i="1"/>
  <c r="G58" i="1"/>
  <c r="C58" i="1"/>
  <c r="G54" i="1"/>
  <c r="C54" i="1"/>
  <c r="C70" i="1"/>
  <c r="E70" i="1"/>
  <c r="G53" i="1"/>
  <c r="C53" i="1"/>
  <c r="E69" i="1"/>
  <c r="C69" i="1"/>
  <c r="D36" i="1"/>
  <c r="D37" i="1"/>
  <c r="C37" i="1"/>
  <c r="C36" i="1"/>
  <c r="G52" i="1"/>
  <c r="C52" i="1"/>
  <c r="E73" i="1"/>
  <c r="C73" i="1"/>
  <c r="E68" i="1"/>
  <c r="C68" i="1"/>
  <c r="E72" i="1"/>
  <c r="C72" i="1"/>
  <c r="E67" i="1"/>
  <c r="C67" i="1"/>
  <c r="G63" i="1"/>
  <c r="C63" i="1"/>
  <c r="G62" i="1"/>
  <c r="C62" i="1"/>
  <c r="G61" i="1"/>
  <c r="C61" i="1"/>
  <c r="G56" i="1"/>
  <c r="C56" i="1"/>
  <c r="C55" i="1"/>
  <c r="G55" i="1"/>
  <c r="G50" i="1"/>
  <c r="C50" i="1"/>
  <c r="C51" i="1"/>
  <c r="G51" i="1"/>
  <c r="G49" i="1"/>
  <c r="C49" i="1"/>
  <c r="O27" i="1"/>
  <c r="P27" i="1"/>
  <c r="D3" i="1"/>
  <c r="D11" i="1"/>
  <c r="G11" i="1"/>
  <c r="K18" i="1"/>
  <c r="L18" i="1"/>
  <c r="O28" i="1"/>
  <c r="C24" i="1"/>
  <c r="G43" i="1"/>
  <c r="G42" i="1"/>
  <c r="C23" i="1"/>
  <c r="G41" i="1"/>
  <c r="G40" i="1"/>
  <c r="G39" i="1"/>
  <c r="O29" i="1"/>
  <c r="O36" i="1"/>
  <c r="O34" i="1"/>
  <c r="O33" i="1"/>
  <c r="P36" i="1"/>
  <c r="O35" i="1"/>
  <c r="P35" i="1"/>
  <c r="P34" i="1"/>
  <c r="P33" i="1"/>
  <c r="O32" i="1"/>
  <c r="P32" i="1"/>
  <c r="O31" i="1"/>
  <c r="P31" i="1"/>
  <c r="P28" i="1"/>
  <c r="O30" i="1"/>
  <c r="P30" i="1"/>
  <c r="P29" i="1"/>
  <c r="D15" i="1"/>
  <c r="D13" i="1"/>
  <c r="K22" i="1"/>
  <c r="L22" i="1"/>
  <c r="K21" i="1"/>
  <c r="L21" i="1"/>
  <c r="D12" i="1"/>
  <c r="K15" i="1"/>
  <c r="L15" i="1"/>
  <c r="K19" i="1"/>
  <c r="L19" i="1"/>
  <c r="K16" i="1"/>
  <c r="L7" i="1"/>
  <c r="D5" i="1"/>
  <c r="L5" i="1"/>
  <c r="D16" i="1"/>
  <c r="L6" i="1"/>
  <c r="L3" i="1"/>
  <c r="K7" i="1"/>
  <c r="K6" i="1"/>
  <c r="K5" i="1"/>
  <c r="K3" i="1"/>
  <c r="D6" i="1"/>
  <c r="G13" i="1"/>
  <c r="D4" i="1"/>
  <c r="G15" i="1"/>
  <c r="G16" i="1"/>
  <c r="L16" i="1"/>
  <c r="D8" i="1"/>
  <c r="C20" i="1"/>
  <c r="C19" i="1"/>
  <c r="D7" i="1"/>
</calcChain>
</file>

<file path=xl/sharedStrings.xml><?xml version="1.0" encoding="utf-8"?>
<sst xmlns="http://schemas.openxmlformats.org/spreadsheetml/2006/main" count="354" uniqueCount="196">
  <si>
    <t>scan vasp test</t>
  </si>
  <si>
    <t>control vasp bccU</t>
  </si>
  <si>
    <t>E</t>
  </si>
  <si>
    <t>E/at</t>
  </si>
  <si>
    <t>V</t>
  </si>
  <si>
    <t>a</t>
  </si>
  <si>
    <t>scan vasp</t>
  </si>
  <si>
    <t>si test</t>
  </si>
  <si>
    <t>orig</t>
  </si>
  <si>
    <t>my version</t>
  </si>
  <si>
    <t>with SCAN</t>
  </si>
  <si>
    <t>with SCANa</t>
  </si>
  <si>
    <t>read CHGCAR and WAVECAR</t>
  </si>
  <si>
    <t>PBE</t>
  </si>
  <si>
    <t>orig vasp</t>
  </si>
  <si>
    <t>DC Si</t>
  </si>
  <si>
    <t>single U atom</t>
  </si>
  <si>
    <t>SCAN</t>
  </si>
  <si>
    <t>metaGGA</t>
  </si>
  <si>
    <t>PBE nonmag</t>
  </si>
  <si>
    <t>PBE mag</t>
  </si>
  <si>
    <t>metagga</t>
  </si>
  <si>
    <t>DC Si SCAN</t>
  </si>
  <si>
    <t>alpha U</t>
  </si>
  <si>
    <t>control vasp</t>
  </si>
  <si>
    <t>delE A-B (eV/at)</t>
  </si>
  <si>
    <t>fccU</t>
  </si>
  <si>
    <t>scan fccU</t>
  </si>
  <si>
    <t>scU</t>
  </si>
  <si>
    <t>scan scU</t>
  </si>
  <si>
    <t>bctU</t>
  </si>
  <si>
    <t>scan bctU</t>
  </si>
  <si>
    <t>alpha</t>
  </si>
  <si>
    <t>control</t>
  </si>
  <si>
    <t>bcc</t>
  </si>
  <si>
    <t>fcc</t>
  </si>
  <si>
    <t>bct</t>
  </si>
  <si>
    <t>scan</t>
  </si>
  <si>
    <t>sc</t>
  </si>
  <si>
    <t>betaU</t>
  </si>
  <si>
    <t>beta</t>
  </si>
  <si>
    <t>scan betaU</t>
  </si>
  <si>
    <t>alphaU</t>
  </si>
  <si>
    <t>c11</t>
  </si>
  <si>
    <t>c22</t>
  </si>
  <si>
    <t>c33</t>
  </si>
  <si>
    <t>c12</t>
  </si>
  <si>
    <t>c13</t>
  </si>
  <si>
    <t>c23</t>
  </si>
  <si>
    <t>c44</t>
  </si>
  <si>
    <t>c55</t>
  </si>
  <si>
    <t>c66</t>
  </si>
  <si>
    <t>k81212</t>
  </si>
  <si>
    <t>scan alphaU</t>
  </si>
  <si>
    <t>gamU</t>
  </si>
  <si>
    <t>scan gamU</t>
  </si>
  <si>
    <t>u3si2</t>
  </si>
  <si>
    <t>c</t>
  </si>
  <si>
    <t>Ef</t>
  </si>
  <si>
    <t>Mag</t>
  </si>
  <si>
    <t>controlmag</t>
  </si>
  <si>
    <t>controlmag1</t>
  </si>
  <si>
    <t>scan mag1</t>
  </si>
  <si>
    <t>control k8812</t>
  </si>
  <si>
    <t>(folder 4)</t>
  </si>
  <si>
    <t>prec=N, coarse kmesh, encut252, ispin1</t>
  </si>
  <si>
    <t>10x longer</t>
  </si>
  <si>
    <t>b</t>
  </si>
  <si>
    <t>V/at</t>
  </si>
  <si>
    <t>c44 (zx)</t>
  </si>
  <si>
    <t>c66 (xy)</t>
  </si>
  <si>
    <t>not dense enough for elastic constants</t>
  </si>
  <si>
    <t>k81212A</t>
  </si>
  <si>
    <t>withSCANa</t>
  </si>
  <si>
    <t>k81212B</t>
  </si>
  <si>
    <t>k81212C</t>
  </si>
  <si>
    <t>ALPHA</t>
  </si>
  <si>
    <t>BCC</t>
  </si>
  <si>
    <t>k10</t>
  </si>
  <si>
    <t>prec=N, encut252, ispin1, ISYM1</t>
  </si>
  <si>
    <t>k355, isym0</t>
  </si>
  <si>
    <t>k466, isym0</t>
  </si>
  <si>
    <t>k477, isym0</t>
  </si>
  <si>
    <t>4 (k666)</t>
  </si>
  <si>
    <t>seems sufficient</t>
  </si>
  <si>
    <t>good enough?</t>
  </si>
  <si>
    <t>k588, isym0</t>
  </si>
  <si>
    <t>hmm….</t>
  </si>
  <si>
    <t>simple cubic new</t>
  </si>
  <si>
    <t>k14</t>
  </si>
  <si>
    <t>hmm, very different from the non-SCAN</t>
  </si>
  <si>
    <t>k61010</t>
  </si>
  <si>
    <t>k61010.5.4.4</t>
  </si>
  <si>
    <t>k14test</t>
  </si>
  <si>
    <t>pretty close</t>
  </si>
  <si>
    <t>ispin2</t>
  </si>
  <si>
    <t>k61010.5.4.1</t>
  </si>
  <si>
    <t>all with vasp5.4.4</t>
  </si>
  <si>
    <t>all with PREC=A, ENCUT=500, ispin2, isym0, lasph=T</t>
  </si>
  <si>
    <t>k111515</t>
  </si>
  <si>
    <t>mag</t>
  </si>
  <si>
    <t>k61010 2</t>
  </si>
  <si>
    <t>k161616</t>
  </si>
  <si>
    <t>TIME</t>
  </si>
  <si>
    <t>nodes</t>
  </si>
  <si>
    <t>k111515.1</t>
  </si>
  <si>
    <t>didn’t finish</t>
  </si>
  <si>
    <t>k161616.2</t>
  </si>
  <si>
    <t>k111515sp1</t>
  </si>
  <si>
    <t>k161616.3</t>
  </si>
  <si>
    <t>k161616.4</t>
  </si>
  <si>
    <t>memory exceeded</t>
  </si>
  <si>
    <t>k161616.5</t>
  </si>
  <si>
    <t>k161616sp1</t>
  </si>
  <si>
    <t>not enough bands</t>
  </si>
  <si>
    <t>zbrent, needs rerun</t>
  </si>
  <si>
    <t>k16sp1sym1</t>
  </si>
  <si>
    <t>"" nbands</t>
  </si>
  <si>
    <t>k16sp1sym1 NBANDS</t>
  </si>
  <si>
    <t>k16sp1sym0 NBANDS</t>
  </si>
  <si>
    <t>k202020sym0sp2</t>
  </si>
  <si>
    <t>BCT</t>
  </si>
  <si>
    <t>BETA</t>
  </si>
  <si>
    <t>k10105sp1sym1</t>
  </si>
  <si>
    <t>K884sp1sym0</t>
  </si>
  <si>
    <t>FCC 4 atoms</t>
  </si>
  <si>
    <t>SC 8 atoms</t>
  </si>
  <si>
    <t>k12sp1sym1</t>
  </si>
  <si>
    <t>k10sp1sym0</t>
  </si>
  <si>
    <t>k16sp1sym1 nbands=50</t>
  </si>
  <si>
    <t>irr</t>
  </si>
  <si>
    <t>running</t>
  </si>
  <si>
    <t>k202010sp1sym1</t>
  </si>
  <si>
    <t>k20sp1sym1</t>
  </si>
  <si>
    <t>nbands=50</t>
  </si>
  <si>
    <t>30 atoms</t>
  </si>
  <si>
    <t>2 atoms</t>
  </si>
  <si>
    <t>4 atoms</t>
  </si>
  <si>
    <t>irr*#atoms</t>
  </si>
  <si>
    <t>k14sp1sym0</t>
  </si>
  <si>
    <t>elastics didn’t finish</t>
  </si>
  <si>
    <t>k16168sp1sym1</t>
  </si>
  <si>
    <t>k24sp1sym1</t>
  </si>
  <si>
    <t>nbands=40</t>
  </si>
  <si>
    <t>k111515sp1sym1</t>
  </si>
  <si>
    <t>k29sp1sym1</t>
  </si>
  <si>
    <t>k202016sp1sym1</t>
  </si>
  <si>
    <t>k21sp1sym1</t>
  </si>
  <si>
    <t>k30sp1sym1</t>
  </si>
  <si>
    <t>ibrion6A</t>
  </si>
  <si>
    <t>k111515sp1sym0</t>
  </si>
  <si>
    <r>
      <t>The precision of the mesh is usually directly proportional to the </t>
    </r>
    <r>
      <rPr>
        <i/>
        <sz val="14"/>
        <color rgb="FF000000"/>
        <rFont val="Times"/>
        <family val="1"/>
      </rPr>
      <t>number of k-points in the IRBZ</t>
    </r>
  </si>
  <si>
    <t>k91917sp1sym1</t>
  </si>
  <si>
    <t>k29 10^-8, 0.005</t>
  </si>
  <si>
    <t>k40sp1sym1</t>
  </si>
  <si>
    <t>k112319sp1sym1</t>
  </si>
  <si>
    <t>k35sp1sym1</t>
  </si>
  <si>
    <t>k404032sp1sym1</t>
  </si>
  <si>
    <t>k252519sp1sym1</t>
  </si>
  <si>
    <t>k11116sp1sym1</t>
  </si>
  <si>
    <t>k25sp1sym1</t>
  </si>
  <si>
    <t>k112319sp2sym1</t>
  </si>
  <si>
    <t>MAG</t>
  </si>
  <si>
    <t>MAG2</t>
  </si>
  <si>
    <t>k91917sym0</t>
  </si>
  <si>
    <t>k16sp2</t>
  </si>
  <si>
    <t>k191919</t>
  </si>
  <si>
    <t>k18</t>
  </si>
  <si>
    <t>ibrion6B</t>
  </si>
  <si>
    <t>k171715sp1sym0</t>
  </si>
  <si>
    <t>k171715sp2sym0</t>
  </si>
  <si>
    <t>k13sp1sym0</t>
  </si>
  <si>
    <t>XXXX</t>
  </si>
  <si>
    <t>isif2</t>
  </si>
  <si>
    <t>k171717sp2</t>
  </si>
  <si>
    <t>k17sp2</t>
  </si>
  <si>
    <t>k14sp2</t>
  </si>
  <si>
    <t>k17sp1</t>
  </si>
  <si>
    <t>10E-8, -0.001</t>
  </si>
  <si>
    <t>A</t>
  </si>
  <si>
    <t>k71111-G</t>
  </si>
  <si>
    <t>CONTROL</t>
  </si>
  <si>
    <t>B</t>
  </si>
  <si>
    <t>k111515-G</t>
  </si>
  <si>
    <t>C</t>
  </si>
  <si>
    <t>k121212-G</t>
  </si>
  <si>
    <t>D</t>
  </si>
  <si>
    <t>k151515-G</t>
  </si>
  <si>
    <t>k151515-M</t>
  </si>
  <si>
    <t>irred</t>
  </si>
  <si>
    <t>xx</t>
  </si>
  <si>
    <t>yy</t>
  </si>
  <si>
    <t>zz</t>
  </si>
  <si>
    <t>xy</t>
  </si>
  <si>
    <t>yz</t>
  </si>
  <si>
    <t>zx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</si>
</sst>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rgb="FF000000"/>
      <name val="Times"/>
      <family val="1"/>
    </font>
    <font>
      <i/>
      <sz val="14"/>
      <color rgb="FF000000"/>
      <name val="Times"/>
      <family val="1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 applyFont="1"/>
    <xf numFmtId="164" fontId="5" fillId="0" borderId="0" xfId="0" applyNumberFormat="1" applyFont="1"/>
    <xf numFmtId="0" fontId="5" fillId="0" borderId="0" xfId="0" applyFon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6" fillId="0" borderId="0" xfId="0" applyFont="1"/>
    <xf numFmtId="11" fontId="1" fillId="0" borderId="0" xfId="0" applyNumberFormat="1" applyFont="1"/>
    <xf numFmtId="0" fontId="0" fillId="0" borderId="0" xfId="0" applyFont="1"/>
    <xf numFmtId="1" fontId="0" fillId="0" borderId="0" xfId="0" applyNumberFormat="1"/>
    <xf numFmtId="164" fontId="0" fillId="0" borderId="0" xfId="0" quotePrefix="1" applyNumberFormat="1"/>
    <xf numFmtId="11" fontId="8" fillId="0" borderId="0" xfId="0" applyNumberFormat="1" applyFont="1"/>
  </cellXfs>
  <cellStyles count="3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standard vasp</c:v>
          </c:tx>
          <c:cat>
            <c:strRef>
              <c:f>Sheet1!$M$39:$M$43</c:f>
              <c:strCache>
                <c:ptCount val="5"/>
                <c:pt idx="0">
                  <c:v>alpha</c:v>
                </c:pt>
                <c:pt idx="1">
                  <c:v>beta</c:v>
                </c:pt>
                <c:pt idx="2">
                  <c:v>bcc</c:v>
                </c:pt>
                <c:pt idx="3">
                  <c:v>fcc</c:v>
                </c:pt>
                <c:pt idx="4">
                  <c:v>bct</c:v>
                </c:pt>
              </c:strCache>
            </c:strRef>
          </c:cat>
          <c:val>
            <c:numRef>
              <c:f>Sheet1!$N$39:$N$43</c:f>
              <c:numCache>
                <c:formatCode>0.0000</c:formatCode>
                <c:ptCount val="5"/>
                <c:pt idx="0">
                  <c:v>0</c:v>
                </c:pt>
                <c:pt idx="1">
                  <c:v>0.10763508333333327</c:v>
                </c:pt>
                <c:pt idx="2">
                  <c:v>0.3363327500000004</c:v>
                </c:pt>
                <c:pt idx="3">
                  <c:v>0.44563175000000044</c:v>
                </c:pt>
                <c:pt idx="4">
                  <c:v>0.17339225000000091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5-784B-95E4-8EB9A0B808F9}"/>
            </c:ext>
          </c:extLst>
        </c:ser>
        <c:ser>
          <c:idx val="1"/>
          <c:order val="1"/>
          <c:tx>
            <c:v>scan</c:v>
          </c:tx>
          <c:cat>
            <c:strRef>
              <c:f>Sheet1!$M$39:$M$43</c:f>
              <c:strCache>
                <c:ptCount val="5"/>
                <c:pt idx="0">
                  <c:v>alpha</c:v>
                </c:pt>
                <c:pt idx="1">
                  <c:v>beta</c:v>
                </c:pt>
                <c:pt idx="2">
                  <c:v>bcc</c:v>
                </c:pt>
                <c:pt idx="3">
                  <c:v>fcc</c:v>
                </c:pt>
                <c:pt idx="4">
                  <c:v>bct</c:v>
                </c:pt>
              </c:strCache>
            </c:strRef>
          </c:cat>
          <c:val>
            <c:numRef>
              <c:f>Sheet1!$O$39:$O$43</c:f>
              <c:numCache>
                <c:formatCode>0.0000</c:formatCode>
                <c:ptCount val="5"/>
                <c:pt idx="0">
                  <c:v>0</c:v>
                </c:pt>
                <c:pt idx="1">
                  <c:v>0.1301491666666692</c:v>
                </c:pt>
                <c:pt idx="2">
                  <c:v>0.3974474999999984</c:v>
                </c:pt>
                <c:pt idx="3">
                  <c:v>0.58904250000000502</c:v>
                </c:pt>
                <c:pt idx="4">
                  <c:v>0.19961250000000064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5-784B-95E4-8EB9A0B8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182576"/>
        <c:axId val="1663184624"/>
      </c:lineChart>
      <c:catAx>
        <c:axId val="166318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3184624"/>
        <c:crosses val="autoZero"/>
        <c:auto val="1"/>
        <c:lblAlgn val="ctr"/>
        <c:lblOffset val="100"/>
        <c:noMultiLvlLbl val="0"/>
      </c:catAx>
      <c:valAx>
        <c:axId val="1663184624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166318257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80555555555556"/>
          <c:y val="7.8319845435987204E-2"/>
          <c:w val="0.24722222222222201"/>
          <c:h val="0.17387803797252599"/>
        </c:manualLayout>
      </c:layout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292100</xdr:colOff>
      <xdr:row>7</xdr:row>
      <xdr:rowOff>165100</xdr:rowOff>
    </xdr:from>
    <xdr:to>
      <xdr:col>17</xdr:col>
      <xdr:colOff>736600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1"/>
  <sheetViews>
    <sheetView topLeftCell="A94" workbookViewId="0">
      <selection activeCell="I114" sqref="I114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C2" t="s">
        <v>2</v>
      </c>
      <c r="D2" t="s">
        <v>3</v>
      </c>
      <c r="E2" t="s">
        <v>4</v>
      </c>
      <c r="F2" t="s">
        <v>5</v>
      </c>
      <c r="K2" t="s">
        <v>33</v>
      </c>
      <c r="L2" t="s">
        <v>37</v>
      </c>
    </row>
    <row r="3" spans="1:12" x14ac:dyDescent="0.2">
      <c r="A3" t="s">
        <v>1</v>
      </c>
      <c r="C3" s="1">
        <v>-21.723103999999999</v>
      </c>
      <c r="D3" s="1">
        <f t="shared" ref="D3:D8" si="0">C3/2</f>
        <v>-10.861552</v>
      </c>
      <c r="E3">
        <v>40.46</v>
      </c>
      <c r="F3" s="1">
        <v>3.4331063099999999</v>
      </c>
      <c r="G3" t="s">
        <v>13</v>
      </c>
      <c r="J3" t="s">
        <v>32</v>
      </c>
      <c r="K3" s="1">
        <f>D11-D11</f>
        <v>0</v>
      </c>
      <c r="L3" s="1">
        <f>D13-D13</f>
        <v>0</v>
      </c>
    </row>
    <row r="4" spans="1:12" x14ac:dyDescent="0.2">
      <c r="A4" t="s">
        <v>6</v>
      </c>
      <c r="C4" s="1">
        <v>-21.723103999999999</v>
      </c>
      <c r="D4" s="1">
        <f t="shared" si="0"/>
        <v>-10.861552</v>
      </c>
      <c r="E4">
        <v>40.46</v>
      </c>
      <c r="F4" s="1">
        <v>3.4331063099999999</v>
      </c>
      <c r="G4" t="s">
        <v>13</v>
      </c>
      <c r="J4" t="s">
        <v>40</v>
      </c>
      <c r="K4" s="1">
        <v>8.4625833333333844E-2</v>
      </c>
      <c r="L4">
        <v>0.16905500000000018</v>
      </c>
    </row>
    <row r="5" spans="1:12" x14ac:dyDescent="0.2">
      <c r="A5" t="s">
        <v>10</v>
      </c>
      <c r="C5" s="1">
        <v>-206.4195</v>
      </c>
      <c r="D5" s="1">
        <f t="shared" si="0"/>
        <v>-103.20975</v>
      </c>
      <c r="E5">
        <v>37.590000000000003</v>
      </c>
      <c r="F5" s="1">
        <v>3.3497110029999999</v>
      </c>
      <c r="J5" t="s">
        <v>34</v>
      </c>
      <c r="K5" s="1">
        <f>D3-D11</f>
        <v>0.27500550000000068</v>
      </c>
      <c r="L5" s="1">
        <f>D5-D13</f>
        <v>0.41400500000000306</v>
      </c>
    </row>
    <row r="6" spans="1:12" x14ac:dyDescent="0.2">
      <c r="A6" t="s">
        <v>11</v>
      </c>
      <c r="C6" s="1">
        <v>-206.41951</v>
      </c>
      <c r="D6" s="1">
        <f t="shared" si="0"/>
        <v>-103.209755</v>
      </c>
      <c r="E6">
        <v>37.58</v>
      </c>
      <c r="F6" s="1">
        <v>3.3496204820000002</v>
      </c>
      <c r="G6" t="s">
        <v>12</v>
      </c>
      <c r="J6" t="s">
        <v>35</v>
      </c>
      <c r="K6" s="1">
        <f>D15-D11</f>
        <v>0.37997250000000093</v>
      </c>
      <c r="L6" s="1">
        <f>D16-D13</f>
        <v>0.5989799999999974</v>
      </c>
    </row>
    <row r="7" spans="1:12" x14ac:dyDescent="0.2">
      <c r="A7" t="s">
        <v>18</v>
      </c>
      <c r="C7" s="1">
        <v>79.540846999999999</v>
      </c>
      <c r="D7" s="1">
        <f t="shared" si="0"/>
        <v>39.7704235</v>
      </c>
      <c r="E7">
        <v>38.409999999999997</v>
      </c>
      <c r="F7" s="1">
        <v>3.3738809170000001</v>
      </c>
      <c r="J7" t="s">
        <v>36</v>
      </c>
      <c r="K7" s="1">
        <f>K15-D11</f>
        <v>0.10449050000000071</v>
      </c>
      <c r="L7" s="1">
        <f>K16-D13</f>
        <v>0.20628500000000827</v>
      </c>
    </row>
    <row r="8" spans="1:12" x14ac:dyDescent="0.2">
      <c r="A8" t="s">
        <v>18</v>
      </c>
      <c r="C8" s="1">
        <v>79.461405999999997</v>
      </c>
      <c r="D8" s="1">
        <f t="shared" si="0"/>
        <v>39.730702999999998</v>
      </c>
      <c r="E8">
        <v>38.18</v>
      </c>
      <c r="F8" s="1">
        <v>3.3671454949999999</v>
      </c>
      <c r="J8" t="s">
        <v>38</v>
      </c>
      <c r="K8">
        <v>1.1256975000000011</v>
      </c>
    </row>
    <row r="9" spans="1:12" x14ac:dyDescent="0.2">
      <c r="C9" s="1"/>
      <c r="D9" s="1"/>
      <c r="F9" s="1"/>
    </row>
    <row r="10" spans="1:12" x14ac:dyDescent="0.2">
      <c r="A10" t="s">
        <v>23</v>
      </c>
      <c r="C10" s="1">
        <v>-44.559820000000002</v>
      </c>
      <c r="D10" s="1"/>
      <c r="F10" s="1"/>
      <c r="G10" t="s">
        <v>25</v>
      </c>
    </row>
    <row r="11" spans="1:12" x14ac:dyDescent="0.2">
      <c r="A11" t="s">
        <v>24</v>
      </c>
      <c r="C11" s="1">
        <v>-44.546230000000001</v>
      </c>
      <c r="D11" s="1">
        <f>C11/4</f>
        <v>-11.1365575</v>
      </c>
      <c r="F11" s="1"/>
      <c r="G11" s="1">
        <f>D3-D11</f>
        <v>0.27500550000000068</v>
      </c>
    </row>
    <row r="12" spans="1:12" x14ac:dyDescent="0.2">
      <c r="A12" t="s">
        <v>33</v>
      </c>
      <c r="B12" t="s">
        <v>52</v>
      </c>
      <c r="C12" s="1">
        <v>-44.559820000000002</v>
      </c>
      <c r="D12" s="1">
        <f>C12/4</f>
        <v>-11.139955</v>
      </c>
      <c r="F12" s="1"/>
      <c r="G12" s="1"/>
    </row>
    <row r="13" spans="1:12" x14ac:dyDescent="0.2">
      <c r="A13" t="s">
        <v>17</v>
      </c>
      <c r="C13" s="1">
        <v>-414.49502000000001</v>
      </c>
      <c r="D13" s="1">
        <f>C13/4</f>
        <v>-103.623755</v>
      </c>
      <c r="F13" s="1"/>
      <c r="G13" s="1">
        <f>D6-D13</f>
        <v>0.41400000000000148</v>
      </c>
    </row>
    <row r="14" spans="1:12" x14ac:dyDescent="0.2">
      <c r="C14" s="1"/>
      <c r="D14" s="1"/>
      <c r="F14" s="1"/>
      <c r="G14" s="1"/>
    </row>
    <row r="15" spans="1:12" x14ac:dyDescent="0.2">
      <c r="A15" t="s">
        <v>26</v>
      </c>
      <c r="C15" s="1">
        <v>-43.026339999999998</v>
      </c>
      <c r="D15" s="1">
        <f>C15/4</f>
        <v>-10.756584999999999</v>
      </c>
      <c r="F15" s="1"/>
      <c r="G15" s="1">
        <f>D15-D11</f>
        <v>0.37997250000000093</v>
      </c>
      <c r="I15" t="s">
        <v>30</v>
      </c>
      <c r="J15" s="1">
        <v>-22.064133999999999</v>
      </c>
      <c r="K15" s="1">
        <f>J15/2</f>
        <v>-11.032067</v>
      </c>
      <c r="L15" s="1">
        <f>K15-D11</f>
        <v>0.10449050000000071</v>
      </c>
    </row>
    <row r="16" spans="1:12" x14ac:dyDescent="0.2">
      <c r="A16" t="s">
        <v>27</v>
      </c>
      <c r="C16" s="1">
        <v>-412.09910000000002</v>
      </c>
      <c r="D16" s="1">
        <f>C16/4</f>
        <v>-103.02477500000001</v>
      </c>
      <c r="F16" s="1"/>
      <c r="G16" s="1">
        <f>D16-D13</f>
        <v>0.5989799999999974</v>
      </c>
      <c r="I16" t="s">
        <v>31</v>
      </c>
      <c r="J16" s="1">
        <v>-206.83493999999999</v>
      </c>
      <c r="K16" s="1">
        <f>J16/2</f>
        <v>-103.41746999999999</v>
      </c>
      <c r="L16" s="1">
        <f>K16-D13</f>
        <v>0.20628500000000827</v>
      </c>
    </row>
    <row r="18" spans="1:17" x14ac:dyDescent="0.2">
      <c r="A18" s="2" t="s">
        <v>7</v>
      </c>
      <c r="B18" s="2" t="s">
        <v>2</v>
      </c>
      <c r="C18" s="2" t="s">
        <v>3</v>
      </c>
      <c r="D18" s="2" t="s">
        <v>4</v>
      </c>
      <c r="I18" t="s">
        <v>28</v>
      </c>
      <c r="J18" s="1">
        <v>-50.054299999999998</v>
      </c>
      <c r="K18" s="1">
        <f>J18/5</f>
        <v>-10.010859999999999</v>
      </c>
      <c r="L18" s="1">
        <f>K18-D11</f>
        <v>1.1256975000000011</v>
      </c>
    </row>
    <row r="19" spans="1:17" x14ac:dyDescent="0.2">
      <c r="A19" s="2" t="s">
        <v>8</v>
      </c>
      <c r="B19" s="3">
        <v>-20.018322999999999</v>
      </c>
      <c r="C19">
        <f>B19/2</f>
        <v>-10.009161499999999</v>
      </c>
      <c r="D19" s="2">
        <v>39.96</v>
      </c>
      <c r="I19" t="s">
        <v>29</v>
      </c>
      <c r="J19" s="1"/>
      <c r="K19" s="1">
        <f>J19/5</f>
        <v>0</v>
      </c>
      <c r="L19" s="1">
        <f>K19-D13</f>
        <v>103.623755</v>
      </c>
    </row>
    <row r="20" spans="1:17" x14ac:dyDescent="0.2">
      <c r="A20" s="2" t="s">
        <v>9</v>
      </c>
      <c r="B20" s="3">
        <v>-20.018322999999999</v>
      </c>
      <c r="C20">
        <f>B20/2</f>
        <v>-10.009161499999999</v>
      </c>
      <c r="D20" s="2">
        <v>39.96</v>
      </c>
    </row>
    <row r="21" spans="1:17" x14ac:dyDescent="0.2">
      <c r="I21" t="s">
        <v>39</v>
      </c>
      <c r="J21" s="1">
        <v>-331.55795000000001</v>
      </c>
      <c r="K21" s="1">
        <f>J21/30</f>
        <v>-11.051931666666666</v>
      </c>
      <c r="L21" s="1">
        <f>K21-D11</f>
        <v>8.4625833333333844E-2</v>
      </c>
    </row>
    <row r="22" spans="1:17" x14ac:dyDescent="0.2">
      <c r="A22" s="2" t="s">
        <v>14</v>
      </c>
      <c r="I22" t="s">
        <v>41</v>
      </c>
      <c r="J22" s="1">
        <v>-3093.3503000000001</v>
      </c>
      <c r="K22" s="1">
        <f>J22/30</f>
        <v>-103.11167666666667</v>
      </c>
      <c r="L22" s="1">
        <f>K22-D13</f>
        <v>0.51207833333333497</v>
      </c>
    </row>
    <row r="23" spans="1:17" x14ac:dyDescent="0.2">
      <c r="A23" s="4" t="s">
        <v>15</v>
      </c>
      <c r="B23" s="5">
        <v>-43.395800000000001</v>
      </c>
      <c r="C23" s="5">
        <f>B23/8</f>
        <v>-5.4244750000000002</v>
      </c>
      <c r="J23" s="1"/>
    </row>
    <row r="24" spans="1:17" x14ac:dyDescent="0.2">
      <c r="A24" s="4" t="s">
        <v>22</v>
      </c>
      <c r="B24" s="5">
        <v>-80.058277000000004</v>
      </c>
      <c r="C24" s="5">
        <f>B24/8</f>
        <v>-10.007284625</v>
      </c>
      <c r="F24" t="s">
        <v>42</v>
      </c>
      <c r="G24" t="s">
        <v>33</v>
      </c>
      <c r="H24" t="s">
        <v>37</v>
      </c>
      <c r="I24" t="s">
        <v>63</v>
      </c>
    </row>
    <row r="25" spans="1:17" x14ac:dyDescent="0.2">
      <c r="F25" t="s">
        <v>43</v>
      </c>
      <c r="G25">
        <v>509</v>
      </c>
      <c r="H25">
        <v>643</v>
      </c>
      <c r="I25">
        <v>337</v>
      </c>
    </row>
    <row r="26" spans="1:17" x14ac:dyDescent="0.2">
      <c r="A26" t="s">
        <v>16</v>
      </c>
      <c r="F26" t="s">
        <v>44</v>
      </c>
      <c r="G26">
        <v>250</v>
      </c>
      <c r="H26">
        <v>290</v>
      </c>
      <c r="I26">
        <v>234</v>
      </c>
      <c r="M26" t="s">
        <v>65</v>
      </c>
      <c r="P26" t="s">
        <v>64</v>
      </c>
    </row>
    <row r="27" spans="1:17" x14ac:dyDescent="0.2">
      <c r="A27" t="s">
        <v>20</v>
      </c>
      <c r="B27" s="1">
        <v>-4.5142699000000004</v>
      </c>
      <c r="F27" t="s">
        <v>45</v>
      </c>
      <c r="G27">
        <v>333</v>
      </c>
      <c r="H27">
        <v>405</v>
      </c>
      <c r="I27">
        <v>367</v>
      </c>
      <c r="M27" t="s">
        <v>42</v>
      </c>
      <c r="N27" s="6">
        <v>-44.705035000000002</v>
      </c>
      <c r="O27" s="1">
        <f>N27/4</f>
        <v>-11.176258750000001</v>
      </c>
      <c r="P27" s="1">
        <f>O27-O$27</f>
        <v>0</v>
      </c>
    </row>
    <row r="28" spans="1:17" x14ac:dyDescent="0.2">
      <c r="A28" t="s">
        <v>19</v>
      </c>
      <c r="B28" s="1">
        <v>-2.4695198999999999</v>
      </c>
      <c r="F28" t="s">
        <v>46</v>
      </c>
      <c r="G28">
        <v>27.5</v>
      </c>
      <c r="H28">
        <v>38</v>
      </c>
      <c r="I28">
        <v>46</v>
      </c>
      <c r="M28" t="s">
        <v>53</v>
      </c>
      <c r="N28" s="1">
        <v>-414.34449000000001</v>
      </c>
      <c r="O28" s="1">
        <f>N28/4</f>
        <v>-103.5861225</v>
      </c>
      <c r="P28" s="1">
        <f>O28-O$28</f>
        <v>0</v>
      </c>
      <c r="Q28" t="s">
        <v>66</v>
      </c>
    </row>
    <row r="29" spans="1:17" x14ac:dyDescent="0.2">
      <c r="A29" t="s">
        <v>17</v>
      </c>
      <c r="B29" s="1">
        <v>-94.016018686500004</v>
      </c>
      <c r="F29" t="s">
        <v>47</v>
      </c>
      <c r="G29">
        <v>27</v>
      </c>
      <c r="H29">
        <v>29</v>
      </c>
      <c r="I29">
        <v>24</v>
      </c>
      <c r="M29" t="s">
        <v>39</v>
      </c>
      <c r="N29" s="6">
        <v>-332.05871000000002</v>
      </c>
      <c r="O29" s="1">
        <f>N29/30</f>
        <v>-11.068623666666667</v>
      </c>
      <c r="P29" s="1">
        <f>O29-O$27</f>
        <v>0.10763508333333327</v>
      </c>
    </row>
    <row r="30" spans="1:17" x14ac:dyDescent="0.2">
      <c r="A30" t="s">
        <v>17</v>
      </c>
      <c r="B30" s="1">
        <v>-94.100426999999996</v>
      </c>
      <c r="F30" t="s">
        <v>48</v>
      </c>
      <c r="G30">
        <v>137</v>
      </c>
      <c r="H30">
        <v>191</v>
      </c>
      <c r="I30">
        <v>137</v>
      </c>
      <c r="M30" t="s">
        <v>41</v>
      </c>
      <c r="N30" s="1">
        <v>-3103.6792</v>
      </c>
      <c r="O30" s="1">
        <f>N30/30</f>
        <v>-103.45597333333333</v>
      </c>
      <c r="P30" s="1">
        <f>O30-O$28</f>
        <v>0.1301491666666692</v>
      </c>
    </row>
    <row r="31" spans="1:17" x14ac:dyDescent="0.2">
      <c r="A31" t="s">
        <v>21</v>
      </c>
      <c r="B31" s="1">
        <v>49.457768999999999</v>
      </c>
      <c r="F31" t="s">
        <v>49</v>
      </c>
      <c r="G31">
        <v>114</v>
      </c>
      <c r="H31">
        <v>138</v>
      </c>
      <c r="I31">
        <v>138</v>
      </c>
      <c r="M31" t="s">
        <v>54</v>
      </c>
      <c r="N31" s="1">
        <v>-21.679852</v>
      </c>
      <c r="O31" s="1">
        <f>N31/2</f>
        <v>-10.839926</v>
      </c>
      <c r="P31" s="1">
        <f>O31-O$27</f>
        <v>0.3363327500000004</v>
      </c>
    </row>
    <row r="32" spans="1:17" x14ac:dyDescent="0.2">
      <c r="F32" t="s">
        <v>50</v>
      </c>
      <c r="G32">
        <v>145</v>
      </c>
      <c r="H32">
        <v>176</v>
      </c>
      <c r="I32">
        <v>151</v>
      </c>
      <c r="M32" t="s">
        <v>55</v>
      </c>
      <c r="N32" s="1">
        <v>-206.37735000000001</v>
      </c>
      <c r="O32" s="1">
        <f>N32/2</f>
        <v>-103.188675</v>
      </c>
      <c r="P32" s="1">
        <f>O32-O$28</f>
        <v>0.3974474999999984</v>
      </c>
    </row>
    <row r="33" spans="1:17" x14ac:dyDescent="0.2">
      <c r="F33" t="s">
        <v>51</v>
      </c>
      <c r="G33">
        <v>117</v>
      </c>
      <c r="H33">
        <v>148</v>
      </c>
      <c r="I33">
        <v>97</v>
      </c>
      <c r="M33" t="s">
        <v>26</v>
      </c>
      <c r="N33" s="1">
        <v>-42.922508000000001</v>
      </c>
      <c r="O33" s="1">
        <f>N33/4</f>
        <v>-10.730627</v>
      </c>
      <c r="P33" s="1">
        <f>O33-O$27</f>
        <v>0.44563175000000044</v>
      </c>
    </row>
    <row r="34" spans="1:17" x14ac:dyDescent="0.2">
      <c r="M34" t="s">
        <v>27</v>
      </c>
      <c r="N34" s="1">
        <v>-411.98831999999999</v>
      </c>
      <c r="O34" s="1">
        <f>N34/4</f>
        <v>-102.99708</v>
      </c>
      <c r="P34" s="1">
        <f>O34-O$28</f>
        <v>0.58904250000000502</v>
      </c>
    </row>
    <row r="35" spans="1:17" x14ac:dyDescent="0.2">
      <c r="A35" t="s">
        <v>88</v>
      </c>
      <c r="C35" t="s">
        <v>3</v>
      </c>
      <c r="D35" t="s">
        <v>68</v>
      </c>
      <c r="M35" t="s">
        <v>30</v>
      </c>
      <c r="N35" s="1">
        <v>-22.005732999999999</v>
      </c>
      <c r="O35" s="1">
        <f>N35/2</f>
        <v>-11.0028665</v>
      </c>
      <c r="P35" s="1">
        <f>O35-O$27</f>
        <v>0.17339225000000091</v>
      </c>
    </row>
    <row r="36" spans="1:17" x14ac:dyDescent="0.2">
      <c r="A36">
        <v>1</v>
      </c>
      <c r="B36" s="9">
        <v>-87.285082000000003</v>
      </c>
      <c r="C36" s="1">
        <f>B36/8</f>
        <v>-10.91063525</v>
      </c>
      <c r="D36">
        <f>152.38/8</f>
        <v>19.047499999999999</v>
      </c>
      <c r="M36" t="s">
        <v>31</v>
      </c>
      <c r="N36" s="1">
        <v>-206.77302</v>
      </c>
      <c r="O36" s="1">
        <f>N36/2</f>
        <v>-103.38651</v>
      </c>
      <c r="P36" s="1">
        <f>O36-O$28</f>
        <v>0.19961250000000064</v>
      </c>
    </row>
    <row r="37" spans="1:17" x14ac:dyDescent="0.2">
      <c r="A37">
        <v>2</v>
      </c>
      <c r="B37" s="9">
        <v>-87.310788000000002</v>
      </c>
      <c r="C37" s="1">
        <f>B37/8</f>
        <v>-10.9138485</v>
      </c>
      <c r="D37">
        <f>152.68/8</f>
        <v>19.085000000000001</v>
      </c>
    </row>
    <row r="38" spans="1:17" x14ac:dyDescent="0.2">
      <c r="E38" t="s">
        <v>56</v>
      </c>
      <c r="F38" t="s">
        <v>2</v>
      </c>
      <c r="G38" t="s">
        <v>58</v>
      </c>
      <c r="H38" t="s">
        <v>5</v>
      </c>
      <c r="I38" t="s">
        <v>57</v>
      </c>
      <c r="J38" t="s">
        <v>59</v>
      </c>
      <c r="N38" t="s">
        <v>33</v>
      </c>
      <c r="O38" t="s">
        <v>37</v>
      </c>
      <c r="Q38" s="10"/>
    </row>
    <row r="39" spans="1:17" x14ac:dyDescent="0.2">
      <c r="E39" t="s">
        <v>33</v>
      </c>
      <c r="F39" s="1">
        <v>-90.111193999999998</v>
      </c>
      <c r="G39" s="1">
        <f>(F39-6*$O$27-4*$C$23)/10</f>
        <v>-0.1355741499999997</v>
      </c>
      <c r="H39">
        <v>7.1217380337357596</v>
      </c>
      <c r="I39">
        <v>3.87995078202789</v>
      </c>
      <c r="J39">
        <v>-0.35220000000000001</v>
      </c>
      <c r="M39" t="s">
        <v>32</v>
      </c>
      <c r="N39" s="1">
        <v>0</v>
      </c>
      <c r="O39" s="1">
        <v>0</v>
      </c>
      <c r="Q39" s="10"/>
    </row>
    <row r="40" spans="1:17" x14ac:dyDescent="0.2">
      <c r="E40" t="s">
        <v>60</v>
      </c>
      <c r="F40" s="1">
        <v>-89.438875999999993</v>
      </c>
      <c r="G40" s="1">
        <f>(F40-6*$O$27-4*$C$23)/10</f>
        <v>-6.8342349999999288E-2</v>
      </c>
      <c r="J40">
        <v>-1.1900000000000001E-2</v>
      </c>
      <c r="M40" t="s">
        <v>40</v>
      </c>
      <c r="N40" s="1">
        <v>0.10763508333333327</v>
      </c>
      <c r="O40" s="1">
        <v>0.1301491666666692</v>
      </c>
    </row>
    <row r="41" spans="1:17" x14ac:dyDescent="0.2">
      <c r="E41" t="s">
        <v>61</v>
      </c>
      <c r="F41" s="1">
        <v>-90.110951999999997</v>
      </c>
      <c r="G41" s="1">
        <f>(F41-6*$O$27-4*$C$23)/10</f>
        <v>-0.1355499499999997</v>
      </c>
      <c r="J41">
        <v>5.0500000000000003E-2</v>
      </c>
      <c r="M41" t="s">
        <v>34</v>
      </c>
      <c r="N41" s="1">
        <v>0.3363327500000004</v>
      </c>
      <c r="O41" s="1">
        <v>0.3974474999999984</v>
      </c>
    </row>
    <row r="42" spans="1:17" x14ac:dyDescent="0.2">
      <c r="E42" t="s">
        <v>37</v>
      </c>
      <c r="F42" s="7">
        <v>-662.65615000000003</v>
      </c>
      <c r="G42" s="1">
        <f>(F42-6*O$28-4*C$24)/10</f>
        <v>-0.11102764999999834</v>
      </c>
      <c r="J42" s="8">
        <v>8.4431999999999992</v>
      </c>
      <c r="M42" t="s">
        <v>35</v>
      </c>
      <c r="N42" s="1">
        <v>0.44563175000000044</v>
      </c>
      <c r="O42" s="1">
        <v>0.58904250000000502</v>
      </c>
    </row>
    <row r="43" spans="1:17" x14ac:dyDescent="0.2">
      <c r="E43" t="s">
        <v>62</v>
      </c>
      <c r="F43" s="7">
        <v>-663.54201999999998</v>
      </c>
      <c r="G43" s="1">
        <f>(F43-6*O$28-4*C$24)/10</f>
        <v>-0.19961464999999379</v>
      </c>
      <c r="J43" s="8">
        <v>8.6507000000000005</v>
      </c>
      <c r="M43" t="s">
        <v>36</v>
      </c>
      <c r="N43" s="1">
        <v>0.17339225000000091</v>
      </c>
      <c r="O43" s="1">
        <v>0.19961250000000064</v>
      </c>
    </row>
    <row r="46" spans="1:17" x14ac:dyDescent="0.2">
      <c r="A46" t="s">
        <v>76</v>
      </c>
    </row>
    <row r="47" spans="1:17" x14ac:dyDescent="0.2">
      <c r="B47" t="s">
        <v>65</v>
      </c>
    </row>
    <row r="48" spans="1:17" x14ac:dyDescent="0.2">
      <c r="A48" t="s">
        <v>33</v>
      </c>
      <c r="B48" t="s">
        <v>2</v>
      </c>
      <c r="C48" t="s">
        <v>3</v>
      </c>
      <c r="D48" t="s">
        <v>5</v>
      </c>
      <c r="E48" t="s">
        <v>67</v>
      </c>
      <c r="F48" t="s">
        <v>57</v>
      </c>
      <c r="G48" t="s">
        <v>68</v>
      </c>
      <c r="H48" t="s">
        <v>43</v>
      </c>
      <c r="I48" t="s">
        <v>44</v>
      </c>
      <c r="J48" t="s">
        <v>45</v>
      </c>
      <c r="K48" t="s">
        <v>46</v>
      </c>
      <c r="L48" t="s">
        <v>47</v>
      </c>
      <c r="M48" t="s">
        <v>48</v>
      </c>
      <c r="N48" t="s">
        <v>69</v>
      </c>
      <c r="O48" t="s">
        <v>50</v>
      </c>
      <c r="P48" t="s">
        <v>70</v>
      </c>
    </row>
    <row r="49" spans="1:17" x14ac:dyDescent="0.2">
      <c r="A49" t="s">
        <v>80</v>
      </c>
      <c r="B49" s="11">
        <v>-45.622779999999999</v>
      </c>
      <c r="C49" s="11">
        <f>B49/4</f>
        <v>-11.405695</v>
      </c>
      <c r="D49">
        <v>2.783009496</v>
      </c>
      <c r="E49">
        <v>5.7182361520000002</v>
      </c>
      <c r="F49">
        <v>4.9624837030000002</v>
      </c>
      <c r="G49">
        <f>78.97/4</f>
        <v>19.7425</v>
      </c>
      <c r="H49">
        <v>625</v>
      </c>
      <c r="I49">
        <v>235</v>
      </c>
      <c r="J49">
        <v>386</v>
      </c>
      <c r="K49">
        <v>-17</v>
      </c>
      <c r="L49">
        <v>-42</v>
      </c>
      <c r="M49">
        <v>179</v>
      </c>
      <c r="N49">
        <v>182</v>
      </c>
      <c r="O49">
        <v>178</v>
      </c>
      <c r="P49">
        <v>141</v>
      </c>
      <c r="Q49" t="s">
        <v>71</v>
      </c>
    </row>
    <row r="50" spans="1:17" x14ac:dyDescent="0.2">
      <c r="A50" t="s">
        <v>81</v>
      </c>
      <c r="B50" s="9">
        <v>-44.705029000000003</v>
      </c>
      <c r="C50" s="11">
        <f t="shared" ref="C50:C58" si="1">B50/4</f>
        <v>-11.176257250000001</v>
      </c>
      <c r="D50">
        <v>2.734312208</v>
      </c>
      <c r="E50">
        <v>5.8680764830000003</v>
      </c>
      <c r="F50">
        <v>4.9337270210000002</v>
      </c>
      <c r="G50">
        <f>79.16/4</f>
        <v>19.79</v>
      </c>
      <c r="H50">
        <v>505</v>
      </c>
      <c r="I50">
        <v>248</v>
      </c>
      <c r="J50">
        <v>327</v>
      </c>
      <c r="K50">
        <v>23</v>
      </c>
      <c r="L50">
        <v>22</v>
      </c>
      <c r="M50">
        <v>148</v>
      </c>
      <c r="N50">
        <v>111</v>
      </c>
      <c r="O50">
        <v>157</v>
      </c>
      <c r="P50">
        <v>117</v>
      </c>
      <c r="Q50" t="s">
        <v>71</v>
      </c>
    </row>
    <row r="51" spans="1:17" x14ac:dyDescent="0.2">
      <c r="A51" t="s">
        <v>82</v>
      </c>
      <c r="B51" s="9">
        <v>-44.708680999999999</v>
      </c>
      <c r="C51" s="11">
        <f t="shared" si="1"/>
        <v>-11.17717025</v>
      </c>
      <c r="D51">
        <v>2.7341781379999999</v>
      </c>
      <c r="E51">
        <v>5.8775229600000003</v>
      </c>
      <c r="F51">
        <v>4.9328690689999997</v>
      </c>
      <c r="G51">
        <f>79.27/4</f>
        <v>19.817499999999999</v>
      </c>
      <c r="H51">
        <v>507</v>
      </c>
      <c r="I51">
        <v>254</v>
      </c>
      <c r="J51">
        <v>342</v>
      </c>
      <c r="K51">
        <v>27</v>
      </c>
      <c r="L51">
        <v>25</v>
      </c>
      <c r="M51">
        <v>134</v>
      </c>
      <c r="N51">
        <v>96</v>
      </c>
      <c r="O51">
        <v>151</v>
      </c>
      <c r="P51">
        <v>112</v>
      </c>
      <c r="Q51" t="s">
        <v>71</v>
      </c>
    </row>
    <row r="52" spans="1:17" x14ac:dyDescent="0.2">
      <c r="A52" t="s">
        <v>86</v>
      </c>
      <c r="B52" s="9">
        <v>-44.377896</v>
      </c>
      <c r="C52" s="11">
        <f t="shared" si="1"/>
        <v>-11.094474</v>
      </c>
      <c r="D52">
        <v>2.762261992</v>
      </c>
      <c r="E52">
        <v>5.9309307210000002</v>
      </c>
      <c r="F52">
        <v>4.8835159700000004</v>
      </c>
      <c r="G52">
        <f>80.01/4</f>
        <v>20.002500000000001</v>
      </c>
      <c r="H52">
        <v>225</v>
      </c>
      <c r="I52">
        <v>215</v>
      </c>
      <c r="J52">
        <v>384</v>
      </c>
      <c r="K52">
        <v>72</v>
      </c>
      <c r="L52">
        <v>66</v>
      </c>
      <c r="M52">
        <v>130</v>
      </c>
      <c r="N52">
        <v>104</v>
      </c>
      <c r="O52">
        <v>149</v>
      </c>
      <c r="P52">
        <v>106</v>
      </c>
      <c r="Q52" t="s">
        <v>71</v>
      </c>
    </row>
    <row r="53" spans="1:17" x14ac:dyDescent="0.2">
      <c r="A53" t="s">
        <v>91</v>
      </c>
      <c r="B53" s="9">
        <v>-44.455872999999997</v>
      </c>
      <c r="C53" s="11">
        <f t="shared" si="1"/>
        <v>-11.113968249999999</v>
      </c>
      <c r="D53">
        <v>2.8214488179999999</v>
      </c>
      <c r="E53">
        <v>5.8200042280000002</v>
      </c>
      <c r="F53">
        <v>4.9015372370000003</v>
      </c>
      <c r="G53">
        <f>80.49/4</f>
        <v>20.122499999999999</v>
      </c>
    </row>
    <row r="54" spans="1:17" x14ac:dyDescent="0.2">
      <c r="A54" t="s">
        <v>96</v>
      </c>
      <c r="B54" s="9">
        <v>-44.549799999999998</v>
      </c>
      <c r="C54" s="11">
        <f t="shared" si="1"/>
        <v>-11.137449999999999</v>
      </c>
      <c r="D54">
        <v>2.8184440660000001</v>
      </c>
      <c r="E54">
        <v>5.8131282549999996</v>
      </c>
      <c r="F54">
        <v>4.8950728530000003</v>
      </c>
      <c r="G54">
        <f>80.2/4</f>
        <v>20.05</v>
      </c>
      <c r="H54">
        <v>263</v>
      </c>
      <c r="I54">
        <v>242</v>
      </c>
      <c r="J54">
        <v>373</v>
      </c>
      <c r="K54">
        <v>53</v>
      </c>
      <c r="L54">
        <v>29</v>
      </c>
      <c r="M54">
        <v>142</v>
      </c>
      <c r="N54">
        <v>119</v>
      </c>
      <c r="O54">
        <v>149</v>
      </c>
      <c r="P54">
        <v>85</v>
      </c>
      <c r="Q54" t="s">
        <v>94</v>
      </c>
    </row>
    <row r="55" spans="1:17" x14ac:dyDescent="0.2">
      <c r="A55" t="s">
        <v>52</v>
      </c>
      <c r="B55" s="9">
        <v>-44.559820000000002</v>
      </c>
      <c r="C55" s="11">
        <f t="shared" si="1"/>
        <v>-11.139955</v>
      </c>
      <c r="D55">
        <v>2.797101311</v>
      </c>
      <c r="E55">
        <v>5.8514204049999998</v>
      </c>
      <c r="F55">
        <v>4.9010732040000002</v>
      </c>
      <c r="G55">
        <f>80.22/4</f>
        <v>20.055</v>
      </c>
      <c r="H55">
        <v>337</v>
      </c>
      <c r="I55">
        <v>234</v>
      </c>
      <c r="J55">
        <v>367</v>
      </c>
      <c r="K55">
        <v>47</v>
      </c>
      <c r="L55">
        <v>25</v>
      </c>
      <c r="M55">
        <v>137</v>
      </c>
      <c r="N55">
        <v>138</v>
      </c>
      <c r="O55">
        <v>151</v>
      </c>
      <c r="P55">
        <v>98</v>
      </c>
      <c r="Q55" t="s">
        <v>85</v>
      </c>
    </row>
    <row r="56" spans="1:17" x14ac:dyDescent="0.2">
      <c r="A56" t="s">
        <v>72</v>
      </c>
      <c r="B56" s="9">
        <v>-44.559820000000002</v>
      </c>
      <c r="C56" s="11">
        <f t="shared" si="1"/>
        <v>-11.139955</v>
      </c>
      <c r="D56">
        <v>2.797101311</v>
      </c>
      <c r="E56">
        <v>5.8514204049999998</v>
      </c>
      <c r="F56">
        <v>4.9010732040000002</v>
      </c>
      <c r="G56">
        <f>80.22/4</f>
        <v>20.055</v>
      </c>
    </row>
    <row r="57" spans="1:17" x14ac:dyDescent="0.2">
      <c r="A57" t="s">
        <v>95</v>
      </c>
      <c r="B57" s="9"/>
      <c r="C57" s="11"/>
    </row>
    <row r="58" spans="1:17" x14ac:dyDescent="0.2">
      <c r="A58" t="s">
        <v>92</v>
      </c>
      <c r="B58" s="9">
        <v>-44.544144000000003</v>
      </c>
      <c r="C58" s="11">
        <f t="shared" si="1"/>
        <v>-11.136036000000001</v>
      </c>
      <c r="D58">
        <v>2.8241781050000001</v>
      </c>
      <c r="E58">
        <v>5.8232855209999999</v>
      </c>
      <c r="F58">
        <v>4.9009528290000004</v>
      </c>
      <c r="G58">
        <f>80.6/4</f>
        <v>20.149999999999999</v>
      </c>
      <c r="H58">
        <v>256</v>
      </c>
      <c r="I58">
        <v>237</v>
      </c>
      <c r="J58">
        <v>367</v>
      </c>
      <c r="K58">
        <v>53</v>
      </c>
      <c r="L58">
        <v>29</v>
      </c>
      <c r="M58">
        <v>141</v>
      </c>
      <c r="N58">
        <v>116</v>
      </c>
      <c r="O58">
        <v>146</v>
      </c>
      <c r="P58">
        <v>84</v>
      </c>
    </row>
    <row r="60" spans="1:17" x14ac:dyDescent="0.2">
      <c r="A60" t="s">
        <v>73</v>
      </c>
    </row>
    <row r="61" spans="1:17" x14ac:dyDescent="0.2">
      <c r="A61" t="s">
        <v>72</v>
      </c>
      <c r="B61" s="9">
        <v>-414.18481000000003</v>
      </c>
      <c r="C61" s="11">
        <f>B61/4</f>
        <v>-103.54620250000001</v>
      </c>
      <c r="D61">
        <v>2.7165536440000002</v>
      </c>
      <c r="E61">
        <v>5.7260527569999997</v>
      </c>
      <c r="F61">
        <v>4.7949364220000001</v>
      </c>
      <c r="G61">
        <f>74.59/4</f>
        <v>18.647500000000001</v>
      </c>
    </row>
    <row r="62" spans="1:17" x14ac:dyDescent="0.2">
      <c r="A62" t="s">
        <v>74</v>
      </c>
      <c r="B62" s="9">
        <v>-414.1848</v>
      </c>
      <c r="C62" s="11">
        <f>B62/4</f>
        <v>-103.5462</v>
      </c>
      <c r="D62">
        <v>2.7170174</v>
      </c>
      <c r="E62">
        <v>5.7248113920000003</v>
      </c>
      <c r="F62">
        <v>4.7934857129999999</v>
      </c>
      <c r="G62">
        <f>74.56/4</f>
        <v>18.64</v>
      </c>
    </row>
    <row r="63" spans="1:17" x14ac:dyDescent="0.2">
      <c r="A63" t="s">
        <v>75</v>
      </c>
      <c r="B63" s="9">
        <v>-414.1848</v>
      </c>
      <c r="C63" s="11">
        <f>B63/4</f>
        <v>-103.5462</v>
      </c>
      <c r="D63">
        <v>2.7170174</v>
      </c>
      <c r="E63">
        <v>5.7248113920000003</v>
      </c>
      <c r="F63">
        <v>4.7934857129999999</v>
      </c>
      <c r="G63">
        <f>74.56/4</f>
        <v>18.64</v>
      </c>
      <c r="H63">
        <v>430</v>
      </c>
      <c r="I63">
        <v>281</v>
      </c>
      <c r="J63">
        <v>466</v>
      </c>
      <c r="K63">
        <v>63</v>
      </c>
      <c r="L63">
        <v>46</v>
      </c>
      <c r="M63">
        <v>176</v>
      </c>
      <c r="N63">
        <v>179</v>
      </c>
      <c r="O63">
        <v>181</v>
      </c>
      <c r="P63">
        <v>121</v>
      </c>
      <c r="Q63" t="s">
        <v>90</v>
      </c>
    </row>
    <row r="65" spans="1:22" x14ac:dyDescent="0.2">
      <c r="A65" t="s">
        <v>77</v>
      </c>
      <c r="B65" t="s">
        <v>79</v>
      </c>
    </row>
    <row r="66" spans="1:22" x14ac:dyDescent="0.2">
      <c r="A66" t="s">
        <v>33</v>
      </c>
      <c r="B66" t="s">
        <v>2</v>
      </c>
      <c r="C66" t="s">
        <v>3</v>
      </c>
      <c r="D66" t="s">
        <v>5</v>
      </c>
      <c r="E66" t="s">
        <v>68</v>
      </c>
      <c r="F66" t="s">
        <v>43</v>
      </c>
      <c r="G66" t="s">
        <v>46</v>
      </c>
      <c r="H66" t="s">
        <v>69</v>
      </c>
    </row>
    <row r="67" spans="1:22" x14ac:dyDescent="0.2">
      <c r="A67" t="s">
        <v>83</v>
      </c>
      <c r="B67" s="1">
        <v>-21.679852</v>
      </c>
      <c r="C67" s="1">
        <f>B67/2</f>
        <v>-10.839926</v>
      </c>
      <c r="D67">
        <v>3.4312340579999998</v>
      </c>
      <c r="E67">
        <f>40.4/2</f>
        <v>20.2</v>
      </c>
      <c r="F67">
        <v>133</v>
      </c>
      <c r="G67">
        <v>155</v>
      </c>
      <c r="H67">
        <v>55</v>
      </c>
    </row>
    <row r="68" spans="1:22" x14ac:dyDescent="0.2">
      <c r="A68" t="s">
        <v>78</v>
      </c>
      <c r="B68" s="1">
        <v>-21.734019</v>
      </c>
      <c r="C68" s="1">
        <f>B68/2</f>
        <v>-10.8670095</v>
      </c>
      <c r="D68">
        <v>3.4356196699999999</v>
      </c>
      <c r="E68">
        <f>40.55/2</f>
        <v>20.274999999999999</v>
      </c>
      <c r="F68">
        <v>88</v>
      </c>
      <c r="G68">
        <v>164</v>
      </c>
      <c r="H68">
        <v>38</v>
      </c>
      <c r="I68" t="s">
        <v>84</v>
      </c>
    </row>
    <row r="69" spans="1:22" x14ac:dyDescent="0.2">
      <c r="A69" t="s">
        <v>89</v>
      </c>
      <c r="B69" s="1">
        <v>-21.733060999999999</v>
      </c>
      <c r="C69" s="1">
        <f>B69/2</f>
        <v>-10.8665305</v>
      </c>
      <c r="D69">
        <v>3.4310292489999998</v>
      </c>
      <c r="E69">
        <f>40.39/2</f>
        <v>20.195</v>
      </c>
    </row>
    <row r="70" spans="1:22" x14ac:dyDescent="0.2">
      <c r="A70" t="s">
        <v>93</v>
      </c>
      <c r="B70" s="1">
        <v>-21.735669000000001</v>
      </c>
      <c r="C70" s="1">
        <f>B70/2</f>
        <v>-10.867834500000001</v>
      </c>
      <c r="D70">
        <v>3.4304760120000002</v>
      </c>
      <c r="E70">
        <f>40.37/2</f>
        <v>20.184999999999999</v>
      </c>
    </row>
    <row r="71" spans="1:22" x14ac:dyDescent="0.2">
      <c r="A71" t="s">
        <v>73</v>
      </c>
      <c r="B71" s="1"/>
      <c r="C71" s="1"/>
    </row>
    <row r="72" spans="1:22" x14ac:dyDescent="0.2">
      <c r="A72" t="s">
        <v>83</v>
      </c>
      <c r="B72" s="1">
        <v>-206.37735000000001</v>
      </c>
      <c r="C72" s="1">
        <f>B72/2</f>
        <v>-103.188675</v>
      </c>
      <c r="D72">
        <v>3.3462669699999998</v>
      </c>
      <c r="E72">
        <f>37.47/2</f>
        <v>18.734999999999999</v>
      </c>
      <c r="F72">
        <v>236</v>
      </c>
      <c r="G72">
        <v>181</v>
      </c>
      <c r="H72">
        <v>25</v>
      </c>
    </row>
    <row r="73" spans="1:22" x14ac:dyDescent="0.2">
      <c r="A73" t="s">
        <v>78</v>
      </c>
      <c r="B73" s="1">
        <v>-206.39542</v>
      </c>
      <c r="C73" s="1">
        <f>B73/2</f>
        <v>-103.19771</v>
      </c>
      <c r="D73">
        <v>3.3386021490000002</v>
      </c>
      <c r="E73">
        <f>37.21/2</f>
        <v>18.605</v>
      </c>
      <c r="F73">
        <v>43</v>
      </c>
      <c r="G73">
        <v>214</v>
      </c>
      <c r="H73">
        <v>30</v>
      </c>
      <c r="I73" t="s">
        <v>87</v>
      </c>
    </row>
    <row r="74" spans="1:22" x14ac:dyDescent="0.2">
      <c r="B74" s="1"/>
      <c r="C74" s="1"/>
    </row>
    <row r="75" spans="1:22" x14ac:dyDescent="0.2">
      <c r="B75" s="1"/>
      <c r="C75" s="1"/>
    </row>
    <row r="76" spans="1:22" ht="19" x14ac:dyDescent="0.25">
      <c r="B76" s="1"/>
      <c r="C76" s="12" t="s">
        <v>151</v>
      </c>
    </row>
    <row r="77" spans="1:22" x14ac:dyDescent="0.2">
      <c r="B77" s="1"/>
      <c r="C77" s="1"/>
    </row>
    <row r="79" spans="1:22" x14ac:dyDescent="0.2">
      <c r="A79" t="s">
        <v>76</v>
      </c>
      <c r="B79" t="s">
        <v>97</v>
      </c>
      <c r="D79" t="s">
        <v>98</v>
      </c>
    </row>
    <row r="80" spans="1:22" x14ac:dyDescent="0.2">
      <c r="A80" t="s">
        <v>33</v>
      </c>
      <c r="B80" t="s">
        <v>137</v>
      </c>
      <c r="I80" t="s">
        <v>130</v>
      </c>
      <c r="J80" t="s">
        <v>138</v>
      </c>
      <c r="K80" t="s">
        <v>43</v>
      </c>
      <c r="L80" t="s">
        <v>44</v>
      </c>
      <c r="M80" t="s">
        <v>45</v>
      </c>
      <c r="N80" t="s">
        <v>46</v>
      </c>
      <c r="O80" t="s">
        <v>47</v>
      </c>
      <c r="P80" t="s">
        <v>48</v>
      </c>
      <c r="Q80" t="s">
        <v>69</v>
      </c>
      <c r="R80" t="s">
        <v>50</v>
      </c>
      <c r="S80" t="s">
        <v>70</v>
      </c>
      <c r="T80" t="s">
        <v>100</v>
      </c>
      <c r="U80" t="s">
        <v>103</v>
      </c>
      <c r="V80" t="s">
        <v>104</v>
      </c>
    </row>
    <row r="81" spans="1:22" x14ac:dyDescent="0.2">
      <c r="A81" t="s">
        <v>91</v>
      </c>
      <c r="C81" s="1">
        <v>-44.544144000000003</v>
      </c>
      <c r="D81" s="1">
        <f t="shared" ref="D81:D93" si="2">C81/4</f>
        <v>-11.136036000000001</v>
      </c>
      <c r="E81">
        <v>2.8241781050000001</v>
      </c>
      <c r="F81">
        <v>5.8232855209999999</v>
      </c>
      <c r="G81">
        <v>4.9009528290000004</v>
      </c>
      <c r="H81">
        <f>80.6/4</f>
        <v>20.149999999999999</v>
      </c>
      <c r="I81">
        <v>304</v>
      </c>
      <c r="J81">
        <f>I81*4</f>
        <v>1216</v>
      </c>
      <c r="K81">
        <v>256</v>
      </c>
      <c r="L81">
        <v>237</v>
      </c>
      <c r="M81">
        <v>367</v>
      </c>
      <c r="N81">
        <v>53</v>
      </c>
      <c r="O81">
        <v>29</v>
      </c>
      <c r="P81">
        <v>141</v>
      </c>
      <c r="Q81">
        <v>116</v>
      </c>
      <c r="R81">
        <v>146</v>
      </c>
      <c r="S81">
        <v>84</v>
      </c>
      <c r="T81">
        <v>0</v>
      </c>
      <c r="U81">
        <v>4194</v>
      </c>
      <c r="V81">
        <v>1</v>
      </c>
    </row>
    <row r="82" spans="1:22" x14ac:dyDescent="0.2">
      <c r="A82" s="2" t="s">
        <v>99</v>
      </c>
      <c r="B82" s="2"/>
      <c r="C82" s="3">
        <v>-44.564799999999998</v>
      </c>
      <c r="D82" s="3">
        <f t="shared" si="2"/>
        <v>-11.1412</v>
      </c>
      <c r="E82" s="2">
        <v>2.8086651109999998</v>
      </c>
      <c r="F82" s="2">
        <v>5.8383822920000004</v>
      </c>
      <c r="G82" s="2">
        <v>4.9034235940000004</v>
      </c>
      <c r="H82" s="2">
        <f>80.41/4</f>
        <v>20.102499999999999</v>
      </c>
      <c r="I82" s="2">
        <v>1238</v>
      </c>
      <c r="J82" s="2">
        <f>I82*4</f>
        <v>4952</v>
      </c>
      <c r="K82" s="2">
        <v>290</v>
      </c>
      <c r="L82" s="2">
        <v>219</v>
      </c>
      <c r="M82" s="2">
        <v>349</v>
      </c>
      <c r="N82" s="2">
        <v>65</v>
      </c>
      <c r="O82" s="2">
        <v>8</v>
      </c>
      <c r="P82" s="2">
        <v>155</v>
      </c>
      <c r="Q82" s="2">
        <v>123</v>
      </c>
      <c r="R82" s="2">
        <v>152</v>
      </c>
      <c r="S82" s="2">
        <v>99</v>
      </c>
      <c r="T82" s="2">
        <v>0</v>
      </c>
      <c r="U82" s="2">
        <v>10925</v>
      </c>
      <c r="V82">
        <v>2</v>
      </c>
    </row>
    <row r="83" spans="1:22" x14ac:dyDescent="0.2">
      <c r="A83" s="2" t="s">
        <v>150</v>
      </c>
      <c r="B83" s="2"/>
      <c r="C83" s="3">
        <v>-44.564796999999999</v>
      </c>
      <c r="D83" s="3">
        <f t="shared" si="2"/>
        <v>-11.14119925</v>
      </c>
      <c r="E83" s="2">
        <v>2.808632555</v>
      </c>
      <c r="F83" s="2">
        <v>5.8390182880000001</v>
      </c>
      <c r="G83" s="2">
        <v>4.9026991579999999</v>
      </c>
      <c r="H83" s="2">
        <f>80.4/4</f>
        <v>20.100000000000001</v>
      </c>
      <c r="I83" s="2">
        <v>1238</v>
      </c>
      <c r="J83" s="2">
        <f>I83*4</f>
        <v>4952</v>
      </c>
      <c r="K83" s="2">
        <v>290</v>
      </c>
      <c r="L83" s="2">
        <v>219</v>
      </c>
      <c r="M83" s="2">
        <v>349</v>
      </c>
      <c r="N83" s="2">
        <v>64</v>
      </c>
      <c r="O83" s="2">
        <v>8</v>
      </c>
      <c r="P83" s="2">
        <v>154</v>
      </c>
      <c r="Q83" s="2">
        <v>123</v>
      </c>
      <c r="R83" s="2">
        <v>152</v>
      </c>
      <c r="S83" s="2">
        <v>99</v>
      </c>
      <c r="T83" s="2"/>
      <c r="U83" s="2">
        <v>5328</v>
      </c>
      <c r="V83">
        <v>2</v>
      </c>
    </row>
    <row r="84" spans="1:22" x14ac:dyDescent="0.2">
      <c r="A84" s="2" t="s">
        <v>99</v>
      </c>
      <c r="B84" s="2" t="s">
        <v>162</v>
      </c>
      <c r="C84" s="3">
        <v>-44.564767000000003</v>
      </c>
      <c r="D84" s="3">
        <f t="shared" si="2"/>
        <v>-11.141191750000001</v>
      </c>
      <c r="E84" s="2">
        <v>2.809129188</v>
      </c>
      <c r="F84" s="2">
        <v>5.8374683310000002</v>
      </c>
      <c r="G84" s="2">
        <v>4.9036684929999996</v>
      </c>
      <c r="H84" s="2">
        <f>80.41/4</f>
        <v>20.102499999999999</v>
      </c>
      <c r="I84" s="2">
        <v>1238</v>
      </c>
      <c r="J84" s="2">
        <f>I84*4</f>
        <v>4952</v>
      </c>
      <c r="K84" s="2"/>
      <c r="L84" s="2"/>
      <c r="M84" s="2"/>
      <c r="N84" s="2"/>
      <c r="O84" s="2"/>
      <c r="P84" s="2"/>
      <c r="Q84" s="2"/>
      <c r="R84" s="2"/>
      <c r="S84" s="2"/>
      <c r="T84" s="2">
        <v>0</v>
      </c>
      <c r="U84" s="2"/>
    </row>
    <row r="85" spans="1:22" x14ac:dyDescent="0.2">
      <c r="A85" s="2" t="s">
        <v>99</v>
      </c>
      <c r="B85" s="2" t="s">
        <v>163</v>
      </c>
      <c r="C85" s="3">
        <v>-44.564798000000003</v>
      </c>
      <c r="D85" s="3">
        <f t="shared" si="2"/>
        <v>-11.141199500000001</v>
      </c>
      <c r="E85" s="2">
        <v>2.8083464290000002</v>
      </c>
      <c r="F85" s="2">
        <v>5.8383963459999997</v>
      </c>
      <c r="G85" s="2">
        <v>4.9028857400000003</v>
      </c>
      <c r="H85" s="2">
        <f>80.39/4</f>
        <v>20.0975</v>
      </c>
      <c r="I85" s="2">
        <v>1238</v>
      </c>
      <c r="J85" s="2">
        <f>I85*4</f>
        <v>4952</v>
      </c>
      <c r="K85" s="2">
        <v>290</v>
      </c>
      <c r="L85" s="2">
        <v>220</v>
      </c>
      <c r="M85" s="2">
        <v>349</v>
      </c>
      <c r="N85" s="2">
        <v>65</v>
      </c>
      <c r="O85" s="2">
        <v>8</v>
      </c>
      <c r="P85" s="2">
        <v>155</v>
      </c>
      <c r="Q85" s="2">
        <v>123</v>
      </c>
      <c r="R85" s="2">
        <v>153</v>
      </c>
      <c r="S85" s="2">
        <v>99</v>
      </c>
      <c r="T85" s="2">
        <v>0</v>
      </c>
      <c r="U85" s="2"/>
    </row>
    <row r="86" spans="1:22" x14ac:dyDescent="0.2">
      <c r="A86" s="2"/>
      <c r="B86" s="2"/>
      <c r="C86" s="3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2" x14ac:dyDescent="0.2">
      <c r="A87" s="2" t="s">
        <v>164</v>
      </c>
      <c r="B87" s="2"/>
      <c r="C87" s="3">
        <v>-44.555726999999997</v>
      </c>
      <c r="D87" s="3">
        <f t="shared" si="2"/>
        <v>-11.138931749999999</v>
      </c>
      <c r="E87" s="2">
        <v>2.7928053450000001</v>
      </c>
      <c r="F87" s="2">
        <v>5.8594926530000002</v>
      </c>
      <c r="G87" s="2">
        <v>4.8972648660000004</v>
      </c>
      <c r="H87" s="2">
        <f>80.14/4</f>
        <v>20.035</v>
      </c>
      <c r="I87" s="2">
        <v>1454</v>
      </c>
      <c r="J87" s="2">
        <f>I87*4</f>
        <v>5816</v>
      </c>
      <c r="K87" s="2">
        <v>304</v>
      </c>
      <c r="L87" s="2">
        <v>229</v>
      </c>
      <c r="M87" s="2">
        <v>358</v>
      </c>
      <c r="N87" s="2">
        <v>57</v>
      </c>
      <c r="O87" s="2">
        <v>30</v>
      </c>
      <c r="P87" s="2">
        <v>140</v>
      </c>
      <c r="Q87" s="2">
        <v>123</v>
      </c>
      <c r="R87" s="2">
        <v>153</v>
      </c>
      <c r="S87" s="2">
        <v>99</v>
      </c>
      <c r="T87" s="2">
        <v>0</v>
      </c>
      <c r="U87" s="2"/>
    </row>
    <row r="88" spans="1:22" x14ac:dyDescent="0.2">
      <c r="A88" s="2"/>
      <c r="B88" s="2" t="s">
        <v>173</v>
      </c>
      <c r="C88" s="3">
        <v>-44.551721000000001</v>
      </c>
      <c r="D88" s="3">
        <f t="shared" si="2"/>
        <v>-11.13793025</v>
      </c>
      <c r="E88" s="2"/>
      <c r="F88" s="2"/>
      <c r="G88" s="2"/>
      <c r="H88" s="2"/>
      <c r="I88" s="2"/>
      <c r="J88" s="2"/>
      <c r="K88" s="2">
        <v>304</v>
      </c>
      <c r="L88" s="2">
        <v>227</v>
      </c>
      <c r="M88" s="2">
        <v>366</v>
      </c>
      <c r="N88" s="2">
        <v>59</v>
      </c>
      <c r="O88" s="2">
        <v>30</v>
      </c>
      <c r="P88" s="2">
        <v>140</v>
      </c>
      <c r="Q88" s="2">
        <v>127</v>
      </c>
      <c r="R88" s="2">
        <v>150</v>
      </c>
      <c r="S88" s="2">
        <v>98</v>
      </c>
      <c r="T88" s="2"/>
      <c r="U88" s="2"/>
    </row>
    <row r="89" spans="1:22" x14ac:dyDescent="0.2">
      <c r="A89" t="s">
        <v>120</v>
      </c>
      <c r="C89" s="1">
        <v>-44.564345000000003</v>
      </c>
      <c r="D89" s="1">
        <f t="shared" si="2"/>
        <v>-11.141086250000001</v>
      </c>
      <c r="E89">
        <v>2.804714857</v>
      </c>
      <c r="F89">
        <v>5.8432224079999999</v>
      </c>
      <c r="G89">
        <v>4.9005287989999999</v>
      </c>
      <c r="H89">
        <f>80.31/4</f>
        <v>20.077500000000001</v>
      </c>
      <c r="I89">
        <v>4004</v>
      </c>
      <c r="J89">
        <f>I89*4</f>
        <v>16016</v>
      </c>
      <c r="L89" t="s">
        <v>140</v>
      </c>
    </row>
    <row r="90" spans="1:22" x14ac:dyDescent="0.2">
      <c r="A90" t="s">
        <v>144</v>
      </c>
      <c r="C90" s="1">
        <v>-44.564794999999997</v>
      </c>
      <c r="D90" s="1">
        <f t="shared" si="2"/>
        <v>-11.141198749999999</v>
      </c>
      <c r="E90">
        <v>2.8089230889999999</v>
      </c>
      <c r="F90">
        <v>5.8373248760000003</v>
      </c>
      <c r="G90">
        <v>4.9036848160000002</v>
      </c>
      <c r="H90">
        <f>80.4/4</f>
        <v>20.100000000000001</v>
      </c>
      <c r="I90">
        <v>384</v>
      </c>
      <c r="J90">
        <f>I90*4</f>
        <v>1536</v>
      </c>
      <c r="K90">
        <v>291</v>
      </c>
      <c r="L90">
        <v>221</v>
      </c>
      <c r="M90">
        <v>349</v>
      </c>
      <c r="N90">
        <v>66</v>
      </c>
      <c r="O90">
        <v>9</v>
      </c>
      <c r="P90">
        <v>155</v>
      </c>
      <c r="Q90">
        <v>123</v>
      </c>
      <c r="R90">
        <v>153</v>
      </c>
      <c r="S90">
        <v>99</v>
      </c>
    </row>
    <row r="91" spans="1:22" x14ac:dyDescent="0.2">
      <c r="A91" t="s">
        <v>152</v>
      </c>
      <c r="C91" s="1">
        <v>-44.555726</v>
      </c>
      <c r="D91" s="1">
        <f t="shared" si="2"/>
        <v>-11.1389315</v>
      </c>
      <c r="E91">
        <v>2.7929483670000002</v>
      </c>
      <c r="F91">
        <v>5.8596576379999998</v>
      </c>
      <c r="G91">
        <v>4.8973831050000003</v>
      </c>
      <c r="H91">
        <f>80.15/4</f>
        <v>20.037500000000001</v>
      </c>
      <c r="I91">
        <v>450</v>
      </c>
      <c r="J91">
        <f>I91*4</f>
        <v>1800</v>
      </c>
      <c r="K91">
        <v>305</v>
      </c>
      <c r="L91">
        <v>229</v>
      </c>
      <c r="M91">
        <v>358</v>
      </c>
      <c r="N91">
        <v>58</v>
      </c>
      <c r="O91">
        <v>30</v>
      </c>
      <c r="P91">
        <v>141</v>
      </c>
      <c r="Q91">
        <v>123</v>
      </c>
      <c r="R91">
        <v>153</v>
      </c>
      <c r="S91">
        <v>99</v>
      </c>
    </row>
    <row r="92" spans="1:22" x14ac:dyDescent="0.2">
      <c r="A92" t="s">
        <v>155</v>
      </c>
      <c r="C92" s="1">
        <v>-44.564591999999998</v>
      </c>
      <c r="D92" s="1">
        <f t="shared" si="2"/>
        <v>-11.141147999999999</v>
      </c>
      <c r="E92">
        <v>2.807849482</v>
      </c>
      <c r="F92">
        <v>5.8388002459999999</v>
      </c>
      <c r="G92">
        <v>4.9031875649999996</v>
      </c>
      <c r="H92">
        <f>80.39/4</f>
        <v>20.0975</v>
      </c>
      <c r="I92">
        <v>720</v>
      </c>
      <c r="J92">
        <f>I92*4</f>
        <v>2880</v>
      </c>
      <c r="K92">
        <v>290</v>
      </c>
      <c r="L92">
        <v>219</v>
      </c>
      <c r="M92">
        <v>347</v>
      </c>
      <c r="N92">
        <v>64</v>
      </c>
      <c r="O92">
        <v>9</v>
      </c>
      <c r="P92">
        <v>156</v>
      </c>
      <c r="Q92">
        <v>123</v>
      </c>
      <c r="R92">
        <v>154</v>
      </c>
      <c r="S92">
        <v>100</v>
      </c>
    </row>
    <row r="93" spans="1:22" x14ac:dyDescent="0.2">
      <c r="A93" t="s">
        <v>161</v>
      </c>
      <c r="C93" s="1">
        <v>-44.564591999999998</v>
      </c>
      <c r="D93" s="1">
        <f t="shared" si="2"/>
        <v>-11.141147999999999</v>
      </c>
      <c r="E93">
        <v>2.8078867870000002</v>
      </c>
      <c r="F93">
        <v>5.8388076709999996</v>
      </c>
      <c r="G93">
        <v>4.903167818</v>
      </c>
      <c r="H93">
        <f>80.39/4</f>
        <v>20.0975</v>
      </c>
      <c r="I93">
        <v>720</v>
      </c>
      <c r="J93">
        <f>I93*4</f>
        <v>2880</v>
      </c>
      <c r="K93">
        <v>289</v>
      </c>
      <c r="L93">
        <v>218</v>
      </c>
      <c r="M93">
        <v>346</v>
      </c>
      <c r="N93">
        <v>65</v>
      </c>
      <c r="O93">
        <v>10</v>
      </c>
      <c r="P93">
        <v>156</v>
      </c>
      <c r="Q93">
        <v>123</v>
      </c>
      <c r="R93">
        <v>154</v>
      </c>
      <c r="S93">
        <v>99</v>
      </c>
      <c r="T93">
        <v>0</v>
      </c>
    </row>
    <row r="94" spans="1:22" x14ac:dyDescent="0.2">
      <c r="C94" s="1"/>
      <c r="D94" s="1"/>
    </row>
    <row r="95" spans="1:22" x14ac:dyDescent="0.2">
      <c r="A95" t="s">
        <v>37</v>
      </c>
      <c r="C95" s="1"/>
      <c r="D95" s="1"/>
      <c r="I95" t="s">
        <v>130</v>
      </c>
    </row>
    <row r="96" spans="1:22" x14ac:dyDescent="0.2">
      <c r="A96" t="s">
        <v>91</v>
      </c>
      <c r="C96" s="1">
        <v>-414.15197000000001</v>
      </c>
      <c r="D96" s="1">
        <f>C96/4</f>
        <v>-103.5379925</v>
      </c>
      <c r="E96">
        <v>2.735925242</v>
      </c>
      <c r="F96">
        <v>5.699309253</v>
      </c>
      <c r="G96">
        <v>4.8001478740000003</v>
      </c>
      <c r="H96">
        <f>74.85/4</f>
        <v>18.712499999999999</v>
      </c>
      <c r="I96">
        <v>304</v>
      </c>
      <c r="J96">
        <f>I96*4</f>
        <v>1216</v>
      </c>
      <c r="K96">
        <v>471</v>
      </c>
      <c r="L96">
        <v>292</v>
      </c>
      <c r="M96">
        <v>462</v>
      </c>
      <c r="N96">
        <v>135</v>
      </c>
      <c r="O96">
        <v>112</v>
      </c>
      <c r="P96">
        <v>177</v>
      </c>
      <c r="Q96">
        <v>178</v>
      </c>
      <c r="R96">
        <v>179</v>
      </c>
      <c r="S96">
        <v>123</v>
      </c>
      <c r="T96">
        <v>0</v>
      </c>
      <c r="U96">
        <v>29093</v>
      </c>
      <c r="V96">
        <v>1</v>
      </c>
    </row>
    <row r="97" spans="1:22" x14ac:dyDescent="0.2">
      <c r="A97" t="s">
        <v>101</v>
      </c>
      <c r="C97" s="9">
        <v>-414.15197000000001</v>
      </c>
      <c r="D97" s="1">
        <f>C97/4</f>
        <v>-103.5379925</v>
      </c>
      <c r="E97">
        <v>2.7362724950000001</v>
      </c>
      <c r="F97">
        <v>5.6974652739999998</v>
      </c>
      <c r="G97">
        <v>4.8022901410000003</v>
      </c>
      <c r="H97">
        <f>74.87/4</f>
        <v>18.717500000000001</v>
      </c>
      <c r="I97">
        <v>304</v>
      </c>
      <c r="J97">
        <f>I97*4</f>
        <v>1216</v>
      </c>
      <c r="U97">
        <v>25288</v>
      </c>
      <c r="V97">
        <v>2</v>
      </c>
    </row>
    <row r="98" spans="1:22" x14ac:dyDescent="0.2">
      <c r="A98" t="s">
        <v>99</v>
      </c>
      <c r="C98" s="9">
        <v>-414.14022</v>
      </c>
      <c r="D98" s="1">
        <f>C98/4</f>
        <v>-103.535055</v>
      </c>
      <c r="E98">
        <v>2.726030835</v>
      </c>
      <c r="F98">
        <v>5.6560070140000001</v>
      </c>
      <c r="G98">
        <v>4.7723981789999996</v>
      </c>
      <c r="H98">
        <f>73.56/4</f>
        <v>18.39</v>
      </c>
      <c r="I98">
        <v>1238</v>
      </c>
      <c r="J98">
        <f>I98*4</f>
        <v>4952</v>
      </c>
      <c r="K98" t="s">
        <v>106</v>
      </c>
      <c r="V98">
        <v>1</v>
      </c>
    </row>
    <row r="99" spans="1:22" x14ac:dyDescent="0.2">
      <c r="A99" t="s">
        <v>144</v>
      </c>
      <c r="C99" s="9"/>
      <c r="D99" s="1"/>
    </row>
    <row r="100" spans="1:22" x14ac:dyDescent="0.2">
      <c r="A100" t="s">
        <v>152</v>
      </c>
      <c r="C100" s="9">
        <v>-414.16714999999999</v>
      </c>
      <c r="D100" s="1">
        <f t="shared" ref="D100:D105" si="3">C100/4</f>
        <v>-103.5417875</v>
      </c>
      <c r="E100">
        <v>2.7145941530000002</v>
      </c>
      <c r="F100">
        <v>5.7277196930000001</v>
      </c>
      <c r="G100">
        <v>4.7963627549999996</v>
      </c>
      <c r="H100">
        <f>74.58/4</f>
        <v>18.645</v>
      </c>
      <c r="I100">
        <v>450</v>
      </c>
      <c r="J100">
        <f>I100*4</f>
        <v>1800</v>
      </c>
      <c r="K100">
        <v>409</v>
      </c>
      <c r="L100">
        <v>280</v>
      </c>
      <c r="M100">
        <v>461</v>
      </c>
      <c r="N100">
        <v>69</v>
      </c>
      <c r="O100">
        <v>42</v>
      </c>
      <c r="P100">
        <v>180</v>
      </c>
      <c r="Q100">
        <v>166</v>
      </c>
      <c r="R100">
        <v>185</v>
      </c>
      <c r="S100">
        <v>121</v>
      </c>
    </row>
    <row r="101" spans="1:22" x14ac:dyDescent="0.2">
      <c r="A101" t="s">
        <v>155</v>
      </c>
      <c r="C101" s="9">
        <v>-414.16476</v>
      </c>
      <c r="D101" s="1">
        <f t="shared" si="3"/>
        <v>-103.54119</v>
      </c>
      <c r="E101">
        <v>2.726483778</v>
      </c>
      <c r="F101">
        <v>5.71132522</v>
      </c>
      <c r="G101">
        <v>4.7993075200000002</v>
      </c>
      <c r="H101">
        <f>74.73/4</f>
        <v>18.682500000000001</v>
      </c>
    </row>
    <row r="102" spans="1:22" x14ac:dyDescent="0.2">
      <c r="A102" s="2" t="s">
        <v>105</v>
      </c>
      <c r="B102" s="2"/>
      <c r="C102" s="13">
        <v>-414.17502000000002</v>
      </c>
      <c r="D102" s="3">
        <f t="shared" si="3"/>
        <v>-103.543755</v>
      </c>
      <c r="E102" s="2">
        <v>2.7264804109999998</v>
      </c>
      <c r="F102" s="2">
        <v>5.7135936249999997</v>
      </c>
      <c r="G102" s="2">
        <v>4.7994919070000002</v>
      </c>
      <c r="H102" s="2">
        <f>74.77/4</f>
        <v>18.692499999999999</v>
      </c>
      <c r="I102" s="2">
        <v>1238</v>
      </c>
      <c r="J102" s="2">
        <f>I102*4</f>
        <v>4952</v>
      </c>
      <c r="K102" s="2">
        <v>361</v>
      </c>
      <c r="L102" s="2">
        <v>270</v>
      </c>
      <c r="M102" s="2">
        <v>446</v>
      </c>
      <c r="N102" s="2">
        <v>84</v>
      </c>
      <c r="O102" s="2">
        <v>30</v>
      </c>
      <c r="P102" s="2">
        <v>195</v>
      </c>
      <c r="Q102" s="2">
        <v>170</v>
      </c>
      <c r="R102" s="2">
        <v>179</v>
      </c>
      <c r="S102" s="2">
        <v>123</v>
      </c>
      <c r="T102" s="2">
        <v>0</v>
      </c>
      <c r="U102" s="2">
        <v>82819</v>
      </c>
      <c r="V102">
        <v>2</v>
      </c>
    </row>
    <row r="103" spans="1:22" x14ac:dyDescent="0.2">
      <c r="A103" s="2" t="s">
        <v>108</v>
      </c>
      <c r="B103" s="2"/>
      <c r="C103" s="13">
        <v>-414.17502000000002</v>
      </c>
      <c r="D103" s="3">
        <f t="shared" si="3"/>
        <v>-103.543755</v>
      </c>
      <c r="E103" s="2">
        <v>2.7267860750000001</v>
      </c>
      <c r="F103" s="2">
        <v>5.713132045</v>
      </c>
      <c r="G103" s="2">
        <v>4.8002911199999998</v>
      </c>
      <c r="H103" s="2">
        <f>74.78/4</f>
        <v>18.695</v>
      </c>
      <c r="I103" s="2">
        <v>1238</v>
      </c>
      <c r="J103" s="2">
        <f>I103*4</f>
        <v>4952</v>
      </c>
      <c r="K103" s="2">
        <v>359</v>
      </c>
      <c r="L103" s="2">
        <v>267</v>
      </c>
      <c r="M103" s="2">
        <v>443</v>
      </c>
      <c r="N103" s="2">
        <v>83</v>
      </c>
      <c r="O103" s="2">
        <v>28</v>
      </c>
      <c r="P103" s="2">
        <v>192</v>
      </c>
      <c r="Q103" s="2">
        <v>169</v>
      </c>
      <c r="R103" s="2">
        <v>179</v>
      </c>
      <c r="S103" s="2">
        <v>123</v>
      </c>
      <c r="T103" s="2"/>
      <c r="U103" s="2">
        <v>58441</v>
      </c>
      <c r="V103">
        <v>2</v>
      </c>
    </row>
    <row r="104" spans="1:22" x14ac:dyDescent="0.2">
      <c r="A104" s="2" t="s">
        <v>99</v>
      </c>
      <c r="B104" s="2" t="s">
        <v>162</v>
      </c>
      <c r="C104" s="13"/>
      <c r="D104" s="3">
        <f t="shared" si="3"/>
        <v>0</v>
      </c>
      <c r="E104" s="2"/>
      <c r="F104" s="2"/>
      <c r="G104" s="2"/>
      <c r="H104" s="2"/>
      <c r="I104" s="2">
        <v>1238</v>
      </c>
      <c r="J104" s="2">
        <f>I104*4</f>
        <v>4952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2" x14ac:dyDescent="0.2">
      <c r="A105" s="2" t="s">
        <v>99</v>
      </c>
      <c r="B105" s="2" t="s">
        <v>163</v>
      </c>
      <c r="C105" s="13">
        <v>-414.16518000000002</v>
      </c>
      <c r="D105" s="3">
        <f t="shared" si="3"/>
        <v>-103.54129500000001</v>
      </c>
      <c r="E105" s="2">
        <v>2.7263864610000001</v>
      </c>
      <c r="F105" s="2">
        <v>5.708892391</v>
      </c>
      <c r="G105" s="2">
        <v>4.8008597850000001</v>
      </c>
      <c r="H105" s="2">
        <f>74.72/4</f>
        <v>18.68</v>
      </c>
      <c r="I105" s="2">
        <v>1238</v>
      </c>
      <c r="J105" s="2">
        <f>I105*4</f>
        <v>4952</v>
      </c>
      <c r="K105" s="14">
        <v>264</v>
      </c>
      <c r="L105" s="14">
        <v>268</v>
      </c>
      <c r="M105" s="14">
        <v>443</v>
      </c>
      <c r="N105" s="14">
        <v>48</v>
      </c>
      <c r="O105" s="14">
        <v>-17</v>
      </c>
      <c r="P105" s="14">
        <v>194</v>
      </c>
      <c r="Q105" s="14">
        <v>170</v>
      </c>
      <c r="R105" s="14">
        <v>179</v>
      </c>
      <c r="S105" s="14">
        <v>123</v>
      </c>
      <c r="T105" s="2">
        <v>0</v>
      </c>
      <c r="U105" s="2"/>
    </row>
    <row r="106" spans="1:22" ht="14" customHeight="1" x14ac:dyDescent="0.2">
      <c r="J106" t="s">
        <v>149</v>
      </c>
      <c r="K106" s="14">
        <v>346</v>
      </c>
      <c r="L106" s="14">
        <v>267</v>
      </c>
      <c r="M106" s="14">
        <v>442</v>
      </c>
      <c r="N106" s="14">
        <v>72</v>
      </c>
      <c r="O106" s="14">
        <v>13</v>
      </c>
      <c r="P106" s="14">
        <v>193</v>
      </c>
      <c r="Q106" s="14">
        <v>170</v>
      </c>
      <c r="R106" s="14">
        <v>180</v>
      </c>
      <c r="S106" s="14">
        <v>123</v>
      </c>
    </row>
    <row r="107" spans="1:22" ht="14" customHeight="1" x14ac:dyDescent="0.2">
      <c r="J107" t="s">
        <v>168</v>
      </c>
      <c r="K107" s="2">
        <v>359</v>
      </c>
      <c r="L107" s="2">
        <v>268</v>
      </c>
      <c r="M107" s="2">
        <v>443</v>
      </c>
      <c r="N107" s="2">
        <v>83</v>
      </c>
      <c r="O107" s="2">
        <v>27</v>
      </c>
      <c r="P107" s="2">
        <v>193</v>
      </c>
      <c r="Q107" s="2">
        <v>170</v>
      </c>
      <c r="R107" s="2">
        <v>180</v>
      </c>
      <c r="S107" s="2">
        <v>123</v>
      </c>
    </row>
    <row r="108" spans="1:22" x14ac:dyDescent="0.2">
      <c r="A108" t="s">
        <v>77</v>
      </c>
      <c r="B108" t="s">
        <v>136</v>
      </c>
    </row>
    <row r="109" spans="1:22" x14ac:dyDescent="0.2">
      <c r="A109" t="s">
        <v>33</v>
      </c>
      <c r="I109" t="s">
        <v>130</v>
      </c>
    </row>
    <row r="110" spans="1:22" x14ac:dyDescent="0.2">
      <c r="A110" s="2" t="s">
        <v>102</v>
      </c>
      <c r="B110" s="2"/>
      <c r="C110" s="13">
        <v>-21.761444999999998</v>
      </c>
      <c r="D110" s="3">
        <f t="shared" ref="D110:D127" si="4">C110/2</f>
        <v>-10.880722499999999</v>
      </c>
      <c r="E110" s="2">
        <v>3.4321489280000002</v>
      </c>
      <c r="F110" s="2">
        <v>3.432149645</v>
      </c>
      <c r="G110" s="2">
        <v>3.43214847</v>
      </c>
      <c r="H110" s="2">
        <f>40.43/2</f>
        <v>20.215</v>
      </c>
      <c r="I110" s="2">
        <v>2052</v>
      </c>
      <c r="J110" s="2">
        <f>I110*2</f>
        <v>4104</v>
      </c>
      <c r="K110" s="14">
        <v>98</v>
      </c>
      <c r="L110" s="14">
        <v>97</v>
      </c>
      <c r="M110" s="14">
        <v>97</v>
      </c>
      <c r="N110" s="14">
        <v>148</v>
      </c>
      <c r="O110" s="14">
        <v>148</v>
      </c>
      <c r="P110" s="14">
        <v>147</v>
      </c>
      <c r="Q110" s="14">
        <v>44</v>
      </c>
      <c r="R110" s="14">
        <v>44</v>
      </c>
      <c r="S110" s="14">
        <v>44</v>
      </c>
      <c r="T110" s="2">
        <v>0</v>
      </c>
      <c r="U110" s="2">
        <v>2435</v>
      </c>
      <c r="V110">
        <v>2</v>
      </c>
    </row>
    <row r="111" spans="1:22" x14ac:dyDescent="0.2">
      <c r="A111" s="2" t="s">
        <v>113</v>
      </c>
      <c r="B111" s="2"/>
      <c r="C111" s="13">
        <v>-21.761437999999998</v>
      </c>
      <c r="D111" s="3">
        <f t="shared" si="4"/>
        <v>-10.880718999999999</v>
      </c>
      <c r="E111" s="2">
        <v>3.4327926479999999</v>
      </c>
      <c r="F111" s="2">
        <v>3.4327940469999998</v>
      </c>
      <c r="G111" s="2">
        <v>3.432794586</v>
      </c>
      <c r="H111" s="2">
        <f>40.45/2</f>
        <v>20.225000000000001</v>
      </c>
      <c r="I111" s="2">
        <v>2052</v>
      </c>
      <c r="J111" s="2">
        <f t="shared" ref="J111:J127" si="5">I111*2</f>
        <v>4104</v>
      </c>
      <c r="K111" s="14">
        <v>96</v>
      </c>
      <c r="L111" s="14">
        <v>96</v>
      </c>
      <c r="M111" s="14">
        <v>96</v>
      </c>
      <c r="N111" s="14">
        <v>147</v>
      </c>
      <c r="O111" s="14">
        <v>147</v>
      </c>
      <c r="P111" s="14">
        <v>147</v>
      </c>
      <c r="Q111" s="14">
        <v>44</v>
      </c>
      <c r="R111" s="14">
        <v>44</v>
      </c>
      <c r="S111" s="14">
        <v>44</v>
      </c>
      <c r="T111" s="2"/>
      <c r="U111" s="2">
        <v>1679</v>
      </c>
      <c r="V111">
        <v>2</v>
      </c>
    </row>
    <row r="112" spans="1:22" x14ac:dyDescent="0.2">
      <c r="A112" s="2"/>
      <c r="B112" s="2" t="s">
        <v>173</v>
      </c>
      <c r="C112" s="13">
        <v>-21.761800000000001</v>
      </c>
      <c r="D112" s="3">
        <f t="shared" si="4"/>
        <v>-10.8809</v>
      </c>
      <c r="E112" s="2"/>
      <c r="F112" s="2"/>
      <c r="G112" s="2"/>
      <c r="H112" s="2"/>
      <c r="I112" s="2"/>
      <c r="J112" s="2"/>
      <c r="K112" s="2">
        <v>96</v>
      </c>
      <c r="L112" s="2">
        <v>96</v>
      </c>
      <c r="M112" s="2">
        <v>96</v>
      </c>
      <c r="N112" s="2">
        <v>150</v>
      </c>
      <c r="O112" s="2">
        <v>150</v>
      </c>
      <c r="P112" s="2">
        <v>150</v>
      </c>
      <c r="Q112" s="2">
        <v>46</v>
      </c>
      <c r="R112" s="2">
        <v>46</v>
      </c>
      <c r="S112" s="2">
        <v>46</v>
      </c>
      <c r="T112" s="2"/>
      <c r="U112" s="2"/>
    </row>
    <row r="113" spans="1:22" x14ac:dyDescent="0.2">
      <c r="A113" s="2" t="s">
        <v>174</v>
      </c>
      <c r="B113" s="2"/>
      <c r="C113" s="13">
        <v>-21.758868</v>
      </c>
      <c r="D113" s="3">
        <f t="shared" si="4"/>
        <v>-10.879434</v>
      </c>
      <c r="E113" s="2">
        <v>3.4320703209999999</v>
      </c>
      <c r="F113" s="2">
        <v>3.4320705419999999</v>
      </c>
      <c r="G113" s="2">
        <v>3.4320712919999998</v>
      </c>
      <c r="H113" s="2">
        <f>40.43/2</f>
        <v>20.215</v>
      </c>
      <c r="I113" s="2">
        <v>2457</v>
      </c>
      <c r="J113" s="2">
        <f t="shared" si="5"/>
        <v>4914</v>
      </c>
      <c r="K113" s="2">
        <v>51.5</v>
      </c>
      <c r="L113" s="2">
        <v>50</v>
      </c>
      <c r="M113" s="2">
        <v>50</v>
      </c>
      <c r="N113" s="2">
        <v>174</v>
      </c>
      <c r="O113" s="2">
        <v>173</v>
      </c>
      <c r="P113" s="2">
        <v>173</v>
      </c>
      <c r="Q113" s="2">
        <v>38</v>
      </c>
      <c r="R113" s="2">
        <v>37</v>
      </c>
      <c r="S113" s="2">
        <v>38</v>
      </c>
      <c r="T113" s="2">
        <v>0</v>
      </c>
      <c r="U113" s="2"/>
    </row>
    <row r="114" spans="1:22" x14ac:dyDescent="0.2">
      <c r="A114" s="2"/>
      <c r="B114" s="2" t="s">
        <v>173</v>
      </c>
      <c r="C114" s="13">
        <v>-21.760033</v>
      </c>
      <c r="D114" s="3">
        <f>C114/2</f>
        <v>-10.8800165</v>
      </c>
      <c r="E114" s="2"/>
      <c r="F114" s="2"/>
      <c r="G114" s="2"/>
      <c r="H114" s="2"/>
      <c r="I114" s="2"/>
      <c r="J114" s="2"/>
      <c r="K114" s="2">
        <v>69</v>
      </c>
      <c r="L114" s="2">
        <v>69</v>
      </c>
      <c r="M114" s="2">
        <v>69</v>
      </c>
      <c r="N114" s="2">
        <v>168</v>
      </c>
      <c r="O114" s="2">
        <v>168</v>
      </c>
      <c r="P114" s="2">
        <v>168</v>
      </c>
      <c r="Q114" s="2">
        <v>43</v>
      </c>
      <c r="R114" s="2">
        <v>43</v>
      </c>
      <c r="S114" s="2">
        <v>43</v>
      </c>
      <c r="T114" s="2"/>
      <c r="U114" s="2"/>
    </row>
    <row r="115" spans="1:22" x14ac:dyDescent="0.2">
      <c r="A115" s="2" t="s">
        <v>177</v>
      </c>
      <c r="B115" s="2" t="s">
        <v>178</v>
      </c>
      <c r="C115" s="13">
        <v>-21.758866000000001</v>
      </c>
      <c r="D115" s="3">
        <f>C115/2</f>
        <v>-10.879433000000001</v>
      </c>
      <c r="E115" s="2">
        <v>3.4322372670000001</v>
      </c>
      <c r="F115" s="2">
        <v>3.432237266</v>
      </c>
      <c r="G115" s="2">
        <v>3.4322372539999999</v>
      </c>
      <c r="H115" s="2">
        <f>40.43/2</f>
        <v>20.215</v>
      </c>
      <c r="I115" s="2">
        <v>2457</v>
      </c>
      <c r="J115" s="2">
        <f t="shared" ref="J115" si="6">I115*2</f>
        <v>4914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2" x14ac:dyDescent="0.2">
      <c r="A116" s="2"/>
      <c r="B116" s="2"/>
      <c r="C116" s="13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2" x14ac:dyDescent="0.2">
      <c r="A117" s="2" t="s">
        <v>167</v>
      </c>
      <c r="B117" s="2"/>
      <c r="C117" s="13">
        <v>-21.764271000000001</v>
      </c>
      <c r="D117" s="3">
        <f t="shared" si="4"/>
        <v>-10.8821355</v>
      </c>
      <c r="E117" s="2">
        <v>3.431038225</v>
      </c>
      <c r="F117" s="2">
        <v>3.4310381680000002</v>
      </c>
      <c r="G117" s="2">
        <v>3.4310382270000002</v>
      </c>
      <c r="H117" s="2">
        <f>40.39/2</f>
        <v>20.195</v>
      </c>
      <c r="I117" s="2">
        <v>2920</v>
      </c>
      <c r="J117" s="2">
        <f t="shared" si="5"/>
        <v>5840</v>
      </c>
      <c r="K117" s="2">
        <v>133</v>
      </c>
      <c r="L117" s="2">
        <v>133</v>
      </c>
      <c r="M117" s="2">
        <v>133</v>
      </c>
      <c r="N117" s="2">
        <v>136</v>
      </c>
      <c r="O117" s="2">
        <v>136</v>
      </c>
      <c r="P117" s="2">
        <v>136</v>
      </c>
      <c r="Q117" s="2">
        <v>50</v>
      </c>
      <c r="R117" s="2">
        <v>50</v>
      </c>
      <c r="S117" s="2">
        <v>50</v>
      </c>
      <c r="T117" s="2">
        <v>0</v>
      </c>
      <c r="U117" s="2"/>
    </row>
    <row r="118" spans="1:22" x14ac:dyDescent="0.2">
      <c r="A118" s="2" t="s">
        <v>166</v>
      </c>
      <c r="B118" s="2"/>
      <c r="C118" s="13">
        <v>-21.761680999999999</v>
      </c>
      <c r="D118" s="3">
        <f t="shared" si="4"/>
        <v>-10.8808405</v>
      </c>
      <c r="E118" s="2">
        <v>3.4325049280000002</v>
      </c>
      <c r="F118" s="2">
        <v>3.4325050140000002</v>
      </c>
      <c r="G118" s="2">
        <v>3.4325047789999998</v>
      </c>
      <c r="H118" s="2">
        <f>40.44/2</f>
        <v>20.22</v>
      </c>
      <c r="I118" s="2">
        <v>3430</v>
      </c>
      <c r="J118" s="2">
        <f t="shared" si="5"/>
        <v>6860</v>
      </c>
      <c r="K118" s="2">
        <v>97</v>
      </c>
      <c r="L118" s="2">
        <v>97</v>
      </c>
      <c r="M118" s="2">
        <v>97</v>
      </c>
      <c r="N118" s="2">
        <v>153</v>
      </c>
      <c r="O118" s="2">
        <v>153</v>
      </c>
      <c r="P118" s="2">
        <v>153</v>
      </c>
      <c r="Q118" s="2">
        <v>40</v>
      </c>
      <c r="R118" s="2">
        <v>40</v>
      </c>
      <c r="S118" s="2">
        <v>40</v>
      </c>
      <c r="T118" s="2">
        <v>0</v>
      </c>
      <c r="U118" s="2"/>
    </row>
    <row r="119" spans="1:22" x14ac:dyDescent="0.2">
      <c r="A119" t="s">
        <v>116</v>
      </c>
      <c r="C119" s="9">
        <v>-21.761444999999998</v>
      </c>
      <c r="D119" s="1">
        <f t="shared" si="4"/>
        <v>-10.880722499999999</v>
      </c>
      <c r="E119">
        <v>3.4320926420000002</v>
      </c>
      <c r="F119">
        <v>3.4320926420000002</v>
      </c>
      <c r="G119">
        <v>3.4320926420000002</v>
      </c>
      <c r="H119">
        <f>40.43/2</f>
        <v>20.215</v>
      </c>
      <c r="I119">
        <v>165</v>
      </c>
      <c r="J119">
        <f t="shared" si="5"/>
        <v>330</v>
      </c>
      <c r="K119">
        <v>97</v>
      </c>
      <c r="L119">
        <v>97</v>
      </c>
      <c r="M119">
        <v>97</v>
      </c>
      <c r="N119">
        <v>148</v>
      </c>
      <c r="O119">
        <v>148</v>
      </c>
      <c r="P119">
        <v>148</v>
      </c>
      <c r="Q119">
        <v>44</v>
      </c>
      <c r="R119">
        <v>44</v>
      </c>
      <c r="S119">
        <v>44</v>
      </c>
      <c r="U119">
        <v>109</v>
      </c>
      <c r="V119">
        <v>2</v>
      </c>
    </row>
    <row r="120" spans="1:22" x14ac:dyDescent="0.2">
      <c r="A120" t="s">
        <v>117</v>
      </c>
      <c r="C120" s="9">
        <v>-21.761444999999998</v>
      </c>
      <c r="D120" s="1">
        <f t="shared" si="4"/>
        <v>-10.880722499999999</v>
      </c>
      <c r="E120">
        <v>3.4320691540000001</v>
      </c>
      <c r="F120">
        <v>3.4320691540000001</v>
      </c>
      <c r="G120">
        <v>3.4320691540000001</v>
      </c>
      <c r="H120">
        <f>40.43/2</f>
        <v>20.215</v>
      </c>
      <c r="I120">
        <v>165</v>
      </c>
      <c r="J120">
        <f t="shared" si="5"/>
        <v>330</v>
      </c>
      <c r="K120">
        <v>97</v>
      </c>
      <c r="L120">
        <v>97</v>
      </c>
      <c r="M120">
        <v>97</v>
      </c>
      <c r="N120">
        <v>148</v>
      </c>
      <c r="O120">
        <v>148</v>
      </c>
      <c r="P120">
        <v>148</v>
      </c>
      <c r="Q120">
        <v>44</v>
      </c>
      <c r="R120">
        <v>44</v>
      </c>
      <c r="S120">
        <v>44</v>
      </c>
      <c r="U120">
        <v>160</v>
      </c>
      <c r="V120">
        <v>2</v>
      </c>
    </row>
    <row r="121" spans="1:22" x14ac:dyDescent="0.2">
      <c r="A121" t="s">
        <v>142</v>
      </c>
      <c r="B121" t="s">
        <v>143</v>
      </c>
      <c r="C121" s="9">
        <v>-21.761528999999999</v>
      </c>
      <c r="D121" s="1">
        <f t="shared" si="4"/>
        <v>-10.8807645</v>
      </c>
      <c r="E121">
        <v>3.4317418700000002</v>
      </c>
      <c r="F121">
        <v>3.4317418700000002</v>
      </c>
      <c r="G121">
        <v>3.4317418700000002</v>
      </c>
      <c r="H121">
        <f>40.42/2</f>
        <v>20.21</v>
      </c>
      <c r="I121">
        <v>455</v>
      </c>
      <c r="J121">
        <f t="shared" si="5"/>
        <v>910</v>
      </c>
      <c r="K121">
        <v>91</v>
      </c>
      <c r="L121">
        <v>91</v>
      </c>
      <c r="M121">
        <v>91</v>
      </c>
      <c r="N121">
        <v>153</v>
      </c>
      <c r="O121">
        <v>153</v>
      </c>
      <c r="P121">
        <v>153</v>
      </c>
      <c r="Q121">
        <v>44</v>
      </c>
      <c r="R121">
        <v>44</v>
      </c>
      <c r="S121">
        <v>44</v>
      </c>
    </row>
    <row r="122" spans="1:22" x14ac:dyDescent="0.2">
      <c r="A122" t="s">
        <v>145</v>
      </c>
      <c r="B122" t="s">
        <v>143</v>
      </c>
      <c r="C122" s="9">
        <v>-21.762557000000001</v>
      </c>
      <c r="D122" s="1">
        <f t="shared" si="4"/>
        <v>-10.881278500000001</v>
      </c>
      <c r="E122">
        <v>3.4319133129999999</v>
      </c>
      <c r="F122">
        <v>3.4319133129999999</v>
      </c>
      <c r="G122">
        <v>3.4319133129999999</v>
      </c>
      <c r="H122">
        <f>40.42/2</f>
        <v>20.21</v>
      </c>
      <c r="I122">
        <v>680</v>
      </c>
      <c r="J122">
        <f t="shared" si="5"/>
        <v>1360</v>
      </c>
      <c r="K122">
        <v>104</v>
      </c>
      <c r="L122">
        <v>104</v>
      </c>
      <c r="M122">
        <v>104</v>
      </c>
      <c r="N122">
        <v>149</v>
      </c>
      <c r="O122">
        <v>149</v>
      </c>
      <c r="P122">
        <v>149</v>
      </c>
      <c r="Q122">
        <v>46</v>
      </c>
      <c r="R122">
        <v>46</v>
      </c>
      <c r="S122">
        <v>46</v>
      </c>
    </row>
    <row r="123" spans="1:22" x14ac:dyDescent="0.2">
      <c r="C123" s="9"/>
      <c r="D123" s="1"/>
      <c r="J123" t="s">
        <v>149</v>
      </c>
      <c r="K123">
        <v>99.5</v>
      </c>
      <c r="L123">
        <v>99.5</v>
      </c>
      <c r="M123">
        <v>99.5</v>
      </c>
      <c r="N123">
        <v>151</v>
      </c>
      <c r="O123">
        <v>151</v>
      </c>
      <c r="P123">
        <v>151</v>
      </c>
      <c r="Q123">
        <v>42</v>
      </c>
      <c r="R123">
        <v>42</v>
      </c>
      <c r="S123">
        <v>42</v>
      </c>
    </row>
    <row r="124" spans="1:22" x14ac:dyDescent="0.2">
      <c r="A124" t="s">
        <v>153</v>
      </c>
      <c r="C124" s="9">
        <v>-21.762557000000001</v>
      </c>
      <c r="D124" s="1">
        <f t="shared" si="4"/>
        <v>-10.881278500000001</v>
      </c>
      <c r="E124">
        <v>3.4318345859999999</v>
      </c>
      <c r="F124">
        <v>3.4318345859999999</v>
      </c>
      <c r="G124">
        <v>3.4318345859999999</v>
      </c>
      <c r="H124">
        <f>40.42/2</f>
        <v>20.21</v>
      </c>
      <c r="I124">
        <v>680</v>
      </c>
      <c r="J124">
        <f>I124*2</f>
        <v>1360</v>
      </c>
      <c r="K124">
        <v>105</v>
      </c>
      <c r="L124">
        <v>105</v>
      </c>
      <c r="M124">
        <v>105</v>
      </c>
      <c r="N124">
        <v>150</v>
      </c>
      <c r="O124">
        <v>150</v>
      </c>
      <c r="P124">
        <v>150</v>
      </c>
      <c r="Q124">
        <v>46</v>
      </c>
      <c r="R124">
        <v>46</v>
      </c>
      <c r="S124">
        <v>46</v>
      </c>
    </row>
    <row r="125" spans="1:22" x14ac:dyDescent="0.2">
      <c r="A125" t="s">
        <v>148</v>
      </c>
      <c r="B125" t="s">
        <v>143</v>
      </c>
      <c r="C125" s="9">
        <v>-21.761513999999998</v>
      </c>
      <c r="D125" s="1">
        <f t="shared" si="4"/>
        <v>-10.880756999999999</v>
      </c>
      <c r="E125">
        <v>3.4322538200000001</v>
      </c>
      <c r="F125">
        <v>3.4322538200000001</v>
      </c>
      <c r="G125">
        <v>3.4322538200000001</v>
      </c>
      <c r="H125">
        <f>40.43/2</f>
        <v>20.215</v>
      </c>
      <c r="I125">
        <v>816</v>
      </c>
      <c r="J125">
        <f t="shared" si="5"/>
        <v>1632</v>
      </c>
      <c r="K125">
        <v>89</v>
      </c>
      <c r="L125">
        <v>89</v>
      </c>
      <c r="M125">
        <v>89</v>
      </c>
      <c r="N125">
        <v>153</v>
      </c>
      <c r="O125">
        <v>153</v>
      </c>
      <c r="P125">
        <v>153</v>
      </c>
      <c r="Q125">
        <v>42</v>
      </c>
      <c r="R125">
        <v>42</v>
      </c>
      <c r="S125">
        <v>42</v>
      </c>
    </row>
    <row r="126" spans="1:22" x14ac:dyDescent="0.2">
      <c r="A126" t="s">
        <v>156</v>
      </c>
      <c r="C126" s="9">
        <v>-21.761952000000001</v>
      </c>
      <c r="D126" s="1">
        <f t="shared" si="4"/>
        <v>-10.880976</v>
      </c>
      <c r="E126">
        <v>3.432161534</v>
      </c>
      <c r="F126">
        <v>3.432161534</v>
      </c>
      <c r="G126">
        <v>3.432161534</v>
      </c>
      <c r="H126">
        <f>40.43/2</f>
        <v>20.215</v>
      </c>
      <c r="I126">
        <v>1140</v>
      </c>
      <c r="J126">
        <f t="shared" si="5"/>
        <v>2280</v>
      </c>
    </row>
    <row r="127" spans="1:22" x14ac:dyDescent="0.2">
      <c r="A127" t="s">
        <v>154</v>
      </c>
      <c r="C127" s="9">
        <v>-21.761968</v>
      </c>
      <c r="D127" s="1">
        <f t="shared" si="4"/>
        <v>-10.880984</v>
      </c>
      <c r="E127">
        <v>3.4321403949999998</v>
      </c>
      <c r="F127">
        <v>3.4321403949999998</v>
      </c>
      <c r="G127">
        <v>3.4321403949999998</v>
      </c>
      <c r="H127">
        <f>40.43/2</f>
        <v>20.215</v>
      </c>
      <c r="I127">
        <v>1771</v>
      </c>
      <c r="J127">
        <f t="shared" si="5"/>
        <v>3542</v>
      </c>
    </row>
    <row r="129" spans="1:22" x14ac:dyDescent="0.2">
      <c r="A129" t="s">
        <v>37</v>
      </c>
      <c r="I129" t="s">
        <v>130</v>
      </c>
    </row>
    <row r="130" spans="1:22" x14ac:dyDescent="0.2">
      <c r="A130" t="s">
        <v>102</v>
      </c>
      <c r="C130" s="9">
        <v>-206.48235</v>
      </c>
      <c r="D130" s="9">
        <f>C130/2</f>
        <v>-103.241175</v>
      </c>
      <c r="E130">
        <v>3.3584453559999998</v>
      </c>
      <c r="F130">
        <v>3.3445196529999999</v>
      </c>
      <c r="G130">
        <v>3.3310663100000002</v>
      </c>
      <c r="H130">
        <f>37.42/2</f>
        <v>18.71</v>
      </c>
      <c r="K130" t="s">
        <v>115</v>
      </c>
    </row>
    <row r="131" spans="1:22" x14ac:dyDescent="0.2">
      <c r="A131" t="s">
        <v>107</v>
      </c>
      <c r="D131" t="s">
        <v>111</v>
      </c>
    </row>
    <row r="132" spans="1:22" x14ac:dyDescent="0.2">
      <c r="A132" t="s">
        <v>109</v>
      </c>
      <c r="D132" t="s">
        <v>114</v>
      </c>
    </row>
    <row r="133" spans="1:22" x14ac:dyDescent="0.2">
      <c r="A133" t="s">
        <v>110</v>
      </c>
      <c r="D133" t="s">
        <v>115</v>
      </c>
    </row>
    <row r="134" spans="1:22" x14ac:dyDescent="0.2">
      <c r="A134" t="s">
        <v>112</v>
      </c>
      <c r="D134" t="s">
        <v>115</v>
      </c>
    </row>
    <row r="135" spans="1:22" x14ac:dyDescent="0.2">
      <c r="A135" s="2" t="s">
        <v>113</v>
      </c>
      <c r="B135" s="2"/>
      <c r="C135" s="13">
        <v>-206.48599999999999</v>
      </c>
      <c r="D135" s="3">
        <f>C135/2</f>
        <v>-103.24299999999999</v>
      </c>
      <c r="E135" s="2">
        <v>3.3446236699999998</v>
      </c>
      <c r="F135" s="2">
        <v>3.3446242759999998</v>
      </c>
      <c r="G135" s="2">
        <v>3.3446029510000002</v>
      </c>
      <c r="H135" s="2">
        <f>37.41/2</f>
        <v>18.704999999999998</v>
      </c>
      <c r="I135" s="2">
        <v>2052</v>
      </c>
      <c r="J135" s="2">
        <f t="shared" ref="J135:J143" si="7">I135*2</f>
        <v>4104</v>
      </c>
      <c r="K135" s="2">
        <v>164</v>
      </c>
      <c r="L135" s="2">
        <v>168</v>
      </c>
      <c r="M135" s="2">
        <v>168</v>
      </c>
      <c r="N135" s="2">
        <v>169</v>
      </c>
      <c r="O135" s="2">
        <v>169</v>
      </c>
      <c r="P135" s="2">
        <v>169</v>
      </c>
      <c r="Q135" s="2">
        <v>64</v>
      </c>
      <c r="R135" s="2">
        <v>64</v>
      </c>
      <c r="S135" s="2">
        <v>65</v>
      </c>
      <c r="T135" s="2"/>
      <c r="U135" s="2">
        <v>20195</v>
      </c>
      <c r="V135">
        <v>2</v>
      </c>
    </row>
    <row r="136" spans="1:22" x14ac:dyDescent="0.2">
      <c r="A136" s="2"/>
      <c r="B136" s="2" t="s">
        <v>173</v>
      </c>
      <c r="C136" s="17">
        <v>-206.48599999999999</v>
      </c>
      <c r="D136" s="3">
        <f>C136/2</f>
        <v>-103.24299999999999</v>
      </c>
      <c r="E136" s="2"/>
      <c r="F136" s="2"/>
      <c r="G136" s="2"/>
      <c r="H136" s="2"/>
      <c r="I136" s="2"/>
      <c r="J136" s="2"/>
      <c r="K136" s="2"/>
      <c r="L136" s="2" t="s">
        <v>131</v>
      </c>
      <c r="M136" s="2"/>
      <c r="N136" s="2"/>
      <c r="O136" s="2"/>
      <c r="P136" s="2"/>
      <c r="Q136" s="2"/>
      <c r="R136" s="2"/>
      <c r="S136" s="2"/>
      <c r="T136" s="2"/>
      <c r="U136" s="2"/>
    </row>
    <row r="137" spans="1:22" x14ac:dyDescent="0.2">
      <c r="A137" s="2" t="s">
        <v>165</v>
      </c>
      <c r="B137" s="2"/>
      <c r="C137" s="13">
        <v>-206.48599999999999</v>
      </c>
      <c r="D137" s="3">
        <f>C137/2</f>
        <v>-103.24299999999999</v>
      </c>
      <c r="E137" s="2">
        <v>3.3443076760000001</v>
      </c>
      <c r="F137" s="2">
        <v>3.343880462</v>
      </c>
      <c r="G137" s="2">
        <v>3.3457046529999999</v>
      </c>
      <c r="H137" s="2">
        <f>37.41/2</f>
        <v>18.704999999999998</v>
      </c>
      <c r="I137" s="2">
        <v>2052</v>
      </c>
      <c r="J137" s="2">
        <f>I137*2</f>
        <v>4104</v>
      </c>
      <c r="K137" s="2">
        <v>166</v>
      </c>
      <c r="L137" s="2">
        <v>166</v>
      </c>
      <c r="M137" s="2">
        <v>166</v>
      </c>
      <c r="N137" s="2">
        <v>170</v>
      </c>
      <c r="O137" s="2">
        <v>168</v>
      </c>
      <c r="P137" s="2">
        <v>168</v>
      </c>
      <c r="Q137" s="2">
        <v>64</v>
      </c>
      <c r="R137" s="2">
        <v>64</v>
      </c>
      <c r="S137" s="2">
        <v>64</v>
      </c>
      <c r="T137" s="2"/>
      <c r="U137" s="2"/>
    </row>
    <row r="138" spans="1:22" x14ac:dyDescent="0.2">
      <c r="A138" s="2"/>
      <c r="B138" s="2"/>
      <c r="C138" s="13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2" x14ac:dyDescent="0.2">
      <c r="A139" s="2" t="s">
        <v>175</v>
      </c>
      <c r="B139" s="2"/>
      <c r="C139" s="13"/>
      <c r="D139" s="3"/>
      <c r="E139" s="2"/>
      <c r="F139" s="2"/>
      <c r="G139" s="2"/>
      <c r="H139" s="2"/>
      <c r="I139" s="2">
        <v>2457</v>
      </c>
      <c r="J139" s="2">
        <f>I139*2</f>
        <v>4914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2" x14ac:dyDescent="0.2">
      <c r="A140" t="s">
        <v>116</v>
      </c>
      <c r="C140" s="9">
        <v>-206.48705000000001</v>
      </c>
      <c r="D140" s="1">
        <f>C140/2</f>
        <v>-103.24352500000001</v>
      </c>
      <c r="E140">
        <v>3.344131462</v>
      </c>
      <c r="F140">
        <v>3.344131462</v>
      </c>
      <c r="G140">
        <v>3.344131462</v>
      </c>
      <c r="H140">
        <f>37.4/2</f>
        <v>18.7</v>
      </c>
      <c r="I140">
        <v>165</v>
      </c>
      <c r="J140">
        <f t="shared" si="7"/>
        <v>330</v>
      </c>
      <c r="K140">
        <v>167</v>
      </c>
      <c r="L140">
        <v>167</v>
      </c>
      <c r="M140">
        <v>167</v>
      </c>
      <c r="N140">
        <v>169</v>
      </c>
      <c r="O140">
        <v>169</v>
      </c>
      <c r="P140">
        <v>169</v>
      </c>
      <c r="Q140">
        <v>64</v>
      </c>
      <c r="R140">
        <v>64</v>
      </c>
      <c r="S140">
        <v>64</v>
      </c>
      <c r="U140">
        <v>1281</v>
      </c>
      <c r="V140">
        <v>2</v>
      </c>
    </row>
    <row r="141" spans="1:22" x14ac:dyDescent="0.2">
      <c r="A141" t="s">
        <v>117</v>
      </c>
      <c r="C141" s="9">
        <v>-206.48706000000001</v>
      </c>
      <c r="D141" s="1">
        <f>C141/2</f>
        <v>-103.24353000000001</v>
      </c>
      <c r="E141">
        <v>3.3439468259999998</v>
      </c>
      <c r="F141">
        <v>3.3439468259999998</v>
      </c>
      <c r="G141">
        <v>3.3439468259999998</v>
      </c>
      <c r="H141">
        <f>37.39/2</f>
        <v>18.695</v>
      </c>
      <c r="I141">
        <v>165</v>
      </c>
      <c r="J141">
        <f t="shared" si="7"/>
        <v>330</v>
      </c>
      <c r="K141">
        <v>167</v>
      </c>
      <c r="L141">
        <v>167</v>
      </c>
      <c r="M141">
        <v>167</v>
      </c>
      <c r="N141">
        <v>169</v>
      </c>
      <c r="O141">
        <v>169</v>
      </c>
      <c r="P141">
        <v>169</v>
      </c>
      <c r="Q141">
        <v>64</v>
      </c>
      <c r="R141">
        <v>64</v>
      </c>
      <c r="S141">
        <v>64</v>
      </c>
      <c r="U141">
        <v>1620</v>
      </c>
      <c r="V141">
        <v>2</v>
      </c>
    </row>
    <row r="142" spans="1:22" x14ac:dyDescent="0.2">
      <c r="A142" t="s">
        <v>142</v>
      </c>
      <c r="B142" t="s">
        <v>143</v>
      </c>
      <c r="C142" s="9">
        <v>-206.48648</v>
      </c>
      <c r="D142" s="1">
        <f>C142/2</f>
        <v>-103.24324</v>
      </c>
      <c r="E142">
        <v>3.34525549</v>
      </c>
      <c r="F142">
        <v>3.34525549</v>
      </c>
      <c r="G142">
        <v>3.34525549</v>
      </c>
      <c r="H142">
        <f>37.44/2</f>
        <v>18.72</v>
      </c>
      <c r="I142">
        <v>455</v>
      </c>
      <c r="J142">
        <f t="shared" si="7"/>
        <v>910</v>
      </c>
      <c r="K142">
        <v>143</v>
      </c>
      <c r="L142">
        <v>143</v>
      </c>
      <c r="M142">
        <v>143</v>
      </c>
      <c r="N142">
        <v>193</v>
      </c>
      <c r="O142">
        <v>193</v>
      </c>
      <c r="P142">
        <v>193</v>
      </c>
      <c r="Q142">
        <v>66</v>
      </c>
      <c r="R142">
        <v>66</v>
      </c>
      <c r="S142">
        <v>66</v>
      </c>
    </row>
    <row r="143" spans="1:22" x14ac:dyDescent="0.2">
      <c r="A143" t="s">
        <v>145</v>
      </c>
      <c r="B143" t="s">
        <v>143</v>
      </c>
      <c r="C143" s="9">
        <v>-206.48685</v>
      </c>
      <c r="D143" s="1">
        <f>C143/2</f>
        <v>-103.243425</v>
      </c>
      <c r="E143">
        <v>3.3454357890000002</v>
      </c>
      <c r="F143">
        <v>3.3454357890000002</v>
      </c>
      <c r="G143">
        <v>3.3454357890000002</v>
      </c>
      <c r="H143">
        <f>37.44/2</f>
        <v>18.72</v>
      </c>
      <c r="I143">
        <v>680</v>
      </c>
      <c r="J143">
        <f t="shared" si="7"/>
        <v>1360</v>
      </c>
      <c r="K143">
        <v>158</v>
      </c>
      <c r="L143">
        <v>158</v>
      </c>
      <c r="M143">
        <v>158</v>
      </c>
      <c r="N143">
        <v>183</v>
      </c>
      <c r="O143">
        <v>183</v>
      </c>
      <c r="P143">
        <v>183</v>
      </c>
      <c r="Q143">
        <v>67</v>
      </c>
      <c r="R143">
        <v>67</v>
      </c>
      <c r="S143">
        <v>67</v>
      </c>
    </row>
    <row r="145" spans="1:19" x14ac:dyDescent="0.2">
      <c r="A145" t="s">
        <v>121</v>
      </c>
      <c r="B145" t="s">
        <v>136</v>
      </c>
    </row>
    <row r="146" spans="1:19" x14ac:dyDescent="0.2">
      <c r="A146" t="s">
        <v>33</v>
      </c>
      <c r="I146" t="s">
        <v>130</v>
      </c>
    </row>
    <row r="147" spans="1:19" x14ac:dyDescent="0.2">
      <c r="A147" t="s">
        <v>118</v>
      </c>
      <c r="C147" s="9">
        <v>-21.085528</v>
      </c>
      <c r="D147" s="1">
        <f t="shared" ref="D147:D153" si="8">C147/2</f>
        <v>-10.542764</v>
      </c>
      <c r="E147">
        <v>3.7031293930000002</v>
      </c>
      <c r="F147">
        <v>3.7031293930000002</v>
      </c>
      <c r="G147">
        <v>2.9752780630000002</v>
      </c>
      <c r="H147">
        <f>40.8/2</f>
        <v>20.399999999999999</v>
      </c>
      <c r="I147">
        <v>405</v>
      </c>
      <c r="J147">
        <f t="shared" ref="J147:J153" si="9">I147*2</f>
        <v>810</v>
      </c>
      <c r="K147" t="s">
        <v>115</v>
      </c>
    </row>
    <row r="148" spans="1:19" x14ac:dyDescent="0.2">
      <c r="A148" s="2" t="s">
        <v>119</v>
      </c>
      <c r="B148" s="2"/>
      <c r="C148" s="13">
        <v>-22.012781</v>
      </c>
      <c r="D148" s="3">
        <f t="shared" si="8"/>
        <v>-11.0063905</v>
      </c>
      <c r="E148" s="2">
        <v>3.7051273669999998</v>
      </c>
      <c r="F148" s="2">
        <v>3.7051273660000001</v>
      </c>
      <c r="G148" s="2">
        <v>2.9722343320000002</v>
      </c>
      <c r="H148" s="2">
        <f>40.8/2</f>
        <v>20.399999999999999</v>
      </c>
      <c r="I148" s="2">
        <v>2052</v>
      </c>
      <c r="J148" s="2">
        <f t="shared" si="9"/>
        <v>4104</v>
      </c>
      <c r="K148" s="2">
        <v>260</v>
      </c>
      <c r="L148" s="2">
        <v>260</v>
      </c>
      <c r="M148" s="2">
        <v>259</v>
      </c>
      <c r="N148" s="2">
        <v>59</v>
      </c>
      <c r="O148" s="2">
        <v>69</v>
      </c>
      <c r="P148" s="2">
        <v>69</v>
      </c>
      <c r="Q148" s="2">
        <v>60</v>
      </c>
      <c r="R148" s="2">
        <v>60</v>
      </c>
      <c r="S148" s="2">
        <v>55</v>
      </c>
    </row>
    <row r="149" spans="1:19" x14ac:dyDescent="0.2">
      <c r="A149" s="2" t="s">
        <v>169</v>
      </c>
      <c r="B149" s="2"/>
      <c r="C149" s="13">
        <v>-22.014869000000001</v>
      </c>
      <c r="D149" s="3">
        <f t="shared" si="8"/>
        <v>-11.0074345</v>
      </c>
      <c r="E149" s="2">
        <v>3.7036968560000001</v>
      </c>
      <c r="F149" s="2">
        <v>3.7036968950000002</v>
      </c>
      <c r="G149" s="2">
        <v>2.9748948830000002</v>
      </c>
      <c r="H149" s="2">
        <f>40.8/2</f>
        <v>20.399999999999999</v>
      </c>
      <c r="I149" s="2">
        <v>2168</v>
      </c>
      <c r="J149" s="2">
        <f t="shared" si="9"/>
        <v>4336</v>
      </c>
      <c r="K149" s="2">
        <v>269</v>
      </c>
      <c r="L149" s="2">
        <v>269</v>
      </c>
      <c r="M149" s="2">
        <v>283</v>
      </c>
      <c r="N149" s="2">
        <v>52</v>
      </c>
      <c r="O149" s="2">
        <v>59</v>
      </c>
      <c r="P149" s="2">
        <v>59</v>
      </c>
      <c r="Q149" s="2">
        <v>64</v>
      </c>
      <c r="R149" s="2">
        <v>64</v>
      </c>
      <c r="S149" s="2">
        <v>53</v>
      </c>
    </row>
    <row r="150" spans="1:19" x14ac:dyDescent="0.2">
      <c r="A150" s="2" t="s">
        <v>170</v>
      </c>
      <c r="B150" s="2"/>
      <c r="C150" s="13">
        <v>-22.014869000000001</v>
      </c>
      <c r="D150" s="3">
        <f t="shared" si="8"/>
        <v>-11.0074345</v>
      </c>
      <c r="E150" s="2">
        <v>3.7037087949999998</v>
      </c>
      <c r="F150" s="2">
        <v>3.7037088069999999</v>
      </c>
      <c r="G150" s="2">
        <v>2.974895106</v>
      </c>
      <c r="H150" s="2">
        <f>40.81/2</f>
        <v>20.405000000000001</v>
      </c>
      <c r="I150" s="2">
        <v>2168</v>
      </c>
      <c r="J150" s="2">
        <f t="shared" si="9"/>
        <v>4336</v>
      </c>
      <c r="K150" s="2">
        <v>269</v>
      </c>
      <c r="L150" s="2">
        <v>269</v>
      </c>
      <c r="M150" s="2">
        <v>283</v>
      </c>
      <c r="N150" s="2">
        <v>52</v>
      </c>
      <c r="O150" s="2">
        <v>59</v>
      </c>
      <c r="P150" s="2">
        <v>59</v>
      </c>
      <c r="Q150" s="2">
        <v>64</v>
      </c>
      <c r="R150" s="2">
        <v>64</v>
      </c>
      <c r="S150" s="2">
        <v>53</v>
      </c>
    </row>
    <row r="151" spans="1:19" x14ac:dyDescent="0.2">
      <c r="A151" t="s">
        <v>146</v>
      </c>
      <c r="C151" s="9">
        <v>-22.012806999999999</v>
      </c>
      <c r="D151" s="1">
        <f t="shared" si="8"/>
        <v>-11.006403499999999</v>
      </c>
      <c r="E151">
        <v>3.7047378059999998</v>
      </c>
      <c r="F151">
        <v>3.7047378059999998</v>
      </c>
      <c r="G151">
        <v>2.9717110469999999</v>
      </c>
      <c r="H151">
        <f>40.79/2</f>
        <v>20.395</v>
      </c>
      <c r="I151">
        <v>594</v>
      </c>
      <c r="J151">
        <f t="shared" si="9"/>
        <v>1188</v>
      </c>
      <c r="K151">
        <v>261</v>
      </c>
      <c r="L151">
        <v>261</v>
      </c>
      <c r="M151">
        <v>260</v>
      </c>
      <c r="N151">
        <v>51</v>
      </c>
      <c r="O151">
        <v>68</v>
      </c>
      <c r="P151">
        <v>68</v>
      </c>
      <c r="Q151">
        <v>60</v>
      </c>
      <c r="R151">
        <v>60</v>
      </c>
      <c r="S151">
        <v>52</v>
      </c>
    </row>
    <row r="152" spans="1:19" x14ac:dyDescent="0.2">
      <c r="A152" t="s">
        <v>158</v>
      </c>
      <c r="C152" s="9">
        <v>-22.013475</v>
      </c>
      <c r="D152" s="1">
        <f t="shared" si="8"/>
        <v>-11.0067375</v>
      </c>
      <c r="E152">
        <v>3.7036189369999999</v>
      </c>
      <c r="F152">
        <v>3.7036189369999999</v>
      </c>
      <c r="G152">
        <v>2.9749875050000001</v>
      </c>
      <c r="H152">
        <f>40.81/2</f>
        <v>20.405000000000001</v>
      </c>
      <c r="I152">
        <v>910</v>
      </c>
      <c r="J152">
        <f t="shared" si="9"/>
        <v>1820</v>
      </c>
      <c r="K152">
        <v>262</v>
      </c>
      <c r="L152">
        <v>262</v>
      </c>
      <c r="M152">
        <v>269</v>
      </c>
      <c r="N152">
        <v>53</v>
      </c>
      <c r="O152">
        <v>64</v>
      </c>
      <c r="P152">
        <v>64</v>
      </c>
      <c r="Q152">
        <v>62</v>
      </c>
      <c r="R152">
        <v>62</v>
      </c>
      <c r="S152">
        <v>53</v>
      </c>
    </row>
    <row r="153" spans="1:19" x14ac:dyDescent="0.2">
      <c r="A153" t="s">
        <v>157</v>
      </c>
      <c r="C153" s="9">
        <v>-22.013197000000002</v>
      </c>
      <c r="D153" s="1">
        <f t="shared" si="8"/>
        <v>-11.006598500000001</v>
      </c>
      <c r="E153">
        <v>3.7029738920000002</v>
      </c>
      <c r="F153">
        <v>3.7029738920000002</v>
      </c>
      <c r="G153">
        <v>2.9752639780000001</v>
      </c>
      <c r="H153">
        <f>40.8/2</f>
        <v>20.399999999999999</v>
      </c>
      <c r="I153">
        <v>3927</v>
      </c>
      <c r="J153">
        <f t="shared" si="9"/>
        <v>7854</v>
      </c>
    </row>
    <row r="154" spans="1:19" x14ac:dyDescent="0.2">
      <c r="C154" s="9"/>
      <c r="D154" s="1"/>
    </row>
    <row r="155" spans="1:19" x14ac:dyDescent="0.2">
      <c r="A155" t="s">
        <v>37</v>
      </c>
    </row>
    <row r="156" spans="1:19" x14ac:dyDescent="0.2">
      <c r="A156" t="s">
        <v>119</v>
      </c>
      <c r="C156" s="9">
        <v>-206.80314000000001</v>
      </c>
      <c r="D156" s="1">
        <f>C156/2</f>
        <v>-103.40157000000001</v>
      </c>
      <c r="E156">
        <v>3.6198508829999998</v>
      </c>
      <c r="F156">
        <v>3.6198509200000002</v>
      </c>
      <c r="G156">
        <v>2.8841458179999999</v>
      </c>
      <c r="H156">
        <f>37.79/2</f>
        <v>18.895</v>
      </c>
      <c r="I156">
        <v>2052</v>
      </c>
      <c r="J156">
        <f>I156*2</f>
        <v>4104</v>
      </c>
      <c r="K156">
        <v>337</v>
      </c>
      <c r="L156">
        <v>337</v>
      </c>
      <c r="M156">
        <v>350</v>
      </c>
      <c r="N156">
        <v>71</v>
      </c>
      <c r="O156">
        <v>68</v>
      </c>
      <c r="P156">
        <v>68</v>
      </c>
      <c r="Q156">
        <v>66</v>
      </c>
      <c r="R156">
        <v>66</v>
      </c>
      <c r="S156">
        <v>54</v>
      </c>
    </row>
    <row r="157" spans="1:19" x14ac:dyDescent="0.2">
      <c r="A157" s="2" t="s">
        <v>169</v>
      </c>
      <c r="B157" s="2"/>
      <c r="C157" s="13">
        <v>-206.80600999999999</v>
      </c>
      <c r="D157" s="3">
        <f>C157/2</f>
        <v>-103.40300499999999</v>
      </c>
      <c r="E157" s="2">
        <v>3.6249955580000002</v>
      </c>
      <c r="F157" s="2">
        <v>3.6248185300000002</v>
      </c>
      <c r="G157" s="2">
        <v>2.8743309830000001</v>
      </c>
      <c r="H157" s="2">
        <f>37.77/2</f>
        <v>18.885000000000002</v>
      </c>
      <c r="I157" s="2">
        <v>2168</v>
      </c>
      <c r="J157" s="2">
        <f>I157*2</f>
        <v>4336</v>
      </c>
      <c r="K157" s="2">
        <v>351</v>
      </c>
      <c r="L157" s="2">
        <v>351</v>
      </c>
      <c r="M157" s="2">
        <v>366</v>
      </c>
      <c r="N157" s="2">
        <v>56</v>
      </c>
      <c r="O157" s="2">
        <v>73</v>
      </c>
      <c r="P157" s="2">
        <v>73</v>
      </c>
      <c r="Q157" s="2">
        <v>77</v>
      </c>
      <c r="R157" s="2">
        <v>77</v>
      </c>
      <c r="S157" s="2">
        <v>54</v>
      </c>
    </row>
    <row r="159" spans="1:19" x14ac:dyDescent="0.2">
      <c r="A159" t="s">
        <v>122</v>
      </c>
      <c r="B159" t="s">
        <v>135</v>
      </c>
    </row>
    <row r="160" spans="1:19" x14ac:dyDescent="0.2">
      <c r="A160" t="s">
        <v>33</v>
      </c>
      <c r="I160" t="s">
        <v>130</v>
      </c>
    </row>
    <row r="161" spans="1:19" x14ac:dyDescent="0.2">
      <c r="A161" t="s">
        <v>123</v>
      </c>
      <c r="C161" s="9">
        <v>-331.4153</v>
      </c>
      <c r="D161" s="1">
        <f>C161/30</f>
        <v>-11.047176666666667</v>
      </c>
      <c r="E161">
        <v>10.469596309</v>
      </c>
      <c r="F161">
        <v>10.469596309</v>
      </c>
      <c r="G161">
        <v>5.6444669059999999</v>
      </c>
      <c r="H161">
        <f>618.7/30</f>
        <v>20.623333333333335</v>
      </c>
      <c r="I161">
        <v>63</v>
      </c>
      <c r="J161">
        <f>I161*30</f>
        <v>1890</v>
      </c>
    </row>
    <row r="162" spans="1:19" x14ac:dyDescent="0.2">
      <c r="A162" s="2" t="s">
        <v>124</v>
      </c>
      <c r="C162" s="9">
        <v>-331.63913000000002</v>
      </c>
      <c r="D162" s="1">
        <f>C162/30</f>
        <v>-11.054637666666668</v>
      </c>
      <c r="E162">
        <v>10.462359198</v>
      </c>
      <c r="F162">
        <v>10.462374228</v>
      </c>
      <c r="G162">
        <v>5.647608279</v>
      </c>
      <c r="H162">
        <f>618.19/30</f>
        <v>20.606333333333335</v>
      </c>
      <c r="I162">
        <v>132</v>
      </c>
      <c r="J162">
        <f>I162*30</f>
        <v>3960</v>
      </c>
      <c r="K162">
        <v>229</v>
      </c>
      <c r="L162">
        <v>229</v>
      </c>
      <c r="M162">
        <v>243</v>
      </c>
      <c r="N162">
        <v>114</v>
      </c>
      <c r="O162" s="15">
        <v>65</v>
      </c>
      <c r="P162">
        <v>65</v>
      </c>
      <c r="Q162">
        <v>48</v>
      </c>
      <c r="R162">
        <v>48</v>
      </c>
      <c r="S162">
        <v>65</v>
      </c>
    </row>
    <row r="163" spans="1:19" x14ac:dyDescent="0.2">
      <c r="A163" t="s">
        <v>132</v>
      </c>
      <c r="C163" s="9">
        <v>-331.47721999999999</v>
      </c>
      <c r="D163" s="1">
        <f>C163/30</f>
        <v>-11.049240666666666</v>
      </c>
      <c r="E163">
        <v>10.461937156999999</v>
      </c>
      <c r="F163">
        <v>10.461937156999999</v>
      </c>
      <c r="G163">
        <v>5.651206095</v>
      </c>
      <c r="H163">
        <f>618.54/30</f>
        <v>20.617999999999999</v>
      </c>
      <c r="I163">
        <v>396</v>
      </c>
      <c r="J163">
        <f>I163*30</f>
        <v>11880</v>
      </c>
    </row>
    <row r="164" spans="1:19" x14ac:dyDescent="0.2">
      <c r="A164" t="s">
        <v>141</v>
      </c>
      <c r="C164" s="9">
        <v>-331.48365999999999</v>
      </c>
      <c r="D164" s="1">
        <f>C164/30</f>
        <v>-11.049455333333333</v>
      </c>
      <c r="E164">
        <v>10.458480437</v>
      </c>
      <c r="F164">
        <v>10.458480437</v>
      </c>
      <c r="G164">
        <v>5.6536594009999996</v>
      </c>
      <c r="H164">
        <f>618.4/30</f>
        <v>20.613333333333333</v>
      </c>
      <c r="I164">
        <v>225</v>
      </c>
      <c r="J164">
        <f>I164*30</f>
        <v>6750</v>
      </c>
      <c r="L164" t="s">
        <v>106</v>
      </c>
    </row>
    <row r="165" spans="1:19" x14ac:dyDescent="0.2">
      <c r="A165" t="s">
        <v>159</v>
      </c>
      <c r="C165" s="9">
        <v>-331.48953999999998</v>
      </c>
      <c r="D165" s="1">
        <f>C165/30</f>
        <v>-11.049651333333333</v>
      </c>
      <c r="E165">
        <v>10.454603443</v>
      </c>
      <c r="F165">
        <v>10.454603443</v>
      </c>
      <c r="G165">
        <v>5.6596398790000002</v>
      </c>
      <c r="H165">
        <f>618.59/30</f>
        <v>20.619666666666667</v>
      </c>
      <c r="I165">
        <v>84</v>
      </c>
      <c r="J165">
        <f>I165*30</f>
        <v>2520</v>
      </c>
    </row>
    <row r="166" spans="1:19" x14ac:dyDescent="0.2">
      <c r="C166" s="9"/>
      <c r="D166" s="9"/>
    </row>
    <row r="167" spans="1:19" x14ac:dyDescent="0.2">
      <c r="A167" t="s">
        <v>37</v>
      </c>
      <c r="C167" s="9"/>
      <c r="D167" s="9"/>
    </row>
    <row r="168" spans="1:19" x14ac:dyDescent="0.2">
      <c r="A168" s="2" t="s">
        <v>124</v>
      </c>
      <c r="C168" s="9">
        <v>-331.63913000000002</v>
      </c>
      <c r="D168" s="1">
        <f>C168/30</f>
        <v>-11.054637666666668</v>
      </c>
      <c r="E168">
        <v>10.46235809</v>
      </c>
      <c r="F168">
        <v>10.462372524999999</v>
      </c>
      <c r="G168">
        <v>5.6476101099999996</v>
      </c>
      <c r="H168">
        <f>618.19/30</f>
        <v>20.606333333333335</v>
      </c>
      <c r="I168">
        <v>132</v>
      </c>
      <c r="J168">
        <f>I168*30</f>
        <v>3960</v>
      </c>
      <c r="K168">
        <v>229</v>
      </c>
      <c r="L168">
        <v>229</v>
      </c>
      <c r="M168">
        <v>243</v>
      </c>
      <c r="N168">
        <v>114</v>
      </c>
      <c r="O168">
        <v>65</v>
      </c>
      <c r="P168">
        <v>65</v>
      </c>
      <c r="Q168">
        <v>48</v>
      </c>
      <c r="R168">
        <v>48</v>
      </c>
      <c r="S168">
        <v>65</v>
      </c>
    </row>
    <row r="170" spans="1:19" x14ac:dyDescent="0.2">
      <c r="A170" t="s">
        <v>125</v>
      </c>
    </row>
    <row r="171" spans="1:19" x14ac:dyDescent="0.2">
      <c r="A171" t="s">
        <v>129</v>
      </c>
      <c r="C171" s="9">
        <v>-43.018003999999998</v>
      </c>
      <c r="D171" s="1">
        <f>C171/4</f>
        <v>-10.754500999999999</v>
      </c>
      <c r="E171">
        <v>4.4244867919999997</v>
      </c>
      <c r="F171">
        <v>4.4244867919999997</v>
      </c>
      <c r="G171">
        <v>4.4244867919999997</v>
      </c>
      <c r="H171">
        <f>86.61/4</f>
        <v>21.6525</v>
      </c>
      <c r="I171">
        <v>165</v>
      </c>
      <c r="J171">
        <f>I171*4</f>
        <v>660</v>
      </c>
    </row>
    <row r="172" spans="1:19" x14ac:dyDescent="0.2">
      <c r="A172" t="s">
        <v>133</v>
      </c>
      <c r="B172" t="s">
        <v>134</v>
      </c>
      <c r="C172" s="9">
        <v>-43.017777000000002</v>
      </c>
      <c r="D172" s="1">
        <f>C172/4</f>
        <v>-10.754444250000001</v>
      </c>
      <c r="E172">
        <v>4.4261503949999996</v>
      </c>
      <c r="F172">
        <v>4.4261503949999996</v>
      </c>
      <c r="G172">
        <v>4.4261503949999996</v>
      </c>
      <c r="H172">
        <f>86.71/4</f>
        <v>21.677499999999998</v>
      </c>
      <c r="I172">
        <v>286</v>
      </c>
      <c r="J172">
        <f>I172*4</f>
        <v>1144</v>
      </c>
    </row>
    <row r="173" spans="1:19" x14ac:dyDescent="0.2">
      <c r="A173" s="2" t="s">
        <v>139</v>
      </c>
      <c r="B173" s="2" t="s">
        <v>134</v>
      </c>
      <c r="C173" s="13">
        <v>-43.018869000000002</v>
      </c>
      <c r="D173" s="3">
        <f>C173/4</f>
        <v>-10.754717250000001</v>
      </c>
      <c r="E173" s="2">
        <v>4.4260413510000003</v>
      </c>
      <c r="F173" s="2">
        <v>4.4260418039999996</v>
      </c>
      <c r="G173" s="2">
        <v>4.4260419659999997</v>
      </c>
      <c r="H173" s="2">
        <f>86.71/4</f>
        <v>21.677499999999998</v>
      </c>
      <c r="I173" s="2">
        <v>1376</v>
      </c>
      <c r="J173" s="2">
        <f>I173*4</f>
        <v>5504</v>
      </c>
      <c r="K173" s="2">
        <v>12.8</v>
      </c>
      <c r="L173" s="2">
        <v>12.8</v>
      </c>
      <c r="M173" s="2">
        <v>15</v>
      </c>
      <c r="N173" s="2">
        <v>169</v>
      </c>
      <c r="O173" s="2">
        <v>170</v>
      </c>
      <c r="P173" s="2">
        <v>170</v>
      </c>
      <c r="Q173" s="2">
        <v>3</v>
      </c>
      <c r="R173" s="2">
        <v>3</v>
      </c>
      <c r="S173" s="2">
        <v>2</v>
      </c>
    </row>
    <row r="174" spans="1:19" x14ac:dyDescent="0.2">
      <c r="A174" s="2" t="s">
        <v>171</v>
      </c>
      <c r="B174" s="2" t="s">
        <v>134</v>
      </c>
      <c r="C174" s="13">
        <v>-43.017983000000001</v>
      </c>
      <c r="D174" s="3">
        <f>C174/4</f>
        <v>-10.75449575</v>
      </c>
      <c r="E174" s="2">
        <v>4.4257476440000003</v>
      </c>
      <c r="F174" s="2">
        <v>4.4257477740000004</v>
      </c>
      <c r="G174" s="2">
        <v>4.4257479630000001</v>
      </c>
      <c r="H174" s="2">
        <f>86.69/4</f>
        <v>21.672499999999999</v>
      </c>
      <c r="I174" s="2">
        <v>1099</v>
      </c>
      <c r="J174" s="2">
        <f>I174*4</f>
        <v>4396</v>
      </c>
      <c r="K174" s="2">
        <v>5</v>
      </c>
      <c r="L174" s="2">
        <v>7</v>
      </c>
      <c r="M174" s="2">
        <v>9</v>
      </c>
      <c r="N174" s="2">
        <v>175</v>
      </c>
      <c r="O174" s="2">
        <v>176</v>
      </c>
      <c r="P174" s="2">
        <v>177</v>
      </c>
      <c r="Q174" s="2">
        <v>3</v>
      </c>
      <c r="R174" s="2">
        <v>3</v>
      </c>
      <c r="S174" s="2">
        <v>2</v>
      </c>
    </row>
    <row r="175" spans="1:19" x14ac:dyDescent="0.2">
      <c r="A175" t="s">
        <v>160</v>
      </c>
      <c r="B175" t="s">
        <v>134</v>
      </c>
      <c r="C175" s="9"/>
      <c r="D175" s="16" t="s">
        <v>172</v>
      </c>
    </row>
    <row r="176" spans="1:19" x14ac:dyDescent="0.2">
      <c r="A176" t="s">
        <v>176</v>
      </c>
      <c r="B176" t="s">
        <v>134</v>
      </c>
      <c r="C176" s="9" t="s">
        <v>131</v>
      </c>
      <c r="D176" s="16"/>
    </row>
    <row r="177" spans="1:19" x14ac:dyDescent="0.2">
      <c r="C177" s="9"/>
      <c r="D177" s="9"/>
    </row>
    <row r="178" spans="1:19" x14ac:dyDescent="0.2">
      <c r="A178" t="s">
        <v>37</v>
      </c>
      <c r="C178" s="9"/>
      <c r="D178" s="9"/>
    </row>
    <row r="179" spans="1:19" x14ac:dyDescent="0.2">
      <c r="A179" t="s">
        <v>139</v>
      </c>
      <c r="C179" s="9">
        <v>-43.018869000000002</v>
      </c>
      <c r="D179" s="1">
        <f>C179/4</f>
        <v>-10.754717250000001</v>
      </c>
      <c r="E179">
        <v>4.4260408770000002</v>
      </c>
      <c r="F179">
        <v>4.4260413239999998</v>
      </c>
      <c r="G179">
        <v>4.4260414910000003</v>
      </c>
      <c r="H179">
        <f>86.71/4</f>
        <v>21.677499999999998</v>
      </c>
      <c r="I179">
        <v>1376</v>
      </c>
      <c r="J179">
        <f>I179*4</f>
        <v>5504</v>
      </c>
      <c r="K179">
        <v>14</v>
      </c>
      <c r="L179">
        <v>12</v>
      </c>
      <c r="M179">
        <v>12</v>
      </c>
      <c r="N179">
        <v>170</v>
      </c>
      <c r="O179">
        <v>170</v>
      </c>
      <c r="P179">
        <v>169</v>
      </c>
      <c r="Q179">
        <v>2</v>
      </c>
      <c r="R179">
        <v>3</v>
      </c>
      <c r="S179">
        <v>3</v>
      </c>
    </row>
    <row r="180" spans="1:19" x14ac:dyDescent="0.2">
      <c r="C180" s="9"/>
      <c r="D180" s="9"/>
    </row>
    <row r="182" spans="1:19" x14ac:dyDescent="0.2">
      <c r="A182" t="s">
        <v>126</v>
      </c>
      <c r="I182" t="s">
        <v>130</v>
      </c>
    </row>
    <row r="183" spans="1:19" x14ac:dyDescent="0.2">
      <c r="A183" t="s">
        <v>127</v>
      </c>
      <c r="C183" s="9">
        <v>-87.465056000000004</v>
      </c>
      <c r="D183" s="1">
        <f>C183/8</f>
        <v>-10.933132000000001</v>
      </c>
      <c r="E183">
        <v>5.3502175630000002</v>
      </c>
      <c r="F183">
        <v>5.3502175630000002</v>
      </c>
      <c r="G183">
        <v>5.3502175630000002</v>
      </c>
      <c r="H183">
        <f>153.15/8</f>
        <v>19.143750000000001</v>
      </c>
      <c r="I183">
        <v>84</v>
      </c>
      <c r="J183">
        <f>I183*8</f>
        <v>672</v>
      </c>
    </row>
    <row r="184" spans="1:19" x14ac:dyDescent="0.2">
      <c r="A184" s="2" t="s">
        <v>128</v>
      </c>
      <c r="B184" s="2"/>
      <c r="C184" s="13">
        <v>-87.464950000000002</v>
      </c>
      <c r="D184" s="3">
        <f>C184/8</f>
        <v>-10.93311875</v>
      </c>
      <c r="E184" s="2">
        <v>5.3457378819999999</v>
      </c>
      <c r="F184" s="2">
        <v>5.3457917760000004</v>
      </c>
      <c r="G184" s="2">
        <v>5.3458857169999998</v>
      </c>
      <c r="H184" s="2">
        <f>152.77/8</f>
        <v>19.096250000000001</v>
      </c>
      <c r="I184" s="2">
        <v>504</v>
      </c>
      <c r="J184" s="2">
        <f>I184*8</f>
        <v>4032</v>
      </c>
      <c r="K184" s="2">
        <v>506</v>
      </c>
      <c r="L184" s="2">
        <v>505</v>
      </c>
      <c r="M184" s="2">
        <v>506</v>
      </c>
      <c r="N184" s="2">
        <v>-2.2000000000000002</v>
      </c>
      <c r="O184" s="2">
        <v>-2.9</v>
      </c>
      <c r="P184" s="2">
        <v>-1.7</v>
      </c>
      <c r="Q184" s="2">
        <v>156</v>
      </c>
      <c r="R184" s="2">
        <v>156</v>
      </c>
      <c r="S184" s="2">
        <v>156</v>
      </c>
    </row>
    <row r="185" spans="1:19" x14ac:dyDescent="0.2">
      <c r="A185" s="2"/>
      <c r="B185" s="2"/>
      <c r="C185" s="13"/>
      <c r="D185" s="3"/>
      <c r="E185" s="2"/>
      <c r="F185" s="2"/>
      <c r="G185" s="2"/>
      <c r="H185" s="2"/>
      <c r="I185" s="2"/>
      <c r="J185" s="2" t="s">
        <v>149</v>
      </c>
      <c r="K185" s="2">
        <v>497</v>
      </c>
      <c r="L185" s="2">
        <v>495</v>
      </c>
      <c r="M185" s="2">
        <v>493</v>
      </c>
      <c r="N185" s="2">
        <v>4</v>
      </c>
      <c r="O185" s="2">
        <v>5</v>
      </c>
      <c r="P185" s="2">
        <v>4</v>
      </c>
      <c r="Q185" s="2">
        <v>147</v>
      </c>
      <c r="R185" s="2">
        <v>147</v>
      </c>
      <c r="S185" s="2">
        <v>147</v>
      </c>
    </row>
    <row r="186" spans="1:19" x14ac:dyDescent="0.2">
      <c r="A186" t="s">
        <v>133</v>
      </c>
      <c r="C186" s="9">
        <v>-87.459575000000001</v>
      </c>
      <c r="D186" s="1">
        <f>C186/8</f>
        <v>-10.932446875</v>
      </c>
      <c r="E186">
        <v>5.3488543819999999</v>
      </c>
      <c r="F186">
        <v>5.3488543819999999</v>
      </c>
      <c r="G186">
        <v>5.3488543819999999</v>
      </c>
      <c r="H186">
        <f>153.03/8</f>
        <v>19.12875</v>
      </c>
      <c r="I186">
        <v>286</v>
      </c>
      <c r="J186">
        <f>I186*8</f>
        <v>2288</v>
      </c>
      <c r="K186">
        <v>496</v>
      </c>
      <c r="L186">
        <v>496</v>
      </c>
      <c r="M186">
        <v>496</v>
      </c>
      <c r="N186">
        <v>6</v>
      </c>
      <c r="O186">
        <v>6</v>
      </c>
      <c r="P186">
        <v>6</v>
      </c>
      <c r="Q186">
        <v>150</v>
      </c>
      <c r="R186">
        <v>150</v>
      </c>
      <c r="S186">
        <v>150</v>
      </c>
    </row>
    <row r="187" spans="1:19" x14ac:dyDescent="0.2">
      <c r="A187" t="s">
        <v>147</v>
      </c>
      <c r="C187" s="9">
        <v>-87.458946999999995</v>
      </c>
      <c r="D187" s="1">
        <f>C187/8</f>
        <v>-10.932368374999999</v>
      </c>
      <c r="E187">
        <v>5.3488552450000002</v>
      </c>
      <c r="F187">
        <v>5.3488552450000002</v>
      </c>
      <c r="G187">
        <v>5.3488552450000002</v>
      </c>
      <c r="H187">
        <f>153.03/8</f>
        <v>19.12875</v>
      </c>
      <c r="I187">
        <v>286</v>
      </c>
      <c r="J187">
        <f>I187*8</f>
        <v>2288</v>
      </c>
      <c r="K187">
        <v>497</v>
      </c>
      <c r="L187">
        <v>497</v>
      </c>
      <c r="M187">
        <v>497</v>
      </c>
      <c r="N187">
        <v>10</v>
      </c>
      <c r="O187">
        <v>10</v>
      </c>
      <c r="P187">
        <v>10</v>
      </c>
      <c r="Q187">
        <v>151</v>
      </c>
      <c r="R187">
        <v>151</v>
      </c>
      <c r="S187">
        <v>151</v>
      </c>
    </row>
    <row r="189" spans="1:19" x14ac:dyDescent="0.2">
      <c r="A189" t="s">
        <v>37</v>
      </c>
    </row>
    <row r="190" spans="1:19" x14ac:dyDescent="0.2">
      <c r="A190" t="s">
        <v>128</v>
      </c>
      <c r="C190" s="9">
        <v>-0.87464938999999997</v>
      </c>
      <c r="D190" s="1">
        <f>C190/8</f>
        <v>-0.10933117375</v>
      </c>
      <c r="E190">
        <v>5.3454611339999998</v>
      </c>
      <c r="F190">
        <v>5.3455714929999996</v>
      </c>
      <c r="G190">
        <v>5.3456186289999996</v>
      </c>
      <c r="H190">
        <f>152.75/8</f>
        <v>19.09375</v>
      </c>
      <c r="I190">
        <v>504</v>
      </c>
      <c r="J190">
        <f>I190*8</f>
        <v>4032</v>
      </c>
      <c r="K190">
        <v>505</v>
      </c>
      <c r="L190">
        <v>505</v>
      </c>
      <c r="M190">
        <v>505</v>
      </c>
      <c r="N190">
        <v>-2</v>
      </c>
      <c r="O190">
        <v>-3</v>
      </c>
      <c r="P190">
        <v>-2</v>
      </c>
      <c r="Q190">
        <v>156</v>
      </c>
      <c r="R190">
        <v>156</v>
      </c>
      <c r="S190">
        <v>156</v>
      </c>
    </row>
    <row r="191" spans="1:19" x14ac:dyDescent="0.2">
      <c r="A191" t="s">
        <v>147</v>
      </c>
      <c r="I191">
        <v>286</v>
      </c>
      <c r="J191">
        <f>I191*8</f>
        <v>2288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7A17-6543-1E4A-8EE9-AA6E076A17AB}">
  <dimension ref="A4:U16"/>
  <sheetViews>
    <sheetView tabSelected="1" workbookViewId="0">
      <selection activeCell="B18" sqref="B18"/>
    </sheetView>
  </sheetViews>
  <sheetFormatPr baseColWidth="10" defaultRowHeight="16" x14ac:dyDescent="0.2"/>
  <sheetData>
    <row r="4" spans="1:21" x14ac:dyDescent="0.2">
      <c r="B4" t="s">
        <v>42</v>
      </c>
      <c r="D4" t="s">
        <v>2</v>
      </c>
      <c r="E4" t="s">
        <v>3</v>
      </c>
      <c r="F4" t="s">
        <v>5</v>
      </c>
      <c r="G4" t="s">
        <v>67</v>
      </c>
      <c r="H4" t="s">
        <v>57</v>
      </c>
      <c r="I4" t="s">
        <v>4</v>
      </c>
      <c r="J4" t="s">
        <v>68</v>
      </c>
      <c r="K4" t="s">
        <v>100</v>
      </c>
    </row>
    <row r="5" spans="1:21" x14ac:dyDescent="0.2">
      <c r="A5" t="s">
        <v>17</v>
      </c>
      <c r="B5" t="s">
        <v>179</v>
      </c>
      <c r="C5" t="s">
        <v>180</v>
      </c>
      <c r="D5" s="1">
        <v>-336.57267999999999</v>
      </c>
      <c r="E5" s="1">
        <f>D5/4</f>
        <v>-84.143169999999998</v>
      </c>
      <c r="I5">
        <f>F5*G5*H5</f>
        <v>0</v>
      </c>
      <c r="J5">
        <f>I5/4</f>
        <v>0</v>
      </c>
    </row>
    <row r="6" spans="1:21" x14ac:dyDescent="0.2">
      <c r="B6" t="s">
        <v>182</v>
      </c>
      <c r="C6" t="s">
        <v>183</v>
      </c>
      <c r="D6" s="9">
        <v>-402.95008000000001</v>
      </c>
      <c r="E6" s="1">
        <f t="shared" ref="E6:E7" si="0">D6/4</f>
        <v>-100.73752</v>
      </c>
      <c r="I6">
        <f t="shared" ref="I6:I7" si="1">F6*G6*H6</f>
        <v>0</v>
      </c>
      <c r="J6">
        <f t="shared" ref="J6:J7" si="2">I6/4</f>
        <v>0</v>
      </c>
    </row>
    <row r="7" spans="1:21" x14ac:dyDescent="0.2">
      <c r="B7" t="s">
        <v>184</v>
      </c>
      <c r="C7" t="s">
        <v>185</v>
      </c>
      <c r="D7" s="9">
        <v>-413.35244999999998</v>
      </c>
      <c r="E7" s="1">
        <f t="shared" si="0"/>
        <v>-103.33811249999999</v>
      </c>
      <c r="I7">
        <f t="shared" si="1"/>
        <v>0</v>
      </c>
      <c r="J7">
        <f t="shared" si="2"/>
        <v>0</v>
      </c>
    </row>
    <row r="8" spans="1:21" x14ac:dyDescent="0.2">
      <c r="B8" t="s">
        <v>186</v>
      </c>
      <c r="C8" s="14" t="s">
        <v>187</v>
      </c>
    </row>
    <row r="9" spans="1:21" x14ac:dyDescent="0.2">
      <c r="B9" t="s">
        <v>2</v>
      </c>
    </row>
    <row r="10" spans="1:21" x14ac:dyDescent="0.2">
      <c r="M10">
        <v>11</v>
      </c>
      <c r="N10">
        <v>22</v>
      </c>
      <c r="O10">
        <v>33</v>
      </c>
      <c r="P10">
        <v>12</v>
      </c>
      <c r="Q10">
        <v>13</v>
      </c>
      <c r="R10">
        <v>23</v>
      </c>
      <c r="S10">
        <v>66</v>
      </c>
      <c r="T10">
        <v>55</v>
      </c>
      <c r="U10">
        <v>44</v>
      </c>
    </row>
    <row r="11" spans="1:21" x14ac:dyDescent="0.2">
      <c r="D11" t="s">
        <v>2</v>
      </c>
      <c r="E11" t="s">
        <v>3</v>
      </c>
      <c r="F11" t="s">
        <v>5</v>
      </c>
      <c r="G11" t="s">
        <v>67</v>
      </c>
      <c r="H11" t="s">
        <v>57</v>
      </c>
      <c r="I11" t="s">
        <v>4</v>
      </c>
      <c r="J11" t="s">
        <v>68</v>
      </c>
      <c r="K11" t="s">
        <v>100</v>
      </c>
      <c r="L11" t="s">
        <v>189</v>
      </c>
      <c r="M11" t="s">
        <v>190</v>
      </c>
      <c r="N11" t="s">
        <v>191</v>
      </c>
      <c r="O11" t="s">
        <v>192</v>
      </c>
      <c r="S11" t="s">
        <v>193</v>
      </c>
      <c r="T11" t="s">
        <v>194</v>
      </c>
      <c r="U11" t="s">
        <v>195</v>
      </c>
    </row>
    <row r="12" spans="1:21" x14ac:dyDescent="0.2">
      <c r="A12" t="s">
        <v>181</v>
      </c>
      <c r="B12" t="s">
        <v>179</v>
      </c>
      <c r="C12" t="s">
        <v>180</v>
      </c>
      <c r="D12" s="9">
        <v>-44.595773000000001</v>
      </c>
      <c r="E12" s="1">
        <f>D12/4</f>
        <v>-11.14894325</v>
      </c>
      <c r="F12">
        <v>2.8142982029999999</v>
      </c>
      <c r="G12">
        <v>5.8371299109999999</v>
      </c>
      <c r="H12">
        <v>4.8946359939999997</v>
      </c>
      <c r="I12">
        <f>F12*G12*H12</f>
        <v>80.406261872027386</v>
      </c>
      <c r="J12">
        <f>I12/4</f>
        <v>20.101565468006847</v>
      </c>
      <c r="K12">
        <v>0</v>
      </c>
      <c r="L12">
        <v>424</v>
      </c>
    </row>
    <row r="13" spans="1:21" x14ac:dyDescent="0.2">
      <c r="B13" t="s">
        <v>182</v>
      </c>
      <c r="C13" t="s">
        <v>183</v>
      </c>
      <c r="D13" s="9">
        <v>-44.557743000000002</v>
      </c>
      <c r="E13" s="1">
        <f>D13/4</f>
        <v>-11.139435750000001</v>
      </c>
      <c r="F13">
        <v>2.807252058</v>
      </c>
      <c r="G13">
        <v>5.8368805630000002</v>
      </c>
      <c r="H13">
        <v>4.9017619029999997</v>
      </c>
      <c r="I13">
        <f>F13*G13*H13</f>
        <v>80.318285195570866</v>
      </c>
      <c r="J13">
        <f>I13/4</f>
        <v>20.079571298892716</v>
      </c>
      <c r="K13">
        <v>0</v>
      </c>
      <c r="L13">
        <v>1238</v>
      </c>
    </row>
    <row r="14" spans="1:21" x14ac:dyDescent="0.2">
      <c r="B14" t="s">
        <v>184</v>
      </c>
      <c r="C14" t="s">
        <v>185</v>
      </c>
      <c r="D14" s="9">
        <v>-44.559061999999997</v>
      </c>
      <c r="E14" s="1">
        <f t="shared" ref="E14:E16" si="3">D14/4</f>
        <v>-11.139765499999999</v>
      </c>
      <c r="F14">
        <v>2.8053789899999999</v>
      </c>
      <c r="G14">
        <v>5.8333676089999997</v>
      </c>
      <c r="H14">
        <v>4.9073172850000004</v>
      </c>
      <c r="I14">
        <f t="shared" ref="I14:I16" si="4">F14*G14*H14</f>
        <v>80.307299919337979</v>
      </c>
      <c r="J14">
        <f t="shared" ref="J14:J16" si="5">I14/4</f>
        <v>20.076824979834495</v>
      </c>
      <c r="K14">
        <v>0</v>
      </c>
      <c r="L14">
        <v>868</v>
      </c>
    </row>
    <row r="15" spans="1:21" x14ac:dyDescent="0.2">
      <c r="B15" s="2" t="s">
        <v>186</v>
      </c>
      <c r="C15" s="2" t="s">
        <v>187</v>
      </c>
      <c r="D15" s="13">
        <v>-44.557257999999997</v>
      </c>
      <c r="E15" s="3">
        <f t="shared" si="3"/>
        <v>-11.139314499999999</v>
      </c>
      <c r="F15" s="2">
        <v>2.80663478</v>
      </c>
      <c r="G15" s="2">
        <v>5.8354164419999996</v>
      </c>
      <c r="H15" s="2">
        <v>4.9020640100000001</v>
      </c>
      <c r="I15" s="2">
        <f t="shared" si="4"/>
        <v>80.285429549073257</v>
      </c>
      <c r="J15" s="2">
        <f t="shared" si="5"/>
        <v>20.071357387268314</v>
      </c>
      <c r="K15" s="14">
        <v>0</v>
      </c>
      <c r="L15" s="14">
        <v>1688</v>
      </c>
      <c r="M15" s="14">
        <v>291.10000000000002</v>
      </c>
      <c r="N15" s="14">
        <v>229.8</v>
      </c>
      <c r="O15" s="14">
        <v>362.5</v>
      </c>
      <c r="P15" s="14">
        <v>56.37</v>
      </c>
      <c r="Q15" s="14">
        <v>22.89</v>
      </c>
      <c r="R15" s="14">
        <v>137.5</v>
      </c>
      <c r="S15" s="14">
        <v>100.3</v>
      </c>
      <c r="T15" s="14">
        <v>152.6</v>
      </c>
      <c r="U15" s="14">
        <v>125.3</v>
      </c>
    </row>
    <row r="16" spans="1:21" x14ac:dyDescent="0.2">
      <c r="B16" t="s">
        <v>2</v>
      </c>
      <c r="C16" t="s">
        <v>188</v>
      </c>
      <c r="D16" s="9">
        <v>-44.55724</v>
      </c>
      <c r="E16" s="1">
        <f t="shared" si="3"/>
        <v>-11.13931</v>
      </c>
      <c r="F16">
        <v>2.80663478</v>
      </c>
      <c r="G16">
        <v>5.8354164419999996</v>
      </c>
      <c r="H16">
        <v>4.9020640100000001</v>
      </c>
      <c r="I16">
        <f t="shared" si="4"/>
        <v>80.285429549073257</v>
      </c>
      <c r="J16">
        <f t="shared" si="5"/>
        <v>20.071357387268314</v>
      </c>
      <c r="K16" s="14">
        <v>-1E-4</v>
      </c>
      <c r="L16" s="14">
        <v>1688</v>
      </c>
      <c r="M16" s="14">
        <v>295.60000000000002</v>
      </c>
      <c r="N16" s="14">
        <v>228</v>
      </c>
      <c r="O16" s="14">
        <v>366.1</v>
      </c>
      <c r="P16" s="14">
        <v>54.7</v>
      </c>
      <c r="Q16" s="14">
        <v>25</v>
      </c>
      <c r="R16" s="14">
        <v>138.9</v>
      </c>
      <c r="S16" s="14">
        <v>100.3</v>
      </c>
      <c r="T16" s="14">
        <v>152.4</v>
      </c>
      <c r="U16" s="14">
        <v>125.1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</cp:lastModifiedBy>
  <dcterms:created xsi:type="dcterms:W3CDTF">2016-03-10T18:50:45Z</dcterms:created>
  <dcterms:modified xsi:type="dcterms:W3CDTF">2018-10-11T21:04:32Z</dcterms:modified>
</cp:coreProperties>
</file>