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4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3_ncr:1_{5C15233C-A49E-4348-9E00-E1F7A2C3E2B5}" xr6:coauthVersionLast="34" xr6:coauthVersionMax="34" xr10:uidLastSave="{00000000-0000-0000-0000-000000000000}"/>
  <bookViews>
    <workbookView xWindow="800" yWindow="560" windowWidth="37260" windowHeight="24460" tabRatio="500" xr2:uid="{00000000-000D-0000-FFFF-FFFF00000000}"/>
  </bookViews>
  <sheets>
    <sheet name="Sheet1" sheetId="1" r:id="rId1"/>
    <sheet name="ELASTIC constants U MEAM" sheetId="2" r:id="rId2"/>
    <sheet name="UZr MEAM elastic" sheetId="3" r:id="rId3"/>
    <sheet name="UMo adp elastic" sheetId="4" r:id="rId4"/>
    <sheet name="UMo Volumes" sheetId="5" r:id="rId5"/>
  </sheets>
  <calcPr calcId="1790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2" i="1" l="1"/>
  <c r="H255" i="1"/>
  <c r="J255" i="1"/>
  <c r="L255" i="1"/>
  <c r="D263" i="1"/>
  <c r="D254" i="1"/>
  <c r="B254" i="1"/>
  <c r="D256" i="1"/>
  <c r="B255" i="1"/>
  <c r="D255" i="1"/>
  <c r="F255" i="1"/>
  <c r="D260" i="1"/>
  <c r="D259" i="1"/>
  <c r="N267" i="1"/>
  <c r="O112" i="1"/>
  <c r="N112" i="1"/>
  <c r="O114" i="1"/>
  <c r="R112" i="1"/>
  <c r="Q112" i="1"/>
  <c r="R114" i="1"/>
  <c r="P112" i="1"/>
  <c r="P114" i="1"/>
  <c r="J254" i="1"/>
  <c r="H254" i="1"/>
  <c r="J256" i="1"/>
  <c r="AD248" i="1"/>
  <c r="AK250" i="1"/>
  <c r="AG253" i="1"/>
  <c r="AG254" i="1"/>
  <c r="AG255" i="1"/>
  <c r="AF253" i="1"/>
  <c r="AF254" i="1"/>
  <c r="AF255" i="1"/>
  <c r="E210" i="1"/>
  <c r="N188" i="1"/>
  <c r="N202" i="1"/>
  <c r="N204" i="1"/>
  <c r="N171" i="1"/>
  <c r="O211" i="1"/>
  <c r="P188" i="1"/>
  <c r="P171" i="1"/>
  <c r="P211" i="1"/>
  <c r="U216" i="1"/>
  <c r="R188" i="1"/>
  <c r="R171" i="1"/>
  <c r="T188" i="1"/>
  <c r="T171" i="1"/>
  <c r="R211" i="1"/>
  <c r="W216" i="1"/>
  <c r="V188" i="1"/>
  <c r="V171" i="1"/>
  <c r="S211" i="1"/>
  <c r="X216" i="1"/>
  <c r="Z169" i="1"/>
  <c r="Z188" i="1"/>
  <c r="Z171" i="1"/>
  <c r="AA211" i="1"/>
  <c r="AF216" i="1"/>
  <c r="AB169" i="1"/>
  <c r="AB188" i="1"/>
  <c r="AB171" i="1"/>
  <c r="AB211" i="1"/>
  <c r="AB217" i="1"/>
  <c r="AB220" i="1"/>
  <c r="AD169" i="1"/>
  <c r="AD188" i="1"/>
  <c r="AF169" i="1"/>
  <c r="AF188" i="1"/>
  <c r="AF202" i="1"/>
  <c r="AF204" i="1"/>
  <c r="AF171" i="1"/>
  <c r="AD211" i="1"/>
  <c r="AH169" i="1"/>
  <c r="AH188" i="1"/>
  <c r="AH202" i="1"/>
  <c r="AH204" i="1"/>
  <c r="AH171" i="1"/>
  <c r="AE211" i="1"/>
  <c r="AJ216" i="1"/>
  <c r="AG243" i="1"/>
  <c r="AF243" i="1"/>
  <c r="AH211" i="1"/>
  <c r="AH214" i="1"/>
  <c r="AC217" i="1"/>
  <c r="AD217" i="1"/>
  <c r="AE217" i="1"/>
  <c r="AA217" i="1"/>
  <c r="AG214" i="1"/>
  <c r="AI214" i="1"/>
  <c r="AJ214" i="1"/>
  <c r="AF214" i="1"/>
  <c r="AG211" i="1"/>
  <c r="AI211" i="1"/>
  <c r="AJ211" i="1"/>
  <c r="AF211" i="1"/>
  <c r="V211" i="1"/>
  <c r="P217" i="1"/>
  <c r="V214" i="1"/>
  <c r="Q217" i="1"/>
  <c r="R217" i="1"/>
  <c r="S217" i="1"/>
  <c r="X211" i="1"/>
  <c r="X214" i="1"/>
  <c r="X221" i="1"/>
  <c r="O217" i="1"/>
  <c r="T211" i="1"/>
  <c r="T214" i="1"/>
  <c r="T221" i="1"/>
  <c r="J211" i="1"/>
  <c r="E217" i="1"/>
  <c r="J214" i="1"/>
  <c r="J223" i="1"/>
  <c r="D217" i="1"/>
  <c r="D221" i="1"/>
  <c r="E221" i="1"/>
  <c r="F217" i="1"/>
  <c r="F221" i="1"/>
  <c r="G217" i="1"/>
  <c r="C217" i="1"/>
  <c r="B203" i="1"/>
  <c r="B189" i="1"/>
  <c r="H211" i="1"/>
  <c r="H214" i="1"/>
  <c r="H221" i="1"/>
  <c r="L211" i="1"/>
  <c r="L214" i="1"/>
  <c r="H219" i="1"/>
  <c r="I219" i="1"/>
  <c r="J219" i="1"/>
  <c r="K219" i="1"/>
  <c r="L219" i="1"/>
  <c r="Z203" i="1"/>
  <c r="Z189" i="1"/>
  <c r="Z170" i="1"/>
  <c r="Z207" i="1"/>
  <c r="AB203" i="1"/>
  <c r="AB189" i="1"/>
  <c r="AB170" i="1"/>
  <c r="AB172" i="1"/>
  <c r="AB207" i="1"/>
  <c r="AD203" i="1"/>
  <c r="AD189" i="1"/>
  <c r="AD170" i="1"/>
  <c r="AF203" i="1"/>
  <c r="AF189" i="1"/>
  <c r="AF170" i="1"/>
  <c r="AF207" i="1"/>
  <c r="AH203" i="1"/>
  <c r="AH189" i="1"/>
  <c r="AH170" i="1"/>
  <c r="AH172" i="1"/>
  <c r="N203" i="1"/>
  <c r="N189" i="1"/>
  <c r="N170" i="1"/>
  <c r="N172" i="1"/>
  <c r="N207" i="1"/>
  <c r="P203" i="1"/>
  <c r="P189" i="1"/>
  <c r="P170" i="1"/>
  <c r="P172" i="1"/>
  <c r="R203" i="1"/>
  <c r="R189" i="1"/>
  <c r="R170" i="1"/>
  <c r="R207" i="1"/>
  <c r="R172" i="1"/>
  <c r="T203" i="1"/>
  <c r="T189" i="1"/>
  <c r="T170" i="1"/>
  <c r="V203" i="1"/>
  <c r="V189" i="1"/>
  <c r="V170" i="1"/>
  <c r="V172" i="1"/>
  <c r="B170" i="1"/>
  <c r="D203" i="1"/>
  <c r="D189" i="1"/>
  <c r="D170" i="1"/>
  <c r="D172" i="1"/>
  <c r="D207" i="1"/>
  <c r="F203" i="1"/>
  <c r="F189" i="1"/>
  <c r="F170" i="1"/>
  <c r="F172" i="1"/>
  <c r="F207" i="1"/>
  <c r="H203" i="1"/>
  <c r="H189" i="1"/>
  <c r="H170" i="1"/>
  <c r="H172" i="1"/>
  <c r="H207" i="1"/>
  <c r="J203" i="1"/>
  <c r="J189" i="1"/>
  <c r="J170" i="1"/>
  <c r="J207" i="1"/>
  <c r="J172" i="1"/>
  <c r="C16" i="3"/>
  <c r="D16" i="3"/>
  <c r="E16" i="3"/>
  <c r="F16" i="3"/>
  <c r="H16" i="3"/>
  <c r="R17" i="5"/>
  <c r="R18" i="5"/>
  <c r="N17" i="5"/>
  <c r="N18" i="5"/>
  <c r="B17" i="5"/>
  <c r="B18" i="5"/>
  <c r="L17" i="5"/>
  <c r="H17" i="5"/>
  <c r="L20" i="5"/>
  <c r="R20" i="5"/>
  <c r="L22" i="5"/>
  <c r="H22" i="5"/>
  <c r="L23" i="5"/>
  <c r="L24" i="5"/>
  <c r="R22" i="5"/>
  <c r="N22" i="5"/>
  <c r="Q17" i="5"/>
  <c r="Q22" i="5"/>
  <c r="P17" i="5"/>
  <c r="P22" i="5"/>
  <c r="O17" i="5"/>
  <c r="O22" i="5"/>
  <c r="R19" i="5"/>
  <c r="Q19" i="5"/>
  <c r="P19" i="5"/>
  <c r="O19" i="5"/>
  <c r="N19" i="5"/>
  <c r="L18" i="5"/>
  <c r="H18" i="5"/>
  <c r="K17" i="5"/>
  <c r="K22" i="5"/>
  <c r="J17" i="5"/>
  <c r="J22" i="5"/>
  <c r="I17" i="5"/>
  <c r="I22" i="5"/>
  <c r="L19" i="5"/>
  <c r="K19" i="5"/>
  <c r="J19" i="5"/>
  <c r="I19" i="5"/>
  <c r="H19" i="5"/>
  <c r="B22" i="5"/>
  <c r="C17" i="5"/>
  <c r="C18" i="5"/>
  <c r="D17" i="5"/>
  <c r="D22" i="5"/>
  <c r="E17" i="5"/>
  <c r="E22" i="5"/>
  <c r="F17" i="5"/>
  <c r="F20" i="5"/>
  <c r="C19" i="5"/>
  <c r="D19" i="5"/>
  <c r="E19" i="5"/>
  <c r="F19" i="5"/>
  <c r="B19" i="5"/>
  <c r="U211" i="1"/>
  <c r="U214" i="1"/>
  <c r="W211" i="1"/>
  <c r="W214" i="1"/>
  <c r="T213" i="1"/>
  <c r="T218" i="1"/>
  <c r="I216" i="1"/>
  <c r="J216" i="1"/>
  <c r="K216" i="1"/>
  <c r="L216" i="1"/>
  <c r="H216" i="1"/>
  <c r="B202" i="1"/>
  <c r="B188" i="1"/>
  <c r="B204" i="1"/>
  <c r="B169" i="1"/>
  <c r="M267" i="1"/>
  <c r="I211" i="1"/>
  <c r="I214" i="1"/>
  <c r="K211" i="1"/>
  <c r="K214" i="1"/>
  <c r="AG218" i="1"/>
  <c r="AH218" i="1"/>
  <c r="AI218" i="1"/>
  <c r="AJ218" i="1"/>
  <c r="AF218" i="1"/>
  <c r="AC221" i="1"/>
  <c r="AD221" i="1"/>
  <c r="AE221" i="1"/>
  <c r="X218" i="1"/>
  <c r="U218" i="1"/>
  <c r="V218" i="1"/>
  <c r="W218" i="1"/>
  <c r="AE222" i="1"/>
  <c r="AD222" i="1"/>
  <c r="AC222" i="1"/>
  <c r="L254" i="1"/>
  <c r="E254" i="1"/>
  <c r="C254" i="1"/>
  <c r="G254" i="1"/>
  <c r="G255" i="1"/>
  <c r="K254" i="1"/>
  <c r="I254" i="1"/>
  <c r="K255" i="1"/>
  <c r="M254" i="1"/>
  <c r="M255" i="1"/>
  <c r="M260" i="1"/>
  <c r="AF213" i="1"/>
  <c r="AJ213" i="1"/>
  <c r="AI213" i="1"/>
  <c r="AH213" i="1"/>
  <c r="AG213" i="1"/>
  <c r="X213" i="1"/>
  <c r="U213" i="1"/>
  <c r="V213" i="1"/>
  <c r="W213" i="1"/>
  <c r="I213" i="1"/>
  <c r="J213" i="1"/>
  <c r="K213" i="1"/>
  <c r="L213" i="1"/>
  <c r="H213" i="1"/>
  <c r="I241" i="1"/>
  <c r="M277" i="1"/>
  <c r="C241" i="1"/>
  <c r="F257" i="1"/>
  <c r="D257" i="1"/>
  <c r="F254" i="1"/>
  <c r="F256" i="1"/>
  <c r="L257" i="1"/>
  <c r="J257" i="1"/>
  <c r="S112" i="1"/>
  <c r="S114" i="1"/>
  <c r="P111" i="1"/>
  <c r="N111" i="1"/>
  <c r="P113" i="1"/>
  <c r="S111" i="1"/>
  <c r="Q111" i="1"/>
  <c r="K119" i="1"/>
  <c r="R111" i="1"/>
  <c r="O111" i="1"/>
  <c r="H106" i="1"/>
  <c r="H107" i="1"/>
  <c r="J107" i="1"/>
  <c r="G107" i="1"/>
  <c r="M20" i="1"/>
  <c r="M21" i="1"/>
  <c r="O21" i="1"/>
  <c r="J169" i="1"/>
  <c r="J188" i="1"/>
  <c r="J173" i="1"/>
  <c r="AD202" i="1"/>
  <c r="AB202" i="1"/>
  <c r="Z202" i="1"/>
  <c r="V202" i="1"/>
  <c r="T202" i="1"/>
  <c r="R202" i="1"/>
  <c r="P202" i="1"/>
  <c r="J202" i="1"/>
  <c r="J204" i="1"/>
  <c r="H202" i="1"/>
  <c r="H188" i="1"/>
  <c r="H204" i="1"/>
  <c r="H169" i="1"/>
  <c r="H173" i="1"/>
  <c r="H206" i="1"/>
  <c r="F202" i="1"/>
  <c r="F188" i="1"/>
  <c r="F204" i="1"/>
  <c r="F169" i="1"/>
  <c r="F173" i="1"/>
  <c r="D202" i="1"/>
  <c r="D188" i="1"/>
  <c r="D204" i="1"/>
  <c r="D169" i="1"/>
  <c r="D173" i="1"/>
  <c r="D206" i="1"/>
  <c r="AI188" i="1"/>
  <c r="AI169" i="1"/>
  <c r="AI170" i="1"/>
  <c r="AG188" i="1"/>
  <c r="AG169" i="1"/>
  <c r="AE188" i="1"/>
  <c r="AE169" i="1"/>
  <c r="AE170" i="1"/>
  <c r="AC188" i="1"/>
  <c r="AC169" i="1"/>
  <c r="AC170" i="1"/>
  <c r="AA169" i="1"/>
  <c r="AA188" i="1"/>
  <c r="AA170" i="1"/>
  <c r="AA202" i="1"/>
  <c r="AA203" i="1"/>
  <c r="W188" i="1"/>
  <c r="W169" i="1"/>
  <c r="W170" i="1"/>
  <c r="U169" i="1"/>
  <c r="U188" i="1"/>
  <c r="U170" i="1"/>
  <c r="S169" i="1"/>
  <c r="S188" i="1"/>
  <c r="S202" i="1"/>
  <c r="S203" i="1"/>
  <c r="S170" i="1"/>
  <c r="Q169" i="1"/>
  <c r="Q188" i="1"/>
  <c r="Q202" i="1"/>
  <c r="Q203" i="1"/>
  <c r="Q170" i="1"/>
  <c r="O169" i="1"/>
  <c r="O188" i="1"/>
  <c r="O170" i="1"/>
  <c r="AI202" i="1"/>
  <c r="AG202" i="1"/>
  <c r="AE202" i="1"/>
  <c r="AE203" i="1"/>
  <c r="AC202" i="1"/>
  <c r="AC203" i="1"/>
  <c r="W202" i="1"/>
  <c r="U202" i="1"/>
  <c r="O202" i="1"/>
  <c r="V169" i="1"/>
  <c r="T169" i="1"/>
  <c r="R169" i="1"/>
  <c r="P169" i="1"/>
  <c r="N169" i="1"/>
  <c r="K169" i="1"/>
  <c r="K188" i="1"/>
  <c r="K202" i="1"/>
  <c r="K203" i="1"/>
  <c r="K170" i="1"/>
  <c r="R147" i="1"/>
  <c r="Y146" i="1"/>
  <c r="I202" i="1"/>
  <c r="I188" i="1"/>
  <c r="G202" i="1"/>
  <c r="G188" i="1"/>
  <c r="G203" i="1"/>
  <c r="E202" i="1"/>
  <c r="E188" i="1"/>
  <c r="E203" i="1"/>
  <c r="C202" i="1"/>
  <c r="C188" i="1"/>
  <c r="C203" i="1"/>
  <c r="C169" i="1"/>
  <c r="I169" i="1"/>
  <c r="G169" i="1"/>
  <c r="E169" i="1"/>
  <c r="N12" i="1"/>
  <c r="N151" i="1"/>
  <c r="J135" i="1"/>
  <c r="M79" i="1"/>
  <c r="J137" i="1"/>
  <c r="R132" i="1"/>
  <c r="AE132" i="1"/>
  <c r="H135" i="1"/>
  <c r="M77" i="1"/>
  <c r="F135" i="1"/>
  <c r="M75" i="1"/>
  <c r="F137" i="1"/>
  <c r="P132" i="1"/>
  <c r="D135" i="1"/>
  <c r="M73" i="1"/>
  <c r="D137" i="1"/>
  <c r="O132" i="1"/>
  <c r="B135" i="1"/>
  <c r="M71" i="1"/>
  <c r="J152" i="1"/>
  <c r="M51" i="1"/>
  <c r="J154" i="1"/>
  <c r="R140" i="1"/>
  <c r="AE140" i="1"/>
  <c r="H152" i="1"/>
  <c r="M49" i="1"/>
  <c r="H154" i="1"/>
  <c r="Q140" i="1"/>
  <c r="AD140" i="1"/>
  <c r="F152" i="1"/>
  <c r="M47" i="1"/>
  <c r="F154" i="1"/>
  <c r="P140" i="1"/>
  <c r="AC140" i="1"/>
  <c r="D152" i="1"/>
  <c r="M45" i="1"/>
  <c r="D154" i="1"/>
  <c r="O140" i="1"/>
  <c r="B152" i="1"/>
  <c r="M43" i="1"/>
  <c r="B153" i="1"/>
  <c r="N43" i="1"/>
  <c r="N143" i="1"/>
  <c r="M12" i="1"/>
  <c r="M14" i="1"/>
  <c r="M18" i="1"/>
  <c r="M16" i="1"/>
  <c r="K135" i="1"/>
  <c r="J93" i="1"/>
  <c r="K93" i="1"/>
  <c r="K94" i="1"/>
  <c r="K95" i="1"/>
  <c r="X47" i="1"/>
  <c r="X51" i="1"/>
  <c r="K136" i="1"/>
  <c r="R131" i="1"/>
  <c r="Y130" i="1"/>
  <c r="I135" i="1"/>
  <c r="H93" i="1"/>
  <c r="I136" i="1"/>
  <c r="Q131" i="1"/>
  <c r="X130" i="1"/>
  <c r="G135" i="1"/>
  <c r="F93" i="1"/>
  <c r="G136" i="1"/>
  <c r="P131" i="1"/>
  <c r="W130" i="1"/>
  <c r="E135" i="1"/>
  <c r="D93" i="1"/>
  <c r="E136" i="1"/>
  <c r="O131" i="1"/>
  <c r="V130" i="1"/>
  <c r="C135" i="1"/>
  <c r="B93" i="1"/>
  <c r="C136" i="1"/>
  <c r="N131" i="1"/>
  <c r="U130" i="1"/>
  <c r="K152" i="1"/>
  <c r="J65" i="1"/>
  <c r="K153" i="1"/>
  <c r="R139" i="1"/>
  <c r="Y138" i="1"/>
  <c r="I152" i="1"/>
  <c r="H65" i="1"/>
  <c r="I153" i="1"/>
  <c r="Q139" i="1"/>
  <c r="G152" i="1"/>
  <c r="F65" i="1"/>
  <c r="G153" i="1"/>
  <c r="P139" i="1"/>
  <c r="W138" i="1"/>
  <c r="E152" i="1"/>
  <c r="D65" i="1"/>
  <c r="E65" i="1"/>
  <c r="E66" i="1"/>
  <c r="E67" i="1"/>
  <c r="C152" i="1"/>
  <c r="B65" i="1"/>
  <c r="C153" i="1"/>
  <c r="N139" i="1"/>
  <c r="U138" i="1"/>
  <c r="AA149" i="1"/>
  <c r="AB149" i="1"/>
  <c r="AC149" i="1"/>
  <c r="AD149" i="1"/>
  <c r="AE149" i="1"/>
  <c r="N20" i="1"/>
  <c r="N21" i="1"/>
  <c r="P21" i="1"/>
  <c r="AA12" i="1"/>
  <c r="R151" i="1"/>
  <c r="N18" i="1"/>
  <c r="N19" i="1"/>
  <c r="P19" i="1"/>
  <c r="Z12" i="1"/>
  <c r="Q151" i="1"/>
  <c r="N16" i="1"/>
  <c r="N17" i="1"/>
  <c r="P17" i="1"/>
  <c r="Y12" i="1"/>
  <c r="N14" i="1"/>
  <c r="O151" i="1"/>
  <c r="N51" i="1"/>
  <c r="R143" i="1"/>
  <c r="AE141" i="1"/>
  <c r="N49" i="1"/>
  <c r="Q143" i="1"/>
  <c r="AD141" i="1"/>
  <c r="N47" i="1"/>
  <c r="P143" i="1"/>
  <c r="AC141" i="1"/>
  <c r="N45" i="1"/>
  <c r="O143" i="1"/>
  <c r="AB141" i="1"/>
  <c r="N79" i="1"/>
  <c r="R135" i="1"/>
  <c r="AE133" i="1"/>
  <c r="N77" i="1"/>
  <c r="Q135" i="1"/>
  <c r="AD133" i="1"/>
  <c r="N75" i="1"/>
  <c r="P135" i="1"/>
  <c r="AC133" i="1"/>
  <c r="N73" i="1"/>
  <c r="O135" i="1"/>
  <c r="AB133" i="1"/>
  <c r="N71" i="1"/>
  <c r="N135" i="1"/>
  <c r="J153" i="1"/>
  <c r="H153" i="1"/>
  <c r="F153" i="1"/>
  <c r="D153" i="1"/>
  <c r="AA141" i="1"/>
  <c r="AA133" i="1"/>
  <c r="C93" i="1"/>
  <c r="J35" i="1"/>
  <c r="H35" i="1"/>
  <c r="F35" i="1"/>
  <c r="D35" i="1"/>
  <c r="B35" i="1"/>
  <c r="I93" i="1"/>
  <c r="G93" i="1"/>
  <c r="E93" i="1"/>
  <c r="K65" i="1"/>
  <c r="I65" i="1"/>
  <c r="G65" i="1"/>
  <c r="C65" i="1"/>
  <c r="C66" i="1"/>
  <c r="C67" i="1"/>
  <c r="K34" i="1"/>
  <c r="J34" i="1"/>
  <c r="K36" i="1"/>
  <c r="K38" i="1"/>
  <c r="I34" i="1"/>
  <c r="H34" i="1"/>
  <c r="I36" i="1"/>
  <c r="I38" i="1"/>
  <c r="G34" i="1"/>
  <c r="F34" i="1"/>
  <c r="G36" i="1"/>
  <c r="G38" i="1"/>
  <c r="E34" i="1"/>
  <c r="D34" i="1"/>
  <c r="C34" i="1"/>
  <c r="B34" i="1"/>
  <c r="C36" i="1"/>
  <c r="C38" i="1"/>
  <c r="C35" i="1"/>
  <c r="J136" i="1"/>
  <c r="H136" i="1"/>
  <c r="F136" i="1"/>
  <c r="D136" i="1"/>
  <c r="B136" i="1"/>
  <c r="F73" i="4"/>
  <c r="AA16" i="4"/>
  <c r="AA17" i="4"/>
  <c r="AA19" i="4"/>
  <c r="AB16" i="4"/>
  <c r="AB17" i="4"/>
  <c r="AC17" i="4"/>
  <c r="AD17" i="4"/>
  <c r="AF17" i="4"/>
  <c r="AB19" i="4"/>
  <c r="AC16" i="4"/>
  <c r="AE17" i="4"/>
  <c r="AC19" i="4"/>
  <c r="AD16" i="4"/>
  <c r="AD19" i="4"/>
  <c r="AF19" i="4"/>
  <c r="AE19" i="4"/>
  <c r="U16" i="4"/>
  <c r="U17" i="4"/>
  <c r="V17" i="4"/>
  <c r="W17" i="4"/>
  <c r="X17" i="4"/>
  <c r="Z17" i="4"/>
  <c r="U19" i="4"/>
  <c r="V16" i="4"/>
  <c r="V19" i="4"/>
  <c r="W16" i="4"/>
  <c r="W19" i="4"/>
  <c r="X16" i="4"/>
  <c r="X19" i="4"/>
  <c r="O16" i="4"/>
  <c r="P16" i="4"/>
  <c r="Q16" i="4"/>
  <c r="R16" i="4"/>
  <c r="T16" i="4"/>
  <c r="O17" i="4"/>
  <c r="O19" i="4"/>
  <c r="P17" i="4"/>
  <c r="P19" i="4"/>
  <c r="Q17" i="4"/>
  <c r="R17" i="4"/>
  <c r="T17" i="4"/>
  <c r="Q19" i="4"/>
  <c r="R19" i="4"/>
  <c r="T19" i="4"/>
  <c r="S19" i="4"/>
  <c r="I16" i="4"/>
  <c r="I17" i="4"/>
  <c r="I19" i="4"/>
  <c r="J16" i="4"/>
  <c r="K16" i="4"/>
  <c r="L16" i="4"/>
  <c r="N16" i="4"/>
  <c r="J17" i="4"/>
  <c r="J19" i="4"/>
  <c r="M16" i="4"/>
  <c r="K17" i="4"/>
  <c r="K19" i="4"/>
  <c r="L17" i="4"/>
  <c r="L19" i="4"/>
  <c r="N19" i="4"/>
  <c r="M19" i="4"/>
  <c r="C16" i="4"/>
  <c r="D16" i="4"/>
  <c r="E16" i="4"/>
  <c r="F16" i="4"/>
  <c r="H16" i="4"/>
  <c r="C17" i="4"/>
  <c r="C19" i="4"/>
  <c r="D17" i="4"/>
  <c r="D19" i="4"/>
  <c r="E17" i="4"/>
  <c r="F17" i="4"/>
  <c r="G17" i="4"/>
  <c r="E19" i="4"/>
  <c r="F19" i="4"/>
  <c r="AA18" i="4"/>
  <c r="AB18" i="4"/>
  <c r="AC18" i="4"/>
  <c r="AD18" i="4"/>
  <c r="AF18" i="4"/>
  <c r="AE18" i="4"/>
  <c r="U18" i="4"/>
  <c r="V18" i="4"/>
  <c r="W18" i="4"/>
  <c r="X18" i="4"/>
  <c r="Z18" i="4"/>
  <c r="Y18" i="4"/>
  <c r="O18" i="4"/>
  <c r="P18" i="4"/>
  <c r="Q18" i="4"/>
  <c r="R18" i="4"/>
  <c r="T18" i="4"/>
  <c r="S18" i="4"/>
  <c r="I18" i="4"/>
  <c r="J18" i="4"/>
  <c r="K18" i="4"/>
  <c r="L18" i="4"/>
  <c r="N18" i="4"/>
  <c r="C18" i="4"/>
  <c r="D18" i="4"/>
  <c r="E18" i="4"/>
  <c r="F18" i="4"/>
  <c r="H18" i="4"/>
  <c r="G18" i="4"/>
  <c r="N17" i="4"/>
  <c r="M17" i="4"/>
  <c r="AF16" i="4"/>
  <c r="AE16" i="4"/>
  <c r="Y16" i="4"/>
  <c r="AA16" i="3"/>
  <c r="AB16" i="3"/>
  <c r="AC16" i="3"/>
  <c r="AD16" i="3"/>
  <c r="AF16" i="3"/>
  <c r="AA17" i="3"/>
  <c r="AB17" i="3"/>
  <c r="AC17" i="3"/>
  <c r="AD17" i="3"/>
  <c r="AE17" i="3"/>
  <c r="AA19" i="3"/>
  <c r="AB19" i="3"/>
  <c r="AC19" i="3"/>
  <c r="AD19" i="3"/>
  <c r="AF19" i="3"/>
  <c r="AE19" i="3"/>
  <c r="AA18" i="3"/>
  <c r="AB18" i="3"/>
  <c r="AC18" i="3"/>
  <c r="AD18" i="3"/>
  <c r="AF18" i="3"/>
  <c r="U16" i="3"/>
  <c r="V16" i="3"/>
  <c r="W16" i="3"/>
  <c r="X16" i="3"/>
  <c r="Z16" i="3"/>
  <c r="U17" i="3"/>
  <c r="V17" i="3"/>
  <c r="W17" i="3"/>
  <c r="X17" i="3"/>
  <c r="Z17" i="3"/>
  <c r="U19" i="3"/>
  <c r="V19" i="3"/>
  <c r="W19" i="3"/>
  <c r="X19" i="3"/>
  <c r="Z19" i="3"/>
  <c r="Y19" i="3"/>
  <c r="U18" i="3"/>
  <c r="V18" i="3"/>
  <c r="W18" i="3"/>
  <c r="X18" i="3"/>
  <c r="Z18" i="3"/>
  <c r="O16" i="3"/>
  <c r="P16" i="3"/>
  <c r="Q16" i="3"/>
  <c r="R16" i="3"/>
  <c r="S16" i="3"/>
  <c r="O17" i="3"/>
  <c r="P17" i="3"/>
  <c r="Q17" i="3"/>
  <c r="R17" i="3"/>
  <c r="S17" i="3"/>
  <c r="O19" i="3"/>
  <c r="P19" i="3"/>
  <c r="Q19" i="3"/>
  <c r="R19" i="3"/>
  <c r="T19" i="3"/>
  <c r="S19" i="3"/>
  <c r="O18" i="3"/>
  <c r="P18" i="3"/>
  <c r="Q18" i="3"/>
  <c r="R18" i="3"/>
  <c r="T18" i="3"/>
  <c r="I16" i="3"/>
  <c r="J16" i="3"/>
  <c r="K16" i="3"/>
  <c r="L16" i="3"/>
  <c r="N16" i="3"/>
  <c r="I17" i="3"/>
  <c r="J17" i="3"/>
  <c r="K17" i="3"/>
  <c r="L17" i="3"/>
  <c r="N17" i="3"/>
  <c r="I19" i="3"/>
  <c r="J19" i="3"/>
  <c r="K19" i="3"/>
  <c r="L19" i="3"/>
  <c r="N19" i="3"/>
  <c r="M19" i="3"/>
  <c r="I18" i="3"/>
  <c r="J18" i="3"/>
  <c r="K18" i="3"/>
  <c r="L18" i="3"/>
  <c r="M18" i="3"/>
  <c r="F73" i="3"/>
  <c r="C17" i="3"/>
  <c r="D17" i="3"/>
  <c r="E17" i="3"/>
  <c r="F17" i="3"/>
  <c r="H17" i="3"/>
  <c r="C19" i="3"/>
  <c r="G16" i="3"/>
  <c r="D19" i="3"/>
  <c r="E19" i="3"/>
  <c r="F19" i="3"/>
  <c r="H19" i="3"/>
  <c r="G19" i="3"/>
  <c r="C18" i="3"/>
  <c r="D18" i="3"/>
  <c r="E18" i="3"/>
  <c r="F18" i="3"/>
  <c r="H18" i="3"/>
  <c r="AC79" i="1"/>
  <c r="AB79" i="1"/>
  <c r="AA79" i="1"/>
  <c r="Z79" i="1"/>
  <c r="Y79" i="1"/>
  <c r="Y72" i="1"/>
  <c r="AC72" i="1"/>
  <c r="AB72" i="1"/>
  <c r="AA72" i="1"/>
  <c r="Z72" i="1"/>
  <c r="AC18" i="2"/>
  <c r="AD18" i="2"/>
  <c r="AE18" i="2"/>
  <c r="AF18" i="2"/>
  <c r="AH18" i="2"/>
  <c r="W18" i="2"/>
  <c r="X18" i="2"/>
  <c r="Y18" i="2"/>
  <c r="Z18" i="2"/>
  <c r="AB18" i="2"/>
  <c r="W17" i="2"/>
  <c r="X17" i="2"/>
  <c r="Y17" i="2"/>
  <c r="Z17" i="2"/>
  <c r="AB17" i="2"/>
  <c r="W16" i="2"/>
  <c r="X16" i="2"/>
  <c r="Y16" i="2"/>
  <c r="Z16" i="2"/>
  <c r="AB16" i="2"/>
  <c r="Q16" i="2"/>
  <c r="Q17" i="2"/>
  <c r="Q19" i="2"/>
  <c r="R16" i="2"/>
  <c r="R17" i="2"/>
  <c r="R19" i="2"/>
  <c r="S16" i="2"/>
  <c r="S17" i="2"/>
  <c r="S19" i="2"/>
  <c r="T16" i="2"/>
  <c r="T17" i="2"/>
  <c r="T19" i="2"/>
  <c r="V19" i="2"/>
  <c r="E18" i="2"/>
  <c r="F18" i="2"/>
  <c r="G18" i="2"/>
  <c r="H18" i="2"/>
  <c r="J18" i="2"/>
  <c r="E16" i="2"/>
  <c r="F16" i="2"/>
  <c r="G16" i="2"/>
  <c r="H16" i="2"/>
  <c r="I16" i="2"/>
  <c r="I20" i="2"/>
  <c r="E17" i="2"/>
  <c r="F17" i="2"/>
  <c r="G17" i="2"/>
  <c r="H17" i="2"/>
  <c r="J17" i="2"/>
  <c r="E19" i="2"/>
  <c r="F19" i="2"/>
  <c r="G19" i="2"/>
  <c r="H19" i="2"/>
  <c r="J19" i="2"/>
  <c r="I19" i="2"/>
  <c r="I23" i="2"/>
  <c r="I18" i="2"/>
  <c r="I22" i="2"/>
  <c r="AC16" i="2"/>
  <c r="AD16" i="2"/>
  <c r="AE16" i="2"/>
  <c r="AF16" i="2"/>
  <c r="AG16" i="2"/>
  <c r="AG20" i="2"/>
  <c r="AC17" i="2"/>
  <c r="AD17" i="2"/>
  <c r="AE17" i="2"/>
  <c r="AF17" i="2"/>
  <c r="AG17" i="2"/>
  <c r="AC19" i="2"/>
  <c r="AD19" i="2"/>
  <c r="AE19" i="2"/>
  <c r="AF19" i="2"/>
  <c r="AH19" i="2"/>
  <c r="AH17" i="2"/>
  <c r="AH16" i="2"/>
  <c r="AG19" i="2"/>
  <c r="AG23" i="2"/>
  <c r="AG18" i="2"/>
  <c r="AG22" i="2"/>
  <c r="AA16" i="2"/>
  <c r="AA20" i="2"/>
  <c r="AA17" i="2"/>
  <c r="W19" i="2"/>
  <c r="X19" i="2"/>
  <c r="Y19" i="2"/>
  <c r="Z19" i="2"/>
  <c r="AB19" i="2"/>
  <c r="AA19" i="2"/>
  <c r="AA23" i="2"/>
  <c r="AA18" i="2"/>
  <c r="AA22" i="2"/>
  <c r="V16" i="2"/>
  <c r="V17" i="2"/>
  <c r="U19" i="2"/>
  <c r="U23" i="2"/>
  <c r="Q18" i="2"/>
  <c r="R18" i="2"/>
  <c r="S18" i="2"/>
  <c r="T18" i="2"/>
  <c r="V18" i="2"/>
  <c r="U18" i="2"/>
  <c r="U22" i="2"/>
  <c r="K17" i="2"/>
  <c r="L17" i="2"/>
  <c r="M17" i="2"/>
  <c r="N17" i="2"/>
  <c r="P17" i="2"/>
  <c r="L16" i="2"/>
  <c r="L19" i="2"/>
  <c r="M16" i="2"/>
  <c r="M19" i="2"/>
  <c r="N16" i="2"/>
  <c r="N19" i="2"/>
  <c r="O17" i="2"/>
  <c r="K18" i="2"/>
  <c r="L18" i="2"/>
  <c r="M18" i="2"/>
  <c r="N18" i="2"/>
  <c r="P18" i="2"/>
  <c r="O18" i="2"/>
  <c r="O22" i="2"/>
  <c r="K16" i="2"/>
  <c r="K19" i="2"/>
  <c r="K77" i="2"/>
  <c r="S17" i="1"/>
  <c r="U50" i="1"/>
  <c r="T17" i="1"/>
  <c r="V50" i="1"/>
  <c r="AB50" i="1"/>
  <c r="AB53" i="1"/>
  <c r="U17" i="1"/>
  <c r="W50" i="1"/>
  <c r="AC50" i="1"/>
  <c r="V17" i="1"/>
  <c r="X50" i="1"/>
  <c r="AD50" i="1"/>
  <c r="S18" i="1"/>
  <c r="U51" i="1"/>
  <c r="AA51" i="1"/>
  <c r="T18" i="1"/>
  <c r="V51" i="1"/>
  <c r="AB51" i="1"/>
  <c r="AB54" i="1"/>
  <c r="U18" i="1"/>
  <c r="W51" i="1"/>
  <c r="AC51" i="1"/>
  <c r="V18" i="1"/>
  <c r="R18" i="1"/>
  <c r="T51" i="1"/>
  <c r="Z51" i="1"/>
  <c r="Z54" i="1"/>
  <c r="R17" i="1"/>
  <c r="T50" i="1"/>
  <c r="Z50" i="1"/>
  <c r="Z53" i="1"/>
  <c r="E35" i="1"/>
  <c r="G35" i="1"/>
  <c r="I35" i="1"/>
  <c r="K35" i="1"/>
  <c r="W72" i="1"/>
  <c r="V72" i="1"/>
  <c r="U72" i="1"/>
  <c r="S81" i="1"/>
  <c r="S82" i="1"/>
  <c r="T72" i="1"/>
  <c r="M80" i="1"/>
  <c r="O80" i="1"/>
  <c r="N80" i="1"/>
  <c r="C116" i="1"/>
  <c r="B116" i="1"/>
  <c r="C117" i="1"/>
  <c r="C118" i="1"/>
  <c r="H108" i="1"/>
  <c r="H109" i="1"/>
  <c r="H104" i="1"/>
  <c r="H105" i="1"/>
  <c r="J105" i="1"/>
  <c r="H102" i="1"/>
  <c r="H103" i="1"/>
  <c r="H100" i="1"/>
  <c r="H101" i="1"/>
  <c r="J101" i="1"/>
  <c r="S16" i="1"/>
  <c r="T16" i="1"/>
  <c r="U16" i="1"/>
  <c r="V16" i="1"/>
  <c r="R16" i="1"/>
  <c r="U49" i="1"/>
  <c r="V49" i="1"/>
  <c r="W49" i="1"/>
  <c r="X49" i="1"/>
  <c r="T49" i="1"/>
  <c r="M72" i="1"/>
  <c r="N72" i="1"/>
  <c r="P72" i="1"/>
  <c r="W14" i="1"/>
  <c r="N78" i="1"/>
  <c r="N76" i="1"/>
  <c r="N74" i="1"/>
  <c r="N52" i="1"/>
  <c r="N50" i="1"/>
  <c r="N48" i="1"/>
  <c r="N46" i="1"/>
  <c r="N44" i="1"/>
  <c r="N15" i="1"/>
  <c r="N13" i="1"/>
  <c r="M44" i="1"/>
  <c r="M74" i="1"/>
  <c r="M76" i="1"/>
  <c r="M78" i="1"/>
  <c r="M52" i="1"/>
  <c r="M50" i="1"/>
  <c r="M48" i="1"/>
  <c r="M46" i="1"/>
  <c r="M13" i="1"/>
  <c r="M15" i="1"/>
  <c r="M17" i="1"/>
  <c r="M19" i="1"/>
  <c r="O19" i="1"/>
  <c r="K116" i="1"/>
  <c r="J116" i="1"/>
  <c r="K117" i="1"/>
  <c r="K118" i="1"/>
  <c r="I116" i="1"/>
  <c r="H116" i="1"/>
  <c r="I117" i="1"/>
  <c r="I118" i="1"/>
  <c r="G116" i="1"/>
  <c r="F116" i="1"/>
  <c r="G117" i="1"/>
  <c r="G118" i="1"/>
  <c r="E116" i="1"/>
  <c r="D116" i="1"/>
  <c r="E117" i="1"/>
  <c r="E118" i="1"/>
  <c r="I119" i="1"/>
  <c r="G119" i="1"/>
  <c r="E119" i="1"/>
  <c r="C119" i="1"/>
  <c r="K96" i="1"/>
  <c r="I96" i="1"/>
  <c r="G96" i="1"/>
  <c r="E96" i="1"/>
  <c r="C96" i="1"/>
  <c r="K68" i="1"/>
  <c r="I68" i="1"/>
  <c r="G68" i="1"/>
  <c r="E68" i="1"/>
  <c r="C68" i="1"/>
  <c r="G108" i="1"/>
  <c r="G109" i="1"/>
  <c r="I109" i="1"/>
  <c r="G100" i="1"/>
  <c r="G101" i="1"/>
  <c r="I101" i="1"/>
  <c r="G102" i="1"/>
  <c r="G103" i="1"/>
  <c r="I103" i="1"/>
  <c r="G104" i="1"/>
  <c r="G105" i="1"/>
  <c r="I105" i="1"/>
  <c r="G106" i="1"/>
  <c r="K40" i="1"/>
  <c r="I40" i="1"/>
  <c r="G40" i="1"/>
  <c r="E40" i="1"/>
  <c r="C40" i="1"/>
  <c r="O9" i="1"/>
  <c r="G9" i="1"/>
  <c r="G8" i="1"/>
  <c r="I9" i="1"/>
  <c r="H9" i="1"/>
  <c r="O8" i="1"/>
  <c r="H8" i="1"/>
  <c r="O7" i="1"/>
  <c r="O6" i="1"/>
  <c r="J7" i="1"/>
  <c r="G7" i="1"/>
  <c r="G6" i="1"/>
  <c r="I7" i="1"/>
  <c r="H7" i="1"/>
  <c r="H6" i="1"/>
  <c r="O5" i="1"/>
  <c r="O4" i="1"/>
  <c r="J5" i="1"/>
  <c r="G5" i="1"/>
  <c r="G4" i="1"/>
  <c r="I5" i="1"/>
  <c r="H5" i="1"/>
  <c r="H4" i="1"/>
  <c r="AF206" i="1"/>
  <c r="O52" i="1"/>
  <c r="O76" i="1"/>
  <c r="T204" i="1"/>
  <c r="T206" i="1"/>
  <c r="U221" i="1"/>
  <c r="I203" i="1"/>
  <c r="O113" i="1"/>
  <c r="L223" i="1"/>
  <c r="E153" i="1"/>
  <c r="O139" i="1"/>
  <c r="V138" i="1"/>
  <c r="K223" i="1"/>
  <c r="B171" i="1"/>
  <c r="N148" i="1"/>
  <c r="C170" i="1"/>
  <c r="N147" i="1"/>
  <c r="AA151" i="1"/>
  <c r="P78" i="1"/>
  <c r="Z14" i="1"/>
  <c r="P13" i="1"/>
  <c r="W12" i="1"/>
  <c r="P207" i="1"/>
  <c r="P76" i="1"/>
  <c r="Y14" i="1"/>
  <c r="R204" i="1"/>
  <c r="H137" i="1"/>
  <c r="Q132" i="1"/>
  <c r="AD132" i="1"/>
  <c r="G94" i="1"/>
  <c r="G95" i="1"/>
  <c r="G66" i="1"/>
  <c r="G67" i="1"/>
  <c r="AB204" i="1"/>
  <c r="AB206" i="1"/>
  <c r="I66" i="1"/>
  <c r="I67" i="1"/>
  <c r="W203" i="1"/>
  <c r="I223" i="1"/>
  <c r="R113" i="1"/>
  <c r="H223" i="1"/>
  <c r="D171" i="1"/>
  <c r="O148" i="1"/>
  <c r="P151" i="1"/>
  <c r="J171" i="1"/>
  <c r="R148" i="1"/>
  <c r="Z172" i="1"/>
  <c r="O78" i="1"/>
  <c r="S113" i="1"/>
  <c r="S221" i="1"/>
  <c r="S222" i="1"/>
  <c r="W223" i="1"/>
  <c r="I94" i="1"/>
  <c r="I95" i="1"/>
  <c r="V205" i="1"/>
  <c r="P5" i="1"/>
  <c r="AE143" i="1"/>
  <c r="K66" i="1"/>
  <c r="K67" i="1"/>
  <c r="E36" i="1"/>
  <c r="E38" i="1"/>
  <c r="G222" i="1"/>
  <c r="G223" i="1"/>
  <c r="H171" i="1"/>
  <c r="Q148" i="1"/>
  <c r="AD148" i="1"/>
  <c r="AA50" i="1"/>
  <c r="C37" i="1"/>
  <c r="C39" i="1"/>
  <c r="B154" i="1"/>
  <c r="N140" i="1"/>
  <c r="AA143" i="1"/>
  <c r="G170" i="1"/>
  <c r="P147" i="1"/>
  <c r="W146" i="1"/>
  <c r="I221" i="1"/>
  <c r="P204" i="1"/>
  <c r="P206" i="1"/>
  <c r="D205" i="1"/>
  <c r="C222" i="1"/>
  <c r="C223" i="1"/>
  <c r="C94" i="1"/>
  <c r="C95" i="1"/>
  <c r="O44" i="1"/>
  <c r="AH206" i="1"/>
  <c r="J155" i="1"/>
  <c r="B138" i="1"/>
  <c r="AF205" i="1"/>
  <c r="D138" i="1"/>
  <c r="U146" i="1"/>
  <c r="J109" i="1"/>
  <c r="E94" i="1"/>
  <c r="E95" i="1"/>
  <c r="O203" i="1"/>
  <c r="I107" i="1"/>
  <c r="V204" i="1"/>
  <c r="AB143" i="1"/>
  <c r="I170" i="1"/>
  <c r="Q147" i="1"/>
  <c r="AG170" i="1"/>
  <c r="E255" i="1"/>
  <c r="L260" i="1"/>
  <c r="B173" i="1"/>
  <c r="B206" i="1"/>
  <c r="J221" i="1"/>
  <c r="F206" i="1"/>
  <c r="AD151" i="1"/>
  <c r="X146" i="1"/>
  <c r="N206" i="1"/>
  <c r="AD51" i="1"/>
  <c r="AE220" i="1"/>
  <c r="B172" i="1"/>
  <c r="AC135" i="1"/>
  <c r="AD207" i="1"/>
  <c r="T172" i="1"/>
  <c r="B207" i="1"/>
  <c r="B205" i="1"/>
  <c r="AD171" i="1"/>
  <c r="AC211" i="1"/>
  <c r="AC210" i="1"/>
  <c r="J205" i="1"/>
  <c r="AF172" i="1"/>
  <c r="O72" i="1"/>
  <c r="O221" i="1"/>
  <c r="O222" i="1"/>
  <c r="P205" i="1"/>
  <c r="R205" i="1"/>
  <c r="AG223" i="1"/>
  <c r="B137" i="1"/>
  <c r="N132" i="1"/>
  <c r="AA132" i="1"/>
  <c r="V206" i="1"/>
  <c r="J206" i="1"/>
  <c r="L256" i="1"/>
  <c r="O260" i="1"/>
  <c r="AI203" i="1"/>
  <c r="Z204" i="1"/>
  <c r="Z206" i="1"/>
  <c r="O15" i="1"/>
  <c r="H205" i="1"/>
  <c r="O13" i="1"/>
  <c r="D222" i="1"/>
  <c r="D223" i="1"/>
  <c r="V223" i="1"/>
  <c r="AJ250" i="1"/>
  <c r="AD172" i="1"/>
  <c r="AA221" i="1"/>
  <c r="AA222" i="1"/>
  <c r="J103" i="1"/>
  <c r="U203" i="1"/>
  <c r="O46" i="1"/>
  <c r="P52" i="1"/>
  <c r="AA13" i="1"/>
  <c r="B155" i="1"/>
  <c r="Q221" i="1"/>
  <c r="Q222" i="1"/>
  <c r="AI250" i="1"/>
  <c r="AE135" i="1"/>
  <c r="F138" i="1"/>
  <c r="AG203" i="1"/>
  <c r="AB205" i="1"/>
  <c r="F171" i="1"/>
  <c r="P148" i="1"/>
  <c r="AC148" i="1"/>
  <c r="D155" i="1"/>
  <c r="E170" i="1"/>
  <c r="O147" i="1"/>
  <c r="V146" i="1"/>
  <c r="AC143" i="1"/>
  <c r="P50" i="1"/>
  <c r="Z13" i="1"/>
  <c r="AF250" i="1"/>
  <c r="AB135" i="1"/>
  <c r="O48" i="1"/>
  <c r="O74" i="1"/>
  <c r="N205" i="1"/>
  <c r="U223" i="1"/>
  <c r="AH250" i="1"/>
  <c r="AH205" i="1"/>
  <c r="AD204" i="1"/>
  <c r="P7" i="1"/>
  <c r="T207" i="1"/>
  <c r="H138" i="1"/>
  <c r="AG216" i="1"/>
  <c r="Z205" i="1"/>
  <c r="P48" i="1"/>
  <c r="Y13" i="1"/>
  <c r="AB221" i="1"/>
  <c r="AB222" i="1"/>
  <c r="O17" i="1"/>
  <c r="K221" i="1"/>
  <c r="R221" i="1"/>
  <c r="R222" i="1"/>
  <c r="O50" i="1"/>
  <c r="P15" i="1"/>
  <c r="X12" i="1"/>
  <c r="F205" i="1"/>
  <c r="AH207" i="1"/>
  <c r="L221" i="1"/>
  <c r="AG250" i="1"/>
  <c r="T216" i="1"/>
  <c r="O220" i="1"/>
  <c r="P19" i="2"/>
  <c r="O19" i="2"/>
  <c r="O23" i="2"/>
  <c r="X138" i="1"/>
  <c r="AD143" i="1"/>
  <c r="AE148" i="1"/>
  <c r="AE151" i="1"/>
  <c r="AC220" i="1"/>
  <c r="AH216" i="1"/>
  <c r="Y19" i="4"/>
  <c r="R23" i="5"/>
  <c r="R24" i="5"/>
  <c r="I17" i="2"/>
  <c r="AA21" i="2"/>
  <c r="AD220" i="1"/>
  <c r="AI216" i="1"/>
  <c r="AB148" i="1"/>
  <c r="AB151" i="1"/>
  <c r="H19" i="4"/>
  <c r="R206" i="1"/>
  <c r="Q211" i="1"/>
  <c r="Z16" i="4"/>
  <c r="P44" i="1"/>
  <c r="W13" i="1"/>
  <c r="P221" i="1"/>
  <c r="P222" i="1"/>
  <c r="D18" i="5"/>
  <c r="F22" i="5"/>
  <c r="F23" i="5"/>
  <c r="F24" i="5"/>
  <c r="H17" i="4"/>
  <c r="P46" i="1"/>
  <c r="X13" i="1"/>
  <c r="S17" i="4"/>
  <c r="C221" i="1"/>
  <c r="C22" i="5"/>
  <c r="AB140" i="1"/>
  <c r="AA220" i="1"/>
  <c r="AF223" i="1"/>
  <c r="F155" i="1"/>
  <c r="F18" i="5"/>
  <c r="AL250" i="1"/>
  <c r="AB132" i="1"/>
  <c r="E222" i="1"/>
  <c r="E223" i="1"/>
  <c r="Y17" i="4"/>
  <c r="T205" i="1"/>
  <c r="AE16" i="3"/>
  <c r="W221" i="1"/>
  <c r="P220" i="1"/>
  <c r="AJ223" i="1"/>
  <c r="J138" i="1"/>
  <c r="H155" i="1"/>
  <c r="O16" i="2"/>
  <c r="O20" i="2"/>
  <c r="M16" i="3"/>
  <c r="M17" i="3"/>
  <c r="G16" i="4"/>
  <c r="V207" i="1"/>
  <c r="E18" i="5"/>
  <c r="AM250" i="1"/>
  <c r="U16" i="2"/>
  <c r="U20" i="2"/>
  <c r="AF17" i="3"/>
  <c r="V221" i="1"/>
  <c r="J16" i="2"/>
  <c r="Z19" i="4"/>
  <c r="Y16" i="3"/>
  <c r="Y17" i="3"/>
  <c r="Y18" i="3"/>
  <c r="S220" i="1"/>
  <c r="AD205" i="1"/>
  <c r="F222" i="1"/>
  <c r="F223" i="1"/>
  <c r="U17" i="2"/>
  <c r="U21" i="2"/>
  <c r="P16" i="2"/>
  <c r="R220" i="1"/>
  <c r="S18" i="3"/>
  <c r="M18" i="4"/>
  <c r="P74" i="1"/>
  <c r="X14" i="1"/>
  <c r="N18" i="3"/>
  <c r="G221" i="1"/>
  <c r="X223" i="1"/>
  <c r="AH223" i="1"/>
  <c r="AC132" i="1"/>
  <c r="P80" i="1"/>
  <c r="AA14" i="1"/>
  <c r="T16" i="3"/>
  <c r="T17" i="3"/>
  <c r="AI223" i="1"/>
  <c r="G18" i="3"/>
  <c r="S16" i="4"/>
  <c r="M276" i="1"/>
  <c r="T223" i="1"/>
  <c r="G17" i="3"/>
  <c r="AE18" i="3"/>
  <c r="G19" i="4"/>
  <c r="AA135" i="1"/>
  <c r="AA148" i="1"/>
  <c r="AD135" i="1"/>
  <c r="AJ172" i="1"/>
  <c r="AJ205" i="1"/>
  <c r="AA140" i="1"/>
  <c r="AJ207" i="1"/>
  <c r="AD206" i="1"/>
  <c r="AC151" i="1"/>
  <c r="V216" i="1"/>
  <c r="Q220" i="1"/>
  <c r="I21" i="2"/>
  <c r="O21" i="2"/>
  <c r="AG21" i="2"/>
  <c r="Q210" i="1"/>
</calcChain>
</file>

<file path=xl/sharedStrings.xml><?xml version="1.0" encoding="utf-8"?>
<sst xmlns="http://schemas.openxmlformats.org/spreadsheetml/2006/main" count="571" uniqueCount="127">
  <si>
    <t>E1</t>
  </si>
  <si>
    <t>E2</t>
  </si>
  <si>
    <t>E3</t>
  </si>
  <si>
    <t>E4</t>
  </si>
  <si>
    <t>average</t>
  </si>
  <si>
    <t>stdev</t>
  </si>
  <si>
    <t>Eform</t>
  </si>
  <si>
    <t>1/kT</t>
  </si>
  <si>
    <t>msd</t>
  </si>
  <si>
    <t>800 pure</t>
  </si>
  <si>
    <t>800 int</t>
  </si>
  <si>
    <t>1000 pure</t>
  </si>
  <si>
    <t>1000int</t>
  </si>
  <si>
    <t>1200 pure</t>
  </si>
  <si>
    <t>1200int</t>
  </si>
  <si>
    <t>U MEAM</t>
  </si>
  <si>
    <t>16K atoms</t>
  </si>
  <si>
    <t>2K atoms</t>
  </si>
  <si>
    <t>800pure</t>
  </si>
  <si>
    <t>800int</t>
  </si>
  <si>
    <t>1000pure</t>
  </si>
  <si>
    <t>1200pure</t>
  </si>
  <si>
    <t>time</t>
  </si>
  <si>
    <t>timestep</t>
  </si>
  <si>
    <t>avg</t>
  </si>
  <si>
    <t>UZr MEAM</t>
  </si>
  <si>
    <t>900int</t>
  </si>
  <si>
    <t>1100 pure</t>
  </si>
  <si>
    <t>1100 int</t>
  </si>
  <si>
    <t>900 pure</t>
  </si>
  <si>
    <t>900 int</t>
  </si>
  <si>
    <t>1100pure</t>
  </si>
  <si>
    <t>1100int</t>
  </si>
  <si>
    <t>900pure</t>
  </si>
  <si>
    <t>UMo ADP</t>
  </si>
  <si>
    <t>alpha</t>
  </si>
  <si>
    <t>500 pure</t>
  </si>
  <si>
    <t>500 int</t>
  </si>
  <si>
    <t>600 pure</t>
  </si>
  <si>
    <t>600 int</t>
  </si>
  <si>
    <t>700 pure</t>
  </si>
  <si>
    <t>700int</t>
  </si>
  <si>
    <t>500pure</t>
  </si>
  <si>
    <t>500int</t>
  </si>
  <si>
    <t>600pure</t>
  </si>
  <si>
    <t>600int</t>
  </si>
  <si>
    <t>700pure</t>
  </si>
  <si>
    <t>m^2/s</t>
  </si>
  <si>
    <t>stderr</t>
  </si>
  <si>
    <t xml:space="preserve"> </t>
  </si>
  <si>
    <t>Diffusion</t>
  </si>
  <si>
    <t>normalized to U MEAM</t>
  </si>
  <si>
    <t>migration barriers</t>
  </si>
  <si>
    <t>alpha U</t>
  </si>
  <si>
    <t>c11</t>
  </si>
  <si>
    <t>c22</t>
  </si>
  <si>
    <t>c33</t>
  </si>
  <si>
    <t>c12</t>
  </si>
  <si>
    <t>c13</t>
  </si>
  <si>
    <t>c23</t>
  </si>
  <si>
    <t>c44</t>
  </si>
  <si>
    <t>c55</t>
  </si>
  <si>
    <t>c66</t>
  </si>
  <si>
    <t>Volume</t>
  </si>
  <si>
    <t>a0</t>
  </si>
  <si>
    <t>P</t>
  </si>
  <si>
    <t>B</t>
  </si>
  <si>
    <t>10x100x50x20</t>
  </si>
  <si>
    <t>10x100x100x50</t>
  </si>
  <si>
    <t>Vacs</t>
  </si>
  <si>
    <t>E</t>
  </si>
  <si>
    <t>E avg</t>
  </si>
  <si>
    <t>error</t>
  </si>
  <si>
    <t xml:space="preserve">        </t>
  </si>
  <si>
    <t>Diff</t>
  </si>
  <si>
    <t>Ef</t>
  </si>
  <si>
    <t>1/kt</t>
  </si>
  <si>
    <t>1/lt</t>
  </si>
  <si>
    <t>Ints</t>
  </si>
  <si>
    <t>Frenkel</t>
  </si>
  <si>
    <t>Dself</t>
  </si>
  <si>
    <t>error+</t>
  </si>
  <si>
    <t>INTS and PURE 7x7x7</t>
  </si>
  <si>
    <t>INT</t>
  </si>
  <si>
    <t>PURE</t>
  </si>
  <si>
    <t>Ef2</t>
  </si>
  <si>
    <t>Ef vac</t>
  </si>
  <si>
    <t>Diff vac</t>
  </si>
  <si>
    <t>Ef int</t>
  </si>
  <si>
    <t>Diff int</t>
  </si>
  <si>
    <t>Error</t>
  </si>
  <si>
    <t>vacs</t>
  </si>
  <si>
    <t>T</t>
  </si>
  <si>
    <t>Deff</t>
  </si>
  <si>
    <t>pure</t>
  </si>
  <si>
    <t>int</t>
  </si>
  <si>
    <t>vac</t>
  </si>
  <si>
    <t>ALPHA</t>
  </si>
  <si>
    <t>Diffusion ratios int/vac</t>
  </si>
  <si>
    <t>800 alpha</t>
  </si>
  <si>
    <t>800 bcc</t>
  </si>
  <si>
    <t>Int barrier</t>
  </si>
  <si>
    <t>int barrier</t>
  </si>
  <si>
    <t>Frenkel Pairs</t>
  </si>
  <si>
    <t>Fits to formation energy</t>
  </si>
  <si>
    <t>Vac/int E formratio</t>
  </si>
  <si>
    <t>UMo Volumes/Thermal Expansion</t>
  </si>
  <si>
    <t>delV/V0</t>
  </si>
  <si>
    <t>Vacancy</t>
  </si>
  <si>
    <t>Interstitial</t>
  </si>
  <si>
    <t>avg error</t>
  </si>
  <si>
    <t>kcla/mol</t>
  </si>
  <si>
    <t>eV</t>
  </si>
  <si>
    <t>self</t>
  </si>
  <si>
    <t>800 alpha D</t>
  </si>
  <si>
    <t>800 bcc D</t>
  </si>
  <si>
    <t>vac barrier</t>
  </si>
  <si>
    <t>800 alpha Ef</t>
  </si>
  <si>
    <t>800 bcc Ef</t>
  </si>
  <si>
    <t>Self D</t>
  </si>
  <si>
    <t>V</t>
  </si>
  <si>
    <t>I</t>
  </si>
  <si>
    <t>FP</t>
  </si>
  <si>
    <t>errors</t>
  </si>
  <si>
    <t>alpha 600k</t>
  </si>
  <si>
    <t>alpha 800k</t>
  </si>
  <si>
    <t>int 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</si>
</sst>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0" xfId="0" applyBorder="1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4" fillId="0" borderId="0" xfId="0" applyFont="1"/>
    <xf numFmtId="11" fontId="0" fillId="0" borderId="0" xfId="0" applyNumberFormat="1"/>
    <xf numFmtId="165" fontId="0" fillId="0" borderId="0" xfId="0" applyNumberFormat="1"/>
  </cellXfs>
  <cellStyles count="10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98350913683"/>
          <c:y val="5.3497942386831303E-2"/>
          <c:w val="0.82161268756499795"/>
          <c:h val="0.76625514403292205"/>
        </c:manualLayout>
      </c:layout>
      <c:scatterChart>
        <c:scatterStyle val="lineMarker"/>
        <c:varyColors val="0"/>
        <c:ser>
          <c:idx val="0"/>
          <c:order val="0"/>
          <c:tx>
            <c:v>U MEAM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exp"/>
            <c:dispRSqr val="0"/>
            <c:dispEq val="0"/>
          </c:trendline>
          <c:xVal>
            <c:numRef>
              <c:f>(Sheet1!$C$40,Sheet1!$E$40,Sheet1!$G$40,Sheet1!$I$40,Sheet1!$K$40)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(Sheet1!$C$38,Sheet1!$E$38,Sheet1!$G$38,Sheet1!$I$38,Sheet1!$K$38)</c:f>
              <c:numCache>
                <c:formatCode>General</c:formatCode>
                <c:ptCount val="5"/>
                <c:pt idx="0">
                  <c:v>1.747718666666667E-9</c:v>
                </c:pt>
                <c:pt idx="1">
                  <c:v>2.8663235555555542E-9</c:v>
                </c:pt>
                <c:pt idx="2">
                  <c:v>3.7555783333333325E-9</c:v>
                </c:pt>
                <c:pt idx="3">
                  <c:v>4.6175613333333326E-9</c:v>
                </c:pt>
                <c:pt idx="4">
                  <c:v>5.5826209999999994E-9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8-224F-BAD0-D1A42BB8CD88}"/>
            </c:ext>
          </c:extLst>
        </c:ser>
        <c:ser>
          <c:idx val="1"/>
          <c:order val="1"/>
          <c:tx>
            <c:v>UZr MEAM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(Sheet1!$C$68,Sheet1!$E$68,Sheet1!$G$68,Sheet1!$I$68,Sheet1!$K$68)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(Sheet1!$C$67,Sheet1!$E$67,Sheet1!$G$67,Sheet1!$I$67,Sheet1!$K$67)</c:f>
              <c:numCache>
                <c:formatCode>General</c:formatCode>
                <c:ptCount val="5"/>
                <c:pt idx="0">
                  <c:v>5.4291666666666657E-9</c:v>
                </c:pt>
                <c:pt idx="1">
                  <c:v>6.2122293333333322E-9</c:v>
                </c:pt>
                <c:pt idx="2">
                  <c:v>6.6616716666666636E-9</c:v>
                </c:pt>
                <c:pt idx="3">
                  <c:v>7.660203333333333E-9</c:v>
                </c:pt>
                <c:pt idx="4">
                  <c:v>8.6181900000000008E-9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8-224F-BAD0-D1A42BB8CD88}"/>
            </c:ext>
          </c:extLst>
        </c:ser>
        <c:ser>
          <c:idx val="2"/>
          <c:order val="2"/>
          <c:tx>
            <c:v>UMo ADP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(Sheet1!$C$96,Sheet1!$E$96,Sheet1!$G$96,Sheet1!$I$96,Sheet1!$K$96)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(Sheet1!$C$95,Sheet1!$E$95,Sheet1!$G$95,Sheet1!$I$95,Sheet1!$K$95)</c:f>
              <c:numCache>
                <c:formatCode>General</c:formatCode>
                <c:ptCount val="5"/>
                <c:pt idx="0">
                  <c:v>3.9238666666666659E-9</c:v>
                </c:pt>
                <c:pt idx="1">
                  <c:v>4.7117593333333335E-9</c:v>
                </c:pt>
                <c:pt idx="2">
                  <c:v>5.3903026666666664E-9</c:v>
                </c:pt>
                <c:pt idx="3">
                  <c:v>6.5757193333333317E-9</c:v>
                </c:pt>
                <c:pt idx="4">
                  <c:v>6.785361999999998E-9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88-224F-BAD0-D1A42BB8C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13656"/>
        <c:axId val="1960987960"/>
      </c:scatterChart>
      <c:valAx>
        <c:axId val="1790113656"/>
        <c:scaling>
          <c:orientation val="minMax"/>
          <c:max val="16"/>
          <c:min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1/kT (eV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960987960"/>
        <c:crosses val="autoZero"/>
        <c:crossBetween val="midCat"/>
      </c:valAx>
      <c:valAx>
        <c:axId val="1960987960"/>
        <c:scaling>
          <c:logBase val="10"/>
          <c:orientation val="minMax"/>
          <c:max val="1E-8"/>
          <c:min val="1.0000000000000001E-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Diffusion Coefficient (m</a:t>
                </a:r>
                <a:r>
                  <a:rPr lang="en-US" baseline="30000"/>
                  <a:t>2</a:t>
                </a:r>
                <a:r>
                  <a:rPr lang="en-US" baseline="0"/>
                  <a:t>/s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crossAx val="1790113656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435262219581001"/>
          <c:y val="0.53931434496613795"/>
          <c:w val="0.18662290150051999"/>
          <c:h val="0.2454320987654320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Vacs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Sheet1!$N$151:$R$151</c:f>
                <c:numCache>
                  <c:formatCode>General</c:formatCode>
                  <c:ptCount val="5"/>
                  <c:pt idx="0">
                    <c:v>0.12014429281477743</c:v>
                  </c:pt>
                  <c:pt idx="1">
                    <c:v>0.13295011350003486</c:v>
                  </c:pt>
                  <c:pt idx="2">
                    <c:v>0.14915508667293015</c:v>
                  </c:pt>
                  <c:pt idx="3">
                    <c:v>0.16033277339640087</c:v>
                  </c:pt>
                  <c:pt idx="4">
                    <c:v>0.21457809586448073</c:v>
                  </c:pt>
                </c:numCache>
              </c:numRef>
            </c:plus>
            <c:minus>
              <c:numRef>
                <c:f>Sheet1!$N$151:$R$151</c:f>
                <c:numCache>
                  <c:formatCode>General</c:formatCode>
                  <c:ptCount val="5"/>
                  <c:pt idx="0">
                    <c:v>0.12014429281477743</c:v>
                  </c:pt>
                  <c:pt idx="1">
                    <c:v>0.13295011350003486</c:v>
                  </c:pt>
                  <c:pt idx="2">
                    <c:v>0.14915508667293015</c:v>
                  </c:pt>
                  <c:pt idx="3">
                    <c:v>0.16033277339640087</c:v>
                  </c:pt>
                  <c:pt idx="4">
                    <c:v>0.21457809586448073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Sheet1!$N$130:$R$130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Sheet1!$N$148:$R$148</c:f>
              <c:numCache>
                <c:formatCode>General</c:formatCode>
                <c:ptCount val="5"/>
                <c:pt idx="0">
                  <c:v>1.4670044907502415</c:v>
                </c:pt>
                <c:pt idx="1">
                  <c:v>1.4421761725006945</c:v>
                </c:pt>
                <c:pt idx="2">
                  <c:v>1.57315999750017</c:v>
                </c:pt>
                <c:pt idx="3">
                  <c:v>1.5330646482489101</c:v>
                </c:pt>
                <c:pt idx="4">
                  <c:v>1.6102593200012052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2-B443-8240-BDF807733899}"/>
            </c:ext>
          </c:extLst>
        </c:ser>
        <c:ser>
          <c:idx val="1"/>
          <c:order val="1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Sheet1!$N$143:$R$143</c:f>
                <c:numCache>
                  <c:formatCode>General</c:formatCode>
                  <c:ptCount val="5"/>
                  <c:pt idx="0">
                    <c:v>0.12899313081649377</c:v>
                  </c:pt>
                  <c:pt idx="1">
                    <c:v>0.1644803938239246</c:v>
                  </c:pt>
                  <c:pt idx="2">
                    <c:v>0.22494934741182238</c:v>
                  </c:pt>
                  <c:pt idx="3">
                    <c:v>0.23719720413723333</c:v>
                  </c:pt>
                  <c:pt idx="4">
                    <c:v>0.2173904167023622</c:v>
                  </c:pt>
                </c:numCache>
              </c:numRef>
            </c:plus>
            <c:minus>
              <c:numRef>
                <c:f>Sheet1!$N$143:$R$143</c:f>
                <c:numCache>
                  <c:formatCode>General</c:formatCode>
                  <c:ptCount val="5"/>
                  <c:pt idx="0">
                    <c:v>0.12899313081649377</c:v>
                  </c:pt>
                  <c:pt idx="1">
                    <c:v>0.1644803938239246</c:v>
                  </c:pt>
                  <c:pt idx="2">
                    <c:v>0.22494934741182238</c:v>
                  </c:pt>
                  <c:pt idx="3">
                    <c:v>0.23719720413723333</c:v>
                  </c:pt>
                  <c:pt idx="4">
                    <c:v>0.2173904167023622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Sheet1!$N$130:$R$130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Sheet1!$N$140:$R$140</c:f>
              <c:numCache>
                <c:formatCode>General</c:formatCode>
                <c:ptCount val="5"/>
                <c:pt idx="0">
                  <c:v>0.96673965950049023</c:v>
                </c:pt>
                <c:pt idx="1">
                  <c:v>1.1681207352507954</c:v>
                </c:pt>
                <c:pt idx="2">
                  <c:v>1.2348185877503965</c:v>
                </c:pt>
                <c:pt idx="3">
                  <c:v>1.3227565670003969</c:v>
                </c:pt>
                <c:pt idx="4">
                  <c:v>1.303817452999283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2-B443-8240-BDF807733899}"/>
            </c:ext>
          </c:extLst>
        </c:ser>
        <c:ser>
          <c:idx val="2"/>
          <c:order val="2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Sheet1!$N$135:$R$135</c:f>
                <c:numCache>
                  <c:formatCode>General</c:formatCode>
                  <c:ptCount val="5"/>
                  <c:pt idx="0">
                    <c:v>0.13985679299891568</c:v>
                  </c:pt>
                  <c:pt idx="1">
                    <c:v>0.17282498219109477</c:v>
                  </c:pt>
                  <c:pt idx="2">
                    <c:v>0.18838802033559349</c:v>
                  </c:pt>
                  <c:pt idx="3">
                    <c:v>0.24410606222924763</c:v>
                  </c:pt>
                  <c:pt idx="4">
                    <c:v>0.2683188500733753</c:v>
                  </c:pt>
                </c:numCache>
              </c:numRef>
            </c:plus>
            <c:minus>
              <c:numRef>
                <c:f>Sheet1!$N$135:$R$135</c:f>
                <c:numCache>
                  <c:formatCode>General</c:formatCode>
                  <c:ptCount val="5"/>
                  <c:pt idx="0">
                    <c:v>0.13985679299891568</c:v>
                  </c:pt>
                  <c:pt idx="1">
                    <c:v>0.17282498219109477</c:v>
                  </c:pt>
                  <c:pt idx="2">
                    <c:v>0.18838802033559349</c:v>
                  </c:pt>
                  <c:pt idx="3">
                    <c:v>0.24410606222924763</c:v>
                  </c:pt>
                  <c:pt idx="4">
                    <c:v>0.2683188500733753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Sheet1!$N$130:$R$130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Sheet1!$N$132:$R$132</c:f>
              <c:numCache>
                <c:formatCode>General</c:formatCode>
                <c:ptCount val="5"/>
                <c:pt idx="0">
                  <c:v>2.114141674250277</c:v>
                </c:pt>
                <c:pt idx="1">
                  <c:v>1.9634503312504421</c:v>
                </c:pt>
                <c:pt idx="2">
                  <c:v>2.0285696470009498</c:v>
                </c:pt>
                <c:pt idx="3">
                  <c:v>2.2931386730001577</c:v>
                </c:pt>
                <c:pt idx="4">
                  <c:v>2.3600363260006816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A2-B443-8240-BDF807733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276248"/>
        <c:axId val="1790140472"/>
      </c:scatterChart>
      <c:valAx>
        <c:axId val="1790276248"/>
        <c:scaling>
          <c:orientation val="minMax"/>
          <c:max val="1300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1790140472"/>
        <c:crosses val="autoZero"/>
        <c:crossBetween val="midCat"/>
      </c:valAx>
      <c:valAx>
        <c:axId val="1790140472"/>
        <c:scaling>
          <c:orientation val="minMax"/>
          <c:min val="0.5"/>
        </c:scaling>
        <c:delete val="0"/>
        <c:axPos val="l"/>
        <c:numFmt formatCode="General" sourceLinked="1"/>
        <c:majorTickMark val="out"/>
        <c:minorTickMark val="none"/>
        <c:tickLblPos val="nextTo"/>
        <c:crossAx val="1790276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Dself</a:t>
            </a:r>
          </a:p>
          <a:p>
            <a:pPr>
              <a:defRPr/>
            </a:pPr>
            <a:endParaRPr lang="en-US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Sheet1!$AA$130:$AE$130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Sheet1!$AA$151:$AE$151</c:f>
              <c:numCache>
                <c:formatCode>General</c:formatCode>
                <c:ptCount val="5"/>
                <c:pt idx="0">
                  <c:v>1.8128392683170832E-13</c:v>
                </c:pt>
                <c:pt idx="1">
                  <c:v>1.4754906693246108E-14</c:v>
                </c:pt>
                <c:pt idx="2">
                  <c:v>2.3758518855890858E-14</c:v>
                </c:pt>
                <c:pt idx="3">
                  <c:v>4.7235966095230203E-15</c:v>
                </c:pt>
                <c:pt idx="4">
                  <c:v>7.7829991022367384E-15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5-CE4D-95EC-A5BA7890DB7E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Sheet1!$AA$130:$AE$130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Sheet1!$AA$143:$AE$143</c:f>
              <c:numCache>
                <c:formatCode>General</c:formatCode>
                <c:ptCount val="5"/>
                <c:pt idx="0">
                  <c:v>6.6864809788169476E-16</c:v>
                </c:pt>
                <c:pt idx="1">
                  <c:v>4.0024552409265077E-16</c:v>
                </c:pt>
                <c:pt idx="2">
                  <c:v>1.3375410169635003E-15</c:v>
                </c:pt>
                <c:pt idx="3">
                  <c:v>2.7720124942039555E-15</c:v>
                </c:pt>
                <c:pt idx="4">
                  <c:v>1.4803701414117811E-14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5-CE4D-95EC-A5BA7890DB7E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Sheet1!$AA$130:$AE$130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Sheet1!$AA$135:$AE$135</c:f>
              <c:numCache>
                <c:formatCode>General</c:formatCode>
                <c:ptCount val="5"/>
                <c:pt idx="0">
                  <c:v>1.0351906508123575E-14</c:v>
                </c:pt>
                <c:pt idx="1">
                  <c:v>5.0662904608350121E-15</c:v>
                </c:pt>
                <c:pt idx="2">
                  <c:v>7.3268177446624664E-14</c:v>
                </c:pt>
                <c:pt idx="3">
                  <c:v>9.6149416309329151E-14</c:v>
                </c:pt>
                <c:pt idx="4">
                  <c:v>1.4922834607587799E-15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75-CE4D-95EC-A5BA7890D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56248"/>
        <c:axId val="1961059240"/>
      </c:scatterChart>
      <c:valAx>
        <c:axId val="1961056248"/>
        <c:scaling>
          <c:orientation val="minMax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1961059240"/>
        <c:crosses val="autoZero"/>
        <c:crossBetween val="midCat"/>
      </c:valAx>
      <c:valAx>
        <c:axId val="1961059240"/>
        <c:scaling>
          <c:logBase val="10"/>
          <c:orientation val="minMax"/>
          <c:max val="9.9999999999999994E-12"/>
        </c:scaling>
        <c:delete val="0"/>
        <c:axPos val="l"/>
        <c:numFmt formatCode="General" sourceLinked="1"/>
        <c:majorTickMark val="out"/>
        <c:minorTickMark val="none"/>
        <c:tickLblPos val="nextTo"/>
        <c:crossAx val="196105624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 vac</c:v>
          </c:tx>
          <c:spPr>
            <a:ln w="47625">
              <a:noFill/>
            </a:ln>
          </c:spPr>
          <c:xVal>
            <c:numRef>
              <c:f>Sheet1!$N$130:$R$130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Sheet1!$N$148:$R$148</c:f>
              <c:numCache>
                <c:formatCode>General</c:formatCode>
                <c:ptCount val="5"/>
                <c:pt idx="0">
                  <c:v>1.4670044907502415</c:v>
                </c:pt>
                <c:pt idx="1">
                  <c:v>1.4421761725006945</c:v>
                </c:pt>
                <c:pt idx="2">
                  <c:v>1.57315999750017</c:v>
                </c:pt>
                <c:pt idx="3">
                  <c:v>1.5330646482489101</c:v>
                </c:pt>
                <c:pt idx="4">
                  <c:v>1.6102593200012052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D-8F45-B399-C8DA09C91F0C}"/>
            </c:ext>
          </c:extLst>
        </c:ser>
        <c:ser>
          <c:idx val="1"/>
          <c:order val="1"/>
          <c:tx>
            <c:v>U int</c:v>
          </c:tx>
          <c:spPr>
            <a:ln w="47625">
              <a:noFill/>
            </a:ln>
          </c:spPr>
          <c:xVal>
            <c:numRef>
              <c:f>Sheet1!$N$130:$R$130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Sheet1!$U$148:$Y$148</c:f>
              <c:numCache>
                <c:formatCode>General</c:formatCode>
                <c:ptCount val="5"/>
                <c:pt idx="0">
                  <c:v>0.63242428494959313</c:v>
                </c:pt>
                <c:pt idx="1">
                  <c:v>0.9444329985017248</c:v>
                </c:pt>
                <c:pt idx="2">
                  <c:v>1.0316193034996104</c:v>
                </c:pt>
                <c:pt idx="3">
                  <c:v>1.3111217644473072</c:v>
                </c:pt>
                <c:pt idx="4">
                  <c:v>1.4002098320015648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D-8F45-B399-C8DA09C91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38872"/>
        <c:axId val="2105511432"/>
      </c:scatterChart>
      <c:valAx>
        <c:axId val="1790138872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2105511432"/>
        <c:crosses val="autoZero"/>
        <c:crossBetween val="midCat"/>
      </c:valAx>
      <c:valAx>
        <c:axId val="2105511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90138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UZr vac</c:v>
          </c:tx>
          <c:spPr>
            <a:ln w="47625">
              <a:noFill/>
            </a:ln>
          </c:spPr>
          <c:xVal>
            <c:numRef>
              <c:f>Sheet1!$N$130:$R$130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Sheet1!$N$140:$R$140</c:f>
              <c:numCache>
                <c:formatCode>General</c:formatCode>
                <c:ptCount val="5"/>
                <c:pt idx="0">
                  <c:v>0.96673965950049023</c:v>
                </c:pt>
                <c:pt idx="1">
                  <c:v>1.1681207352507954</c:v>
                </c:pt>
                <c:pt idx="2">
                  <c:v>1.2348185877503965</c:v>
                </c:pt>
                <c:pt idx="3">
                  <c:v>1.3227565670003969</c:v>
                </c:pt>
                <c:pt idx="4">
                  <c:v>1.303817452999283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6-874A-82FA-25A60B2CEE36}"/>
            </c:ext>
          </c:extLst>
        </c:ser>
        <c:ser>
          <c:idx val="3"/>
          <c:order val="1"/>
          <c:tx>
            <c:v>UZr int</c:v>
          </c:tx>
          <c:spPr>
            <a:ln w="47625">
              <a:noFill/>
            </a:ln>
          </c:spPr>
          <c:xVal>
            <c:numRef>
              <c:f>Sheet1!$N$130:$R$130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Sheet1!$U$140:$Y$140</c:f>
              <c:numCache>
                <c:formatCode>General</c:formatCode>
                <c:ptCount val="5"/>
                <c:pt idx="0">
                  <c:v>1.9987906287005899</c:v>
                </c:pt>
                <c:pt idx="1">
                  <c:v>1.7965684946520923</c:v>
                </c:pt>
                <c:pt idx="2">
                  <c:v>2.2342111811485665</c:v>
                </c:pt>
                <c:pt idx="3">
                  <c:v>2.3732181581981422</c:v>
                </c:pt>
                <c:pt idx="4">
                  <c:v>2.1745410137991712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6-874A-82FA-25A60B2CE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02040"/>
        <c:axId val="1790204536"/>
      </c:scatterChart>
      <c:valAx>
        <c:axId val="1790102040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1790204536"/>
        <c:crosses val="autoZero"/>
        <c:crossBetween val="midCat"/>
      </c:valAx>
      <c:valAx>
        <c:axId val="1790204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90102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UMo vac</c:v>
          </c:tx>
          <c:spPr>
            <a:ln w="47625">
              <a:noFill/>
            </a:ln>
          </c:spPr>
          <c:xVal>
            <c:numRef>
              <c:f>Sheet1!$N$130:$R$130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Sheet1!$N$132:$R$132</c:f>
              <c:numCache>
                <c:formatCode>General</c:formatCode>
                <c:ptCount val="5"/>
                <c:pt idx="0">
                  <c:v>2.114141674250277</c:v>
                </c:pt>
                <c:pt idx="1">
                  <c:v>1.9634503312504421</c:v>
                </c:pt>
                <c:pt idx="2">
                  <c:v>2.0285696470009498</c:v>
                </c:pt>
                <c:pt idx="3">
                  <c:v>2.2931386730001577</c:v>
                </c:pt>
                <c:pt idx="4">
                  <c:v>2.3600363260006816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E-7F47-929B-D1CD7EFD6AC8}"/>
            </c:ext>
          </c:extLst>
        </c:ser>
        <c:ser>
          <c:idx val="5"/>
          <c:order val="1"/>
          <c:tx>
            <c:v>UMo int</c:v>
          </c:tx>
          <c:spPr>
            <a:ln w="47625">
              <a:noFill/>
            </a:ln>
          </c:spPr>
          <c:xVal>
            <c:numRef>
              <c:f>Sheet1!$N$130:$R$130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Sheet1!$U$132:$Y$132</c:f>
              <c:numCache>
                <c:formatCode>General</c:formatCode>
                <c:ptCount val="5"/>
                <c:pt idx="0">
                  <c:v>0.8855425240490149</c:v>
                </c:pt>
                <c:pt idx="1">
                  <c:v>1.0658453162504884</c:v>
                </c:pt>
                <c:pt idx="2">
                  <c:v>0.96565356620249077</c:v>
                </c:pt>
                <c:pt idx="3">
                  <c:v>1.0552996658007032</c:v>
                </c:pt>
                <c:pt idx="4">
                  <c:v>1.5852713195999968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E-7F47-929B-D1CD7EFD6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45480"/>
        <c:axId val="2105505784"/>
      </c:scatterChart>
      <c:valAx>
        <c:axId val="1961045480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2105505784"/>
        <c:crosses val="autoZero"/>
        <c:crossBetween val="midCat"/>
      </c:valAx>
      <c:valAx>
        <c:axId val="2105505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61045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 vac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Sheet1!$C$212:$G$212</c:f>
                <c:numCache>
                  <c:formatCode>General</c:formatCode>
                  <c:ptCount val="5"/>
                  <c:pt idx="0">
                    <c:v>6.5513826693927968E-2</c:v>
                  </c:pt>
                  <c:pt idx="1">
                    <c:v>7.7915426700890397E-2</c:v>
                  </c:pt>
                  <c:pt idx="2">
                    <c:v>0.14985191943928355</c:v>
                  </c:pt>
                  <c:pt idx="3">
                    <c:v>0.12590688173661047</c:v>
                  </c:pt>
                  <c:pt idx="4">
                    <c:v>0.12025222339471503</c:v>
                  </c:pt>
                </c:numCache>
              </c:numRef>
            </c:plus>
            <c:minus>
              <c:numRef>
                <c:f>Sheet1!$C$212:$G$212</c:f>
                <c:numCache>
                  <c:formatCode>General</c:formatCode>
                  <c:ptCount val="5"/>
                  <c:pt idx="0">
                    <c:v>6.5513826693927968E-2</c:v>
                  </c:pt>
                  <c:pt idx="1">
                    <c:v>7.7915426700890397E-2</c:v>
                  </c:pt>
                  <c:pt idx="2">
                    <c:v>0.14985191943928355</c:v>
                  </c:pt>
                  <c:pt idx="3">
                    <c:v>0.12590688173661047</c:v>
                  </c:pt>
                  <c:pt idx="4">
                    <c:v>0.12025222339471503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Sheet1!$C$218:$G$218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Sheet1!$C$211:$G$211</c:f>
              <c:numCache>
                <c:formatCode>General</c:formatCode>
                <c:ptCount val="5"/>
                <c:pt idx="0">
                  <c:v>1.6098161309046191</c:v>
                </c:pt>
                <c:pt idx="1">
                  <c:v>1.4413568975219277</c:v>
                </c:pt>
                <c:pt idx="2">
                  <c:v>1.7117706451886079</c:v>
                </c:pt>
                <c:pt idx="3">
                  <c:v>1.7262843629728195</c:v>
                </c:pt>
                <c:pt idx="4">
                  <c:v>1.6799668052485686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8-8147-B00C-5BF112677073}"/>
            </c:ext>
          </c:extLst>
        </c:ser>
        <c:ser>
          <c:idx val="1"/>
          <c:order val="1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Sheet1!$O$212:$S$212</c:f>
                <c:numCache>
                  <c:formatCode>General</c:formatCode>
                  <c:ptCount val="5"/>
                  <c:pt idx="0">
                    <c:v>0.13230131174968526</c:v>
                  </c:pt>
                  <c:pt idx="1">
                    <c:v>0.13575986308042154</c:v>
                  </c:pt>
                  <c:pt idx="2">
                    <c:v>0.15630787523920353</c:v>
                  </c:pt>
                  <c:pt idx="3">
                    <c:v>0.13000542242021218</c:v>
                  </c:pt>
                  <c:pt idx="4">
                    <c:v>0.16694919945229089</c:v>
                  </c:pt>
                </c:numCache>
              </c:numRef>
            </c:plus>
            <c:minus>
              <c:numRef>
                <c:f>Sheet1!$O$212:$S$212</c:f>
                <c:numCache>
                  <c:formatCode>General</c:formatCode>
                  <c:ptCount val="5"/>
                  <c:pt idx="0">
                    <c:v>0.13230131174968526</c:v>
                  </c:pt>
                  <c:pt idx="1">
                    <c:v>0.13575986308042154</c:v>
                  </c:pt>
                  <c:pt idx="2">
                    <c:v>0.15630787523920353</c:v>
                  </c:pt>
                  <c:pt idx="3">
                    <c:v>0.13000542242021218</c:v>
                  </c:pt>
                  <c:pt idx="4">
                    <c:v>0.16694919945229089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Sheet1!$C$218:$G$218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Sheet1!$O$211:$S$211</c:f>
              <c:numCache>
                <c:formatCode>General</c:formatCode>
                <c:ptCount val="5"/>
                <c:pt idx="0">
                  <c:v>0.84281155247799688</c:v>
                </c:pt>
                <c:pt idx="1">
                  <c:v>1.6569871392125606</c:v>
                </c:pt>
                <c:pt idx="2">
                  <c:v>1.5017451304665883</c:v>
                </c:pt>
                <c:pt idx="3">
                  <c:v>1.3555226239068361</c:v>
                </c:pt>
                <c:pt idx="4">
                  <c:v>1.8811066887751622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8-8147-B00C-5BF112677073}"/>
            </c:ext>
          </c:extLst>
        </c:ser>
        <c:ser>
          <c:idx val="2"/>
          <c:order val="2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0571294077370695E-2"/>
                  <c:y val="-3.3681102362204701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Sheet1!$AA$212:$AE$212</c:f>
                <c:numCache>
                  <c:formatCode>General</c:formatCode>
                  <c:ptCount val="5"/>
                  <c:pt idx="0">
                    <c:v>9.9635652755765441E-2</c:v>
                  </c:pt>
                  <c:pt idx="1">
                    <c:v>8.8935699195851176E-2</c:v>
                  </c:pt>
                  <c:pt idx="2">
                    <c:v>0.14123191625373338</c:v>
                  </c:pt>
                  <c:pt idx="3">
                    <c:v>0.16293340694504932</c:v>
                  </c:pt>
                  <c:pt idx="4">
                    <c:v>0.14513309810352759</c:v>
                  </c:pt>
                </c:numCache>
              </c:numRef>
            </c:plus>
            <c:minus>
              <c:numRef>
                <c:f>Sheet1!$AA$212:$AE$212</c:f>
                <c:numCache>
                  <c:formatCode>General</c:formatCode>
                  <c:ptCount val="5"/>
                  <c:pt idx="0">
                    <c:v>9.9635652755765441E-2</c:v>
                  </c:pt>
                  <c:pt idx="1">
                    <c:v>8.8935699195851176E-2</c:v>
                  </c:pt>
                  <c:pt idx="2">
                    <c:v>0.14123191625373338</c:v>
                  </c:pt>
                  <c:pt idx="3">
                    <c:v>0.16293340694504932</c:v>
                  </c:pt>
                  <c:pt idx="4">
                    <c:v>0.14513309810352759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Sheet1!$C$218:$G$218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Sheet1!$AA$211:$AE$211</c:f>
              <c:numCache>
                <c:formatCode>General</c:formatCode>
                <c:ptCount val="5"/>
                <c:pt idx="0">
                  <c:v>2.2005438413989395</c:v>
                </c:pt>
                <c:pt idx="1">
                  <c:v>2.0334936307576754</c:v>
                </c:pt>
                <c:pt idx="2">
                  <c:v>2.1804431206996924</c:v>
                </c:pt>
                <c:pt idx="3">
                  <c:v>2.3139458587461377</c:v>
                </c:pt>
                <c:pt idx="4">
                  <c:v>2.4290447381927152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68-8147-B00C-5BF112677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116952"/>
        <c:axId val="1790041672"/>
      </c:scatterChart>
      <c:valAx>
        <c:axId val="1961116952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1790041672"/>
        <c:crosses val="autoZero"/>
        <c:crossBetween val="midCat"/>
      </c:valAx>
      <c:valAx>
        <c:axId val="1790041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61116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 int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Sheet1!$C$216:$G$216</c:f>
                <c:numCache>
                  <c:formatCode>General</c:formatCode>
                  <c:ptCount val="5"/>
                  <c:pt idx="0">
                    <c:v>7.2897240661121299E-2</c:v>
                  </c:pt>
                  <c:pt idx="1">
                    <c:v>6.258992197556397E-2</c:v>
                  </c:pt>
                  <c:pt idx="2">
                    <c:v>0.13212250726025146</c:v>
                  </c:pt>
                  <c:pt idx="3">
                    <c:v>0.1189223861425219</c:v>
                  </c:pt>
                  <c:pt idx="4">
                    <c:v>0.16054265316627719</c:v>
                  </c:pt>
                </c:numCache>
              </c:numRef>
            </c:plus>
            <c:minus>
              <c:numRef>
                <c:f>Sheet1!$C$216:$G$216</c:f>
                <c:numCache>
                  <c:formatCode>General</c:formatCode>
                  <c:ptCount val="5"/>
                  <c:pt idx="0">
                    <c:v>7.2897240661121299E-2</c:v>
                  </c:pt>
                  <c:pt idx="1">
                    <c:v>6.258992197556397E-2</c:v>
                  </c:pt>
                  <c:pt idx="2">
                    <c:v>0.13212250726025146</c:v>
                  </c:pt>
                  <c:pt idx="3">
                    <c:v>0.1189223861425219</c:v>
                  </c:pt>
                  <c:pt idx="4">
                    <c:v>0.16054265316627719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Sheet1!$C$218:$G$218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Sheet1!$C$214:$G$214</c:f>
              <c:numCache>
                <c:formatCode>General</c:formatCode>
                <c:ptCount val="5"/>
                <c:pt idx="0">
                  <c:v>0.73662436909717144</c:v>
                </c:pt>
                <c:pt idx="1">
                  <c:v>0.99999370247815023</c:v>
                </c:pt>
                <c:pt idx="2">
                  <c:v>1.1696292548094789</c:v>
                </c:pt>
                <c:pt idx="3">
                  <c:v>1.4110104370256522</c:v>
                </c:pt>
                <c:pt idx="4">
                  <c:v>1.3722079947524435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C-764D-849F-05B46A678ED8}"/>
            </c:ext>
          </c:extLst>
        </c:ser>
        <c:ser>
          <c:idx val="1"/>
          <c:order val="1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Sheet1!$O$215:$S$215</c:f>
                <c:numCache>
                  <c:formatCode>General</c:formatCode>
                  <c:ptCount val="5"/>
                  <c:pt idx="0">
                    <c:v>0.11536203457113349</c:v>
                  </c:pt>
                  <c:pt idx="1">
                    <c:v>0.11487640594922027</c:v>
                  </c:pt>
                  <c:pt idx="2">
                    <c:v>0.14818857348596109</c:v>
                  </c:pt>
                  <c:pt idx="3">
                    <c:v>0.13749528198796707</c:v>
                  </c:pt>
                  <c:pt idx="4">
                    <c:v>0.1814191327870649</c:v>
                  </c:pt>
                </c:numCache>
              </c:numRef>
            </c:plus>
            <c:minus>
              <c:numRef>
                <c:f>Sheet1!$O$215:$S$215</c:f>
                <c:numCache>
                  <c:formatCode>General</c:formatCode>
                  <c:ptCount val="5"/>
                  <c:pt idx="0">
                    <c:v>0.11536203457113349</c:v>
                  </c:pt>
                  <c:pt idx="1">
                    <c:v>0.11487640594922027</c:v>
                  </c:pt>
                  <c:pt idx="2">
                    <c:v>0.14818857348596109</c:v>
                  </c:pt>
                  <c:pt idx="3">
                    <c:v>0.13749528198796707</c:v>
                  </c:pt>
                  <c:pt idx="4">
                    <c:v>0.1814191327870649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Sheet1!$C$218:$G$218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Sheet1!$O$214:$S$214</c:f>
              <c:numCache>
                <c:formatCode>General</c:formatCode>
                <c:ptCount val="5"/>
                <c:pt idx="0">
                  <c:v>1.9639873475221066</c:v>
                </c:pt>
                <c:pt idx="1">
                  <c:v>1.7849983607875402</c:v>
                </c:pt>
                <c:pt idx="2">
                  <c:v>2.1689680695330935</c:v>
                </c:pt>
                <c:pt idx="3">
                  <c:v>2.2995434760932767</c:v>
                </c:pt>
                <c:pt idx="4">
                  <c:v>2.1672233112244612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C-764D-849F-05B46A678ED8}"/>
            </c:ext>
          </c:extLst>
        </c:ser>
        <c:ser>
          <c:idx val="2"/>
          <c:order val="2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3.4967331211258203E-2"/>
                  <c:y val="0.16859106153397499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Sheet1!$AA$215:$AE$215</c:f>
                <c:numCache>
                  <c:formatCode>General</c:formatCode>
                  <c:ptCount val="5"/>
                  <c:pt idx="0">
                    <c:v>7.494982866294897E-2</c:v>
                  </c:pt>
                  <c:pt idx="1">
                    <c:v>0.11647163757685805</c:v>
                  </c:pt>
                  <c:pt idx="2">
                    <c:v>0.16691853148748959</c:v>
                  </c:pt>
                  <c:pt idx="3">
                    <c:v>0.14989885363831212</c:v>
                  </c:pt>
                  <c:pt idx="4">
                    <c:v>0.19399937355912331</c:v>
                  </c:pt>
                </c:numCache>
              </c:numRef>
            </c:plus>
            <c:minus>
              <c:numRef>
                <c:f>Sheet1!$AA$215:$AE$215</c:f>
                <c:numCache>
                  <c:formatCode>General</c:formatCode>
                  <c:ptCount val="5"/>
                  <c:pt idx="0">
                    <c:v>7.494982866294897E-2</c:v>
                  </c:pt>
                  <c:pt idx="1">
                    <c:v>0.11647163757685805</c:v>
                  </c:pt>
                  <c:pt idx="2">
                    <c:v>0.16691853148748959</c:v>
                  </c:pt>
                  <c:pt idx="3">
                    <c:v>0.14989885363831212</c:v>
                  </c:pt>
                  <c:pt idx="4">
                    <c:v>0.19399937355912331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Sheet1!$C$218:$G$218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Sheet1!$AA$214:$AE$214</c:f>
              <c:numCache>
                <c:formatCode>General</c:formatCode>
                <c:ptCount val="5"/>
                <c:pt idx="0">
                  <c:v>0.80014475860070888</c:v>
                </c:pt>
                <c:pt idx="1">
                  <c:v>0.84931736924227152</c:v>
                </c:pt>
                <c:pt idx="2">
                  <c:v>1.086528679300045</c:v>
                </c:pt>
                <c:pt idx="3">
                  <c:v>0.991575741253655</c:v>
                </c:pt>
                <c:pt idx="4">
                  <c:v>1.0889098618076787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8C-764D-849F-05B46A678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587816"/>
        <c:axId val="1961590952"/>
      </c:scatterChart>
      <c:valAx>
        <c:axId val="1961587816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1961590952"/>
        <c:crosses val="autoZero"/>
        <c:crossBetween val="midCat"/>
      </c:valAx>
      <c:valAx>
        <c:axId val="1961590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61587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42143101677501"/>
          <c:y val="6.9444444444444406E-2"/>
          <c:w val="0.50583982369051705"/>
          <c:h val="0.879629629629629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Sheet1!$C$217:$G$217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Sheet1!$C$213:$G$213</c:f>
              <c:numCache>
                <c:formatCode>General</c:formatCode>
                <c:ptCount val="5"/>
                <c:pt idx="0">
                  <c:v>5.8082668416666647E-10</c:v>
                </c:pt>
                <c:pt idx="1">
                  <c:v>9.0481010666666652E-10</c:v>
                </c:pt>
                <c:pt idx="2">
                  <c:v>1.3684112566666663E-9</c:v>
                </c:pt>
                <c:pt idx="3">
                  <c:v>1.9094691241666666E-9</c:v>
                </c:pt>
                <c:pt idx="4">
                  <c:v>2.517116298333333E-9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2-2441-A801-410E169AB4D6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Sheet1!$C$217:$G$217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Sheet1!$O$213:$S$213</c:f>
              <c:numCache>
                <c:formatCode>General</c:formatCode>
                <c:ptCount val="5"/>
                <c:pt idx="0">
                  <c:v>8.5626815250000007E-10</c:v>
                </c:pt>
                <c:pt idx="1">
                  <c:v>1.42042439125E-9</c:v>
                </c:pt>
                <c:pt idx="2">
                  <c:v>2.2621191116666664E-9</c:v>
                </c:pt>
                <c:pt idx="3">
                  <c:v>3.2028076916666658E-9</c:v>
                </c:pt>
                <c:pt idx="4">
                  <c:v>4.4409647712499988E-9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2-2441-A801-410E169AB4D6}"/>
            </c:ext>
          </c:extLst>
        </c:ser>
        <c:ser>
          <c:idx val="2"/>
          <c:order val="2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1.2368080855564701E-2"/>
                  <c:y val="0.13743972003499599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Sheet1!$AA$217:$AE$217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Sheet1!$AA$213:$AE$213</c:f>
              <c:numCache>
                <c:formatCode>General</c:formatCode>
                <c:ptCount val="5"/>
                <c:pt idx="0">
                  <c:v>6.7760234249999985E-10</c:v>
                </c:pt>
                <c:pt idx="1">
                  <c:v>1.2846376974999997E-9</c:v>
                </c:pt>
                <c:pt idx="2">
                  <c:v>2.2625259445833335E-9</c:v>
                </c:pt>
                <c:pt idx="3">
                  <c:v>3.1455060145833334E-9</c:v>
                </c:pt>
                <c:pt idx="4">
                  <c:v>4.2480459379166647E-9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B2-2441-A801-410E169A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23224"/>
        <c:axId val="1961626216"/>
      </c:scatterChart>
      <c:valAx>
        <c:axId val="1961623224"/>
        <c:scaling>
          <c:orientation val="minMax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1961626216"/>
        <c:crosses val="autoZero"/>
        <c:crossBetween val="midCat"/>
      </c:valAx>
      <c:valAx>
        <c:axId val="1961626216"/>
        <c:scaling>
          <c:logBase val="10"/>
          <c:orientation val="minMax"/>
          <c:max val="9.9999999999999995E-8"/>
        </c:scaling>
        <c:delete val="0"/>
        <c:axPos val="l"/>
        <c:numFmt formatCode="General" sourceLinked="1"/>
        <c:majorTickMark val="out"/>
        <c:minorTickMark val="none"/>
        <c:tickLblPos val="nextTo"/>
        <c:crossAx val="1961623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 MEAM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Sheet1!$C$217:$G$217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Sheet1!$C$215:$G$215</c:f>
              <c:numCache>
                <c:formatCode>General</c:formatCode>
                <c:ptCount val="5"/>
                <c:pt idx="0">
                  <c:v>2.1837424391666671E-9</c:v>
                </c:pt>
                <c:pt idx="1">
                  <c:v>3.2446976108333328E-9</c:v>
                </c:pt>
                <c:pt idx="2">
                  <c:v>4.3130087691666663E-9</c:v>
                </c:pt>
                <c:pt idx="3">
                  <c:v>5.4044696166666652E-9</c:v>
                </c:pt>
                <c:pt idx="4">
                  <c:v>6.6151766341666655E-9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B7-634C-A59A-08003119A888}"/>
            </c:ext>
          </c:extLst>
        </c:ser>
        <c:ser>
          <c:idx val="1"/>
          <c:order val="1"/>
          <c:tx>
            <c:v>UZr MEAM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Sheet1!$C$217:$G$217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Sheet1!$O$216:$S$216</c:f>
              <c:numCache>
                <c:formatCode>General</c:formatCode>
                <c:ptCount val="5"/>
                <c:pt idx="0">
                  <c:v>6.7759040144999994E-9</c:v>
                </c:pt>
                <c:pt idx="1">
                  <c:v>7.5968889375000009E-9</c:v>
                </c:pt>
                <c:pt idx="2">
                  <c:v>8.8088922764999991E-9</c:v>
                </c:pt>
                <c:pt idx="3">
                  <c:v>9.4054665885000011E-9</c:v>
                </c:pt>
                <c:pt idx="4">
                  <c:v>1.0210195346666666E-8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B7-634C-A59A-08003119A888}"/>
            </c:ext>
          </c:extLst>
        </c:ser>
        <c:ser>
          <c:idx val="2"/>
          <c:order val="2"/>
          <c:tx>
            <c:v>UMo ADP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trendline>
            <c:spPr>
              <a:ln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Sheet1!$AA$217:$AE$217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Sheet1!$AA$216:$AE$216</c:f>
              <c:numCache>
                <c:formatCode>General</c:formatCode>
                <c:ptCount val="5"/>
                <c:pt idx="0">
                  <c:v>4.8808312314999997E-9</c:v>
                </c:pt>
                <c:pt idx="1">
                  <c:v>5.6736259109999999E-9</c:v>
                </c:pt>
                <c:pt idx="2">
                  <c:v>6.8933265124999993E-9</c:v>
                </c:pt>
                <c:pt idx="3">
                  <c:v>8.2965125624999985E-9</c:v>
                </c:pt>
                <c:pt idx="4">
                  <c:v>9.1851920574999987E-9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B7-634C-A59A-08003119A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77048"/>
        <c:axId val="1961682840"/>
      </c:scatterChart>
      <c:valAx>
        <c:axId val="1961677048"/>
        <c:scaling>
          <c:orientation val="minMax"/>
          <c:min val="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1/kT (eV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1961682840"/>
        <c:crosses val="autoZero"/>
        <c:crossBetween val="midCat"/>
      </c:valAx>
      <c:valAx>
        <c:axId val="1961682840"/>
        <c:scaling>
          <c:logBase val="10"/>
          <c:orientation val="minMax"/>
          <c:max val="9.9999999999999995E-8"/>
          <c:min val="1.0000000000000001E-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Diffusion Coefficient (m</a:t>
                </a:r>
                <a:r>
                  <a:rPr lang="en-US" baseline="30000"/>
                  <a:t>2</a:t>
                </a:r>
                <a:r>
                  <a:rPr lang="en-US"/>
                  <a:t>/s)</a:t>
                </a:r>
                <a:endParaRPr lang="en-US" baseline="30000"/>
              </a:p>
            </c:rich>
          </c:tx>
          <c:overlay val="0"/>
        </c:title>
        <c:numFmt formatCode="0.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616770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1134960274435203"/>
          <c:y val="7.4916993734916296E-2"/>
          <c:w val="0.543672881747569"/>
          <c:h val="0.17707750072907599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+mj-lt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Sheet1!$C$217:$G$217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Sheet1!$C$223:$G$223</c:f>
              <c:numCache>
                <c:formatCode>General</c:formatCode>
                <c:ptCount val="5"/>
                <c:pt idx="0">
                  <c:v>1.1412451653042604E-16</c:v>
                </c:pt>
                <c:pt idx="1">
                  <c:v>2.9257939588508968E-16</c:v>
                </c:pt>
                <c:pt idx="2">
                  <c:v>6.1475290784184385E-16</c:v>
                </c:pt>
                <c:pt idx="3">
                  <c:v>1.1235023701688604E-15</c:v>
                </c:pt>
                <c:pt idx="4">
                  <c:v>1.8785308224604237E-15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F-3B49-8D3E-DD126FC0B8D1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Sheet1!$C$217:$G$217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Sheet1!$O$222:$S$222</c:f>
              <c:numCache>
                <c:formatCode>General</c:formatCode>
                <c:ptCount val="5"/>
                <c:pt idx="0">
                  <c:v>2.9482623017115536E-18</c:v>
                </c:pt>
                <c:pt idx="1">
                  <c:v>6.7908397142568291E-18</c:v>
                </c:pt>
                <c:pt idx="2">
                  <c:v>1.4222511828957576E-17</c:v>
                </c:pt>
                <c:pt idx="3">
                  <c:v>2.507355670048519E-17</c:v>
                </c:pt>
                <c:pt idx="4">
                  <c:v>4.193484586783289E-17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AF-3B49-8D3E-DD126FC0B8D1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Sheet1!$AA$217:$AE$217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Sheet1!$AA$222:$AE$222</c:f>
              <c:numCache>
                <c:formatCode>General</c:formatCode>
                <c:ptCount val="5"/>
                <c:pt idx="0">
                  <c:v>3.1059820607859681E-18</c:v>
                </c:pt>
                <c:pt idx="1">
                  <c:v>1.5770591547105734E-17</c:v>
                </c:pt>
                <c:pt idx="2">
                  <c:v>6.3610140998935513E-17</c:v>
                </c:pt>
                <c:pt idx="3">
                  <c:v>1.9877405333253822E-16</c:v>
                </c:pt>
                <c:pt idx="4">
                  <c:v>5.0087456882176392E-16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AF-3B49-8D3E-DD126FC0B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715032"/>
        <c:axId val="1961718024"/>
      </c:scatterChart>
      <c:valAx>
        <c:axId val="1961715032"/>
        <c:scaling>
          <c:orientation val="minMax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1961718024"/>
        <c:crosses val="autoZero"/>
        <c:crossBetween val="midCat"/>
      </c:valAx>
      <c:valAx>
        <c:axId val="1961718024"/>
        <c:scaling>
          <c:logBase val="10"/>
          <c:orientation val="minMax"/>
          <c:max val="1E-13"/>
          <c:min val="1.0000000000000001E-18"/>
        </c:scaling>
        <c:delete val="0"/>
        <c:axPos val="l"/>
        <c:numFmt formatCode="General" sourceLinked="1"/>
        <c:majorTickMark val="out"/>
        <c:minorTickMark val="none"/>
        <c:tickLblPos val="nextTo"/>
        <c:crossAx val="19617150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26741076115485601"/>
                  <c:y val="-7.7552128900554101E-2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(Sheet1!$C$119,Sheet1!$E$119,Sheet1!$G$119,Sheet1!$I$119,Sheet1!$K$119)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(Sheet1!$C$118,Sheet1!$E$118,Sheet1!$G$118,Sheet1!$I$118,Sheet1!$K$118)</c:f>
              <c:numCache>
                <c:formatCode>General</c:formatCode>
                <c:ptCount val="5"/>
                <c:pt idx="0">
                  <c:v>4.6596959999999997E-10</c:v>
                </c:pt>
                <c:pt idx="1">
                  <c:v>1.4654267999999998E-9</c:v>
                </c:pt>
                <c:pt idx="2">
                  <c:v>3.5778167999999993E-9</c:v>
                </c:pt>
                <c:pt idx="3">
                  <c:v>8.290908E-9</c:v>
                </c:pt>
                <c:pt idx="4">
                  <c:v>1.39964724E-8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C-0D4F-9E9F-0D08773BAF7B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(Sheet1!$C$96,Sheet1!$E$96,Sheet1!$G$96,Sheet1!$I$96,Sheet1!$K$96)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(Sheet1!$C$95,Sheet1!$E$95,Sheet1!$G$95,Sheet1!$I$95,Sheet1!$K$95)</c:f>
              <c:numCache>
                <c:formatCode>General</c:formatCode>
                <c:ptCount val="5"/>
                <c:pt idx="0">
                  <c:v>3.9238666666666659E-9</c:v>
                </c:pt>
                <c:pt idx="1">
                  <c:v>4.7117593333333335E-9</c:v>
                </c:pt>
                <c:pt idx="2">
                  <c:v>5.3903026666666664E-9</c:v>
                </c:pt>
                <c:pt idx="3">
                  <c:v>6.5757193333333317E-9</c:v>
                </c:pt>
                <c:pt idx="4">
                  <c:v>6.785361999999998E-9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C-0D4F-9E9F-0D08773BA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156472"/>
        <c:axId val="1961159400"/>
      </c:scatterChart>
      <c:valAx>
        <c:axId val="1961156472"/>
        <c:scaling>
          <c:orientation val="minMax"/>
          <c:max val="16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1961159400"/>
        <c:crosses val="autoZero"/>
        <c:crossBetween val="midCat"/>
      </c:valAx>
      <c:valAx>
        <c:axId val="1961159400"/>
        <c:scaling>
          <c:logBase val="10"/>
          <c:orientation val="minMax"/>
          <c:max val="9.9999999999999995E-8"/>
        </c:scaling>
        <c:delete val="0"/>
        <c:axPos val="l"/>
        <c:numFmt formatCode="General" sourceLinked="1"/>
        <c:majorTickMark val="out"/>
        <c:minorTickMark val="none"/>
        <c:tickLblPos val="nextTo"/>
        <c:crossAx val="1961156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 MEAM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Sheet1!$C$220:$G$220</c:f>
                <c:numCache>
                  <c:formatCode>General</c:formatCode>
                  <c:ptCount val="5"/>
                  <c:pt idx="0">
                    <c:v>0.111629741591593</c:v>
                  </c:pt>
                  <c:pt idx="1">
                    <c:v>0.11425582654564942</c:v>
                  </c:pt>
                  <c:pt idx="2">
                    <c:v>0.20228776876484322</c:v>
                  </c:pt>
                  <c:pt idx="3">
                    <c:v>0.17773079932074318</c:v>
                  </c:pt>
                  <c:pt idx="4">
                    <c:v>0.22331769210853022</c:v>
                  </c:pt>
                </c:numCache>
              </c:numRef>
            </c:plus>
            <c:minus>
              <c:numRef>
                <c:f>Sheet1!$C$220:$G$220</c:f>
                <c:numCache>
                  <c:formatCode>General</c:formatCode>
                  <c:ptCount val="5"/>
                  <c:pt idx="0">
                    <c:v>0.111629741591593</c:v>
                  </c:pt>
                  <c:pt idx="1">
                    <c:v>0.11425582654564942</c:v>
                  </c:pt>
                  <c:pt idx="2">
                    <c:v>0.20228776876484322</c:v>
                  </c:pt>
                  <c:pt idx="3">
                    <c:v>0.17773079932074318</c:v>
                  </c:pt>
                  <c:pt idx="4">
                    <c:v>0.22331769210853022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Sheet1!$Q$265:$U$265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Sheet1!$Q$266:$U$266</c:f>
              <c:numCache>
                <c:formatCode>0.00</c:formatCode>
                <c:ptCount val="5"/>
                <c:pt idx="0">
                  <c:v>2.3464405000017905</c:v>
                </c:pt>
                <c:pt idx="1">
                  <c:v>2.441350600000078</c:v>
                </c:pt>
                <c:pt idx="2">
                  <c:v>2.8813998999980868</c:v>
                </c:pt>
                <c:pt idx="3">
                  <c:v>3.1372947999984717</c:v>
                </c:pt>
                <c:pt idx="4">
                  <c:v>3.052174800001012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F-0B47-8BC9-978B537A9C82}"/>
            </c:ext>
          </c:extLst>
        </c:ser>
        <c:ser>
          <c:idx val="1"/>
          <c:order val="1"/>
          <c:tx>
            <c:v>UZr MEAM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Sheet1!$O$219:$S$219</c:f>
                <c:numCache>
                  <c:formatCode>General</c:formatCode>
                  <c:ptCount val="5"/>
                  <c:pt idx="0">
                    <c:v>0.19071977370347401</c:v>
                  </c:pt>
                  <c:pt idx="1">
                    <c:v>0.18712690961792339</c:v>
                  </c:pt>
                  <c:pt idx="2">
                    <c:v>0.23576562378509824</c:v>
                  </c:pt>
                  <c:pt idx="3">
                    <c:v>0.22016050916724764</c:v>
                  </c:pt>
                  <c:pt idx="4">
                    <c:v>0.27401629084736634</c:v>
                  </c:pt>
                </c:numCache>
              </c:numRef>
            </c:plus>
            <c:minus>
              <c:numRef>
                <c:f>Sheet1!$O$219:$S$219</c:f>
                <c:numCache>
                  <c:formatCode>General</c:formatCode>
                  <c:ptCount val="5"/>
                  <c:pt idx="0">
                    <c:v>0.19071977370347401</c:v>
                  </c:pt>
                  <c:pt idx="1">
                    <c:v>0.18712690961792339</c:v>
                  </c:pt>
                  <c:pt idx="2">
                    <c:v>0.23576562378509824</c:v>
                  </c:pt>
                  <c:pt idx="3">
                    <c:v>0.22016050916724764</c:v>
                  </c:pt>
                  <c:pt idx="4">
                    <c:v>0.27401629084736634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Sheet1!$Q$265:$U$265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Sheet1!$Q$267:$U$267</c:f>
              <c:numCache>
                <c:formatCode>0.00</c:formatCode>
                <c:ptCount val="5"/>
                <c:pt idx="0">
                  <c:v>2.8067989000001035</c:v>
                </c:pt>
                <c:pt idx="1">
                  <c:v>3.4419855000001007</c:v>
                </c:pt>
                <c:pt idx="2">
                  <c:v>3.6707131999996818</c:v>
                </c:pt>
                <c:pt idx="3">
                  <c:v>3.6550661000001128</c:v>
                </c:pt>
                <c:pt idx="4">
                  <c:v>4.0483299999996234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AF-0B47-8BC9-978B537A9C82}"/>
            </c:ext>
          </c:extLst>
        </c:ser>
        <c:ser>
          <c:idx val="2"/>
          <c:order val="2"/>
          <c:tx>
            <c:v>UMo ADP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Sheet1!$AA$219:$AE$219</c:f>
                <c:numCache>
                  <c:formatCode>General</c:formatCode>
                  <c:ptCount val="5"/>
                  <c:pt idx="0">
                    <c:v>0.13820059097174375</c:v>
                  </c:pt>
                  <c:pt idx="1">
                    <c:v>0.1619915797523552</c:v>
                  </c:pt>
                  <c:pt idx="2">
                    <c:v>0.23036719552961205</c:v>
                  </c:pt>
                  <c:pt idx="3">
                    <c:v>0.2446686218807328</c:v>
                  </c:pt>
                  <c:pt idx="4">
                    <c:v>0.25854608056476197</c:v>
                  </c:pt>
                </c:numCache>
              </c:numRef>
            </c:plus>
            <c:minus>
              <c:numRef>
                <c:f>Sheet1!$AA$219:$AE$219</c:f>
                <c:numCache>
                  <c:formatCode>General</c:formatCode>
                  <c:ptCount val="5"/>
                  <c:pt idx="0">
                    <c:v>0.13820059097174375</c:v>
                  </c:pt>
                  <c:pt idx="1">
                    <c:v>0.1619915797523552</c:v>
                  </c:pt>
                  <c:pt idx="2">
                    <c:v>0.23036719552961205</c:v>
                  </c:pt>
                  <c:pt idx="3">
                    <c:v>0.2446686218807328</c:v>
                  </c:pt>
                  <c:pt idx="4">
                    <c:v>0.25854608056476197</c:v>
                  </c:pt>
                </c:numCache>
              </c:numRef>
            </c:minus>
            <c:spPr>
              <a:ln>
                <a:solidFill>
                  <a:schemeClr val="accent3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Sheet1!$Q$265:$U$265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Sheet1!$Q$268:$U$268</c:f>
              <c:numCache>
                <c:formatCode>0.00</c:formatCode>
                <c:ptCount val="5"/>
                <c:pt idx="0">
                  <c:v>3.0006885999996502</c:v>
                </c:pt>
                <c:pt idx="1">
                  <c:v>2.8828109999999469</c:v>
                </c:pt>
                <c:pt idx="2">
                  <c:v>3.2669717999997374</c:v>
                </c:pt>
                <c:pt idx="3">
                  <c:v>3.3055215999997927</c:v>
                </c:pt>
                <c:pt idx="4">
                  <c:v>3.5179546000003938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F-0B47-8BC9-978B537A9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767944"/>
        <c:axId val="1961773800"/>
      </c:scatterChart>
      <c:valAx>
        <c:axId val="1961767944"/>
        <c:scaling>
          <c:orientation val="minMax"/>
          <c:min val="7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61773800"/>
        <c:crosses val="autoZero"/>
        <c:crossBetween val="midCat"/>
      </c:valAx>
      <c:valAx>
        <c:axId val="1961773800"/>
        <c:scaling>
          <c:orientation val="minMax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Frenkel Pair Formation Energy (eV)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617679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0562361246426"/>
          <c:y val="6.6799999999999998E-2"/>
          <c:w val="0.18454920061969901"/>
          <c:h val="0.2017846153846150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27045122484689399"/>
                  <c:y val="1.3188611840186701E-2"/>
                </c:manualLayout>
              </c:layout>
              <c:numFmt formatCode="General" sourceLinked="0"/>
            </c:trendlineLbl>
          </c:trendline>
          <c:xVal>
            <c:numRef>
              <c:f>(Sheet1!$C$119,Sheet1!$E$119,Sheet1!$G$119,Sheet1!$I$119,Sheet1!$K$119)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(Sheet1!$C$118,Sheet1!$E$118,Sheet1!$G$118,Sheet1!$I$118,Sheet1!$K$118)</c:f>
              <c:numCache>
                <c:formatCode>General</c:formatCode>
                <c:ptCount val="5"/>
                <c:pt idx="0">
                  <c:v>4.6596959999999997E-10</c:v>
                </c:pt>
                <c:pt idx="1">
                  <c:v>1.4654267999999998E-9</c:v>
                </c:pt>
                <c:pt idx="2">
                  <c:v>3.5778167999999993E-9</c:v>
                </c:pt>
                <c:pt idx="3">
                  <c:v>8.290908E-9</c:v>
                </c:pt>
                <c:pt idx="4">
                  <c:v>1.39964724E-8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B-3541-B64E-4097FD0C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796216"/>
        <c:axId val="1961799080"/>
      </c:scatterChart>
      <c:valAx>
        <c:axId val="1961796216"/>
        <c:scaling>
          <c:orientation val="minMax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1961799080"/>
        <c:crosses val="autoZero"/>
        <c:crossBetween val="midCat"/>
      </c:valAx>
      <c:valAx>
        <c:axId val="1961799080"/>
        <c:scaling>
          <c:logBase val="10"/>
          <c:orientation val="minMax"/>
          <c:max val="9.9999999999999995E-8"/>
        </c:scaling>
        <c:delete val="0"/>
        <c:axPos val="l"/>
        <c:numFmt formatCode="General" sourceLinked="1"/>
        <c:majorTickMark val="out"/>
        <c:minorTickMark val="none"/>
        <c:tickLblPos val="nextTo"/>
        <c:crossAx val="1961796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 defect</a:t>
            </a:r>
            <a:r>
              <a:rPr lang="en-US" baseline="0"/>
              <a:t> diff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Int</c:v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9.2278757274905795E-2"/>
                  <c:y val="-0.39215441819772501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(Sheet1!$C$241,Sheet1!$I$241)</c:f>
              <c:numCache>
                <c:formatCode>General</c:formatCode>
                <c:ptCount val="2"/>
                <c:pt idx="0">
                  <c:v>19.340938190229732</c:v>
                </c:pt>
                <c:pt idx="1">
                  <c:v>14.5057036426723</c:v>
                </c:pt>
              </c:numCache>
            </c:numRef>
          </c:xVal>
          <c:yVal>
            <c:numRef>
              <c:f>(Sheet1!$E$255,Sheet1!$K$255)</c:f>
              <c:numCache>
                <c:formatCode>General</c:formatCode>
                <c:ptCount val="2"/>
                <c:pt idx="0">
                  <c:v>2.5351200783333325E-10</c:v>
                </c:pt>
                <c:pt idx="1">
                  <c:v>1.3715272284999998E-9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4-0748-8942-8D25912CF94A}"/>
            </c:ext>
          </c:extLst>
        </c:ser>
        <c:ser>
          <c:idx val="1"/>
          <c:order val="1"/>
          <c:tx>
            <c:v>Vac</c:v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3.00038514207463E-2"/>
                  <c:y val="-1.57411052785069E-2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(Sheet1!$C$241,Sheet1!$I$241)</c:f>
              <c:numCache>
                <c:formatCode>General</c:formatCode>
                <c:ptCount val="2"/>
                <c:pt idx="0">
                  <c:v>19.340938190229732</c:v>
                </c:pt>
                <c:pt idx="1">
                  <c:v>14.5057036426723</c:v>
                </c:pt>
              </c:numCache>
            </c:numRef>
          </c:xVal>
          <c:yVal>
            <c:numRef>
              <c:f>(Sheet1!$G$255,Sheet1!$M$255)</c:f>
              <c:numCache>
                <c:formatCode>General</c:formatCode>
                <c:ptCount val="2"/>
                <c:pt idx="0">
                  <c:v>1.5169914016666666E-10</c:v>
                </c:pt>
                <c:pt idx="1">
                  <c:v>7.9561038883333339E-10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74-0748-8942-8D25912C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831208"/>
        <c:axId val="1961834200"/>
      </c:scatterChart>
      <c:valAx>
        <c:axId val="196183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1834200"/>
        <c:crosses val="autoZero"/>
        <c:crossBetween val="midCat"/>
      </c:valAx>
      <c:valAx>
        <c:axId val="1961834200"/>
        <c:scaling>
          <c:logBase val="10"/>
          <c:orientation val="minMax"/>
          <c:max val="1E-8"/>
        </c:scaling>
        <c:delete val="0"/>
        <c:axPos val="l"/>
        <c:numFmt formatCode="General" sourceLinked="1"/>
        <c:majorTickMark val="out"/>
        <c:minorTickMark val="none"/>
        <c:tickLblPos val="nextTo"/>
        <c:crossAx val="1961831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Sheet1!$C$217:$G$217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Sheet1!$C$215:$G$215</c:f>
              <c:numCache>
                <c:formatCode>General</c:formatCode>
                <c:ptCount val="5"/>
                <c:pt idx="0">
                  <c:v>2.1837424391666671E-9</c:v>
                </c:pt>
                <c:pt idx="1">
                  <c:v>3.2446976108333328E-9</c:v>
                </c:pt>
                <c:pt idx="2">
                  <c:v>4.3130087691666663E-9</c:v>
                </c:pt>
                <c:pt idx="3">
                  <c:v>5.4044696166666652E-9</c:v>
                </c:pt>
                <c:pt idx="4">
                  <c:v>6.6151766341666655E-9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D-6847-939C-DAF46DDFCB19}"/>
            </c:ext>
          </c:extLst>
        </c:ser>
        <c:ser>
          <c:idx val="2"/>
          <c:order val="1"/>
          <c:spPr>
            <a:ln w="47625">
              <a:noFill/>
            </a:ln>
          </c:spPr>
          <c:xVal>
            <c:numRef>
              <c:f>Sheet1!$C$217:$G$217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Sheet1!$C$213:$G$213</c:f>
              <c:numCache>
                <c:formatCode>General</c:formatCode>
                <c:ptCount val="5"/>
                <c:pt idx="0">
                  <c:v>5.8082668416666647E-10</c:v>
                </c:pt>
                <c:pt idx="1">
                  <c:v>9.0481010666666652E-10</c:v>
                </c:pt>
                <c:pt idx="2">
                  <c:v>1.3684112566666663E-9</c:v>
                </c:pt>
                <c:pt idx="3">
                  <c:v>1.9094691241666666E-9</c:v>
                </c:pt>
                <c:pt idx="4">
                  <c:v>2.517116298333333E-9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D-6847-939C-DAF46DDFC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861896"/>
        <c:axId val="1961864888"/>
      </c:scatterChart>
      <c:valAx>
        <c:axId val="1961861896"/>
        <c:scaling>
          <c:orientation val="minMax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1961864888"/>
        <c:crosses val="autoZero"/>
        <c:crossBetween val="midCat"/>
      </c:valAx>
      <c:valAx>
        <c:axId val="1961864888"/>
        <c:scaling>
          <c:logBase val="10"/>
          <c:orientation val="minMax"/>
          <c:max val="9.9999999999999995E-8"/>
        </c:scaling>
        <c:delete val="0"/>
        <c:axPos val="l"/>
        <c:numFmt formatCode="General" sourceLinked="1"/>
        <c:majorTickMark val="out"/>
        <c:minorTickMark val="none"/>
        <c:tickLblPos val="nextTo"/>
        <c:crossAx val="1961861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 MEAM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Sheet1!$C$216:$G$216</c:f>
                <c:numCache>
                  <c:formatCode>General</c:formatCode>
                  <c:ptCount val="5"/>
                  <c:pt idx="0">
                    <c:v>7.2897240661121299E-2</c:v>
                  </c:pt>
                  <c:pt idx="1">
                    <c:v>6.258992197556397E-2</c:v>
                  </c:pt>
                  <c:pt idx="2">
                    <c:v>0.13212250726025146</c:v>
                  </c:pt>
                  <c:pt idx="3">
                    <c:v>0.1189223861425219</c:v>
                  </c:pt>
                  <c:pt idx="4">
                    <c:v>0.16054265316627719</c:v>
                  </c:pt>
                </c:numCache>
              </c:numRef>
            </c:plus>
            <c:minus>
              <c:numRef>
                <c:f>Sheet1!$C$216:$G$216</c:f>
                <c:numCache>
                  <c:formatCode>General</c:formatCode>
                  <c:ptCount val="5"/>
                  <c:pt idx="0">
                    <c:v>7.2897240661121299E-2</c:v>
                  </c:pt>
                  <c:pt idx="1">
                    <c:v>6.258992197556397E-2</c:v>
                  </c:pt>
                  <c:pt idx="2">
                    <c:v>0.13212250726025146</c:v>
                  </c:pt>
                  <c:pt idx="3">
                    <c:v>0.1189223861425219</c:v>
                  </c:pt>
                  <c:pt idx="4">
                    <c:v>0.16054265316627719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Sheet1!$C$218:$G$218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Sheet1!$C$214:$G$214</c:f>
              <c:numCache>
                <c:formatCode>General</c:formatCode>
                <c:ptCount val="5"/>
                <c:pt idx="0">
                  <c:v>0.73662436909717144</c:v>
                </c:pt>
                <c:pt idx="1">
                  <c:v>0.99999370247815023</c:v>
                </c:pt>
                <c:pt idx="2">
                  <c:v>1.1696292548094789</c:v>
                </c:pt>
                <c:pt idx="3">
                  <c:v>1.4110104370256522</c:v>
                </c:pt>
                <c:pt idx="4">
                  <c:v>1.3722079947524435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5-6949-B1AF-3F91A0469C86}"/>
            </c:ext>
          </c:extLst>
        </c:ser>
        <c:ser>
          <c:idx val="1"/>
          <c:order val="1"/>
          <c:tx>
            <c:v>UZr MEAM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Sheet1!$O$219:$S$219</c:f>
                <c:numCache>
                  <c:formatCode>General</c:formatCode>
                  <c:ptCount val="5"/>
                  <c:pt idx="0">
                    <c:v>0.19071977370347401</c:v>
                  </c:pt>
                  <c:pt idx="1">
                    <c:v>0.18712690961792339</c:v>
                  </c:pt>
                  <c:pt idx="2">
                    <c:v>0.23576562378509824</c:v>
                  </c:pt>
                  <c:pt idx="3">
                    <c:v>0.22016050916724764</c:v>
                  </c:pt>
                  <c:pt idx="4">
                    <c:v>0.27401629084736634</c:v>
                  </c:pt>
                </c:numCache>
              </c:numRef>
            </c:plus>
            <c:minus>
              <c:numRef>
                <c:f>Sheet1!$O$219:$S$219</c:f>
                <c:numCache>
                  <c:formatCode>General</c:formatCode>
                  <c:ptCount val="5"/>
                  <c:pt idx="0">
                    <c:v>0.19071977370347401</c:v>
                  </c:pt>
                  <c:pt idx="1">
                    <c:v>0.18712690961792339</c:v>
                  </c:pt>
                  <c:pt idx="2">
                    <c:v>0.23576562378509824</c:v>
                  </c:pt>
                  <c:pt idx="3">
                    <c:v>0.22016050916724764</c:v>
                  </c:pt>
                  <c:pt idx="4">
                    <c:v>0.27401629084736634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Sheet1!$C$218:$G$218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Sheet1!$O$214:$S$214</c:f>
              <c:numCache>
                <c:formatCode>General</c:formatCode>
                <c:ptCount val="5"/>
                <c:pt idx="0">
                  <c:v>1.9639873475221066</c:v>
                </c:pt>
                <c:pt idx="1">
                  <c:v>1.7849983607875402</c:v>
                </c:pt>
                <c:pt idx="2">
                  <c:v>2.1689680695330935</c:v>
                </c:pt>
                <c:pt idx="3">
                  <c:v>2.2995434760932767</c:v>
                </c:pt>
                <c:pt idx="4">
                  <c:v>2.1672233112244612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5-6949-B1AF-3F91A0469C86}"/>
            </c:ext>
          </c:extLst>
        </c:ser>
        <c:ser>
          <c:idx val="2"/>
          <c:order val="2"/>
          <c:tx>
            <c:v>UMo ADP</c:v>
          </c:tx>
          <c:spPr>
            <a:ln w="47625">
              <a:noFill/>
            </a:ln>
            <a:effectLst/>
          </c:spPr>
          <c:marker>
            <c:spPr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Sheet1!$AA$215:$AE$215</c:f>
                <c:numCache>
                  <c:formatCode>General</c:formatCode>
                  <c:ptCount val="5"/>
                  <c:pt idx="0">
                    <c:v>7.494982866294897E-2</c:v>
                  </c:pt>
                  <c:pt idx="1">
                    <c:v>0.11647163757685805</c:v>
                  </c:pt>
                  <c:pt idx="2">
                    <c:v>0.16691853148748959</c:v>
                  </c:pt>
                  <c:pt idx="3">
                    <c:v>0.14989885363831212</c:v>
                  </c:pt>
                  <c:pt idx="4">
                    <c:v>0.19399937355912331</c:v>
                  </c:pt>
                </c:numCache>
              </c:numRef>
            </c:plus>
            <c:minus>
              <c:numRef>
                <c:f>Sheet1!$AA$215:$AE$215</c:f>
                <c:numCache>
                  <c:formatCode>General</c:formatCode>
                  <c:ptCount val="5"/>
                  <c:pt idx="0">
                    <c:v>7.494982866294897E-2</c:v>
                  </c:pt>
                  <c:pt idx="1">
                    <c:v>0.11647163757685805</c:v>
                  </c:pt>
                  <c:pt idx="2">
                    <c:v>0.16691853148748959</c:v>
                  </c:pt>
                  <c:pt idx="3">
                    <c:v>0.14989885363831212</c:v>
                  </c:pt>
                  <c:pt idx="4">
                    <c:v>0.19399937355912331</c:v>
                  </c:pt>
                </c:numCache>
              </c:numRef>
            </c:minus>
            <c:spPr>
              <a:ln>
                <a:solidFill>
                  <a:schemeClr val="accent3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Sheet1!$C$218:$G$218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Sheet1!$AA$214:$AE$214</c:f>
              <c:numCache>
                <c:formatCode>General</c:formatCode>
                <c:ptCount val="5"/>
                <c:pt idx="0">
                  <c:v>0.80014475860070888</c:v>
                </c:pt>
                <c:pt idx="1">
                  <c:v>0.84931736924227152</c:v>
                </c:pt>
                <c:pt idx="2">
                  <c:v>1.086528679300045</c:v>
                </c:pt>
                <c:pt idx="3">
                  <c:v>0.991575741253655</c:v>
                </c:pt>
                <c:pt idx="4">
                  <c:v>1.0889098618076787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B5-6949-B1AF-3F91A046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09608"/>
        <c:axId val="2047215464"/>
      </c:scatterChart>
      <c:valAx>
        <c:axId val="2047209608"/>
        <c:scaling>
          <c:orientation val="minMax"/>
          <c:min val="7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>
            <a:solidFill>
              <a:schemeClr val="tx1"/>
            </a:solidFill>
          </a:ln>
        </c:spPr>
        <c:crossAx val="2047215464"/>
        <c:crosses val="autoZero"/>
        <c:crossBetween val="midCat"/>
      </c:valAx>
      <c:valAx>
        <c:axId val="2047215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Formation Energy (eV)</a:t>
                </a:r>
                <a:endParaRPr lang="en-US" baseline="30000"/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472096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7974689394073998"/>
          <c:y val="0.70959191633553498"/>
          <c:w val="0.51792253959225798"/>
          <c:h val="0.10765632237146799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+mj-lt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 MEAM</c:v>
          </c:tx>
          <c:spPr>
            <a:ln w="47625">
              <a:noFill/>
            </a:ln>
          </c:spPr>
          <c:xVal>
            <c:numRef>
              <c:f>Sheet1!$C$217:$G$217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Sheet1!$H$223:$L$223</c:f>
              <c:numCache>
                <c:formatCode>General</c:formatCode>
                <c:ptCount val="5"/>
                <c:pt idx="0">
                  <c:v>1.1448423996438718E-16</c:v>
                </c:pt>
                <c:pt idx="1">
                  <c:v>1.0961407805724073E-15</c:v>
                </c:pt>
                <c:pt idx="2">
                  <c:v>6.471494134367518E-15</c:v>
                </c:pt>
                <c:pt idx="3">
                  <c:v>2.7481946311277757E-14</c:v>
                </c:pt>
                <c:pt idx="4">
                  <c:v>9.3081154393362322E-14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E-B343-B661-0F49A31D21C9}"/>
            </c:ext>
          </c:extLst>
        </c:ser>
        <c:ser>
          <c:idx val="1"/>
          <c:order val="1"/>
          <c:tx>
            <c:v>UZr MEAM</c:v>
          </c:tx>
          <c:spPr>
            <a:ln w="47625">
              <a:noFill/>
            </a:ln>
          </c:spPr>
          <c:xVal>
            <c:numRef>
              <c:f>Sheet1!$C$217:$G$217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Sheet1!$T$223:$X$223</c:f>
              <c:numCache>
                <c:formatCode>General</c:formatCode>
                <c:ptCount val="5"/>
                <c:pt idx="0">
                  <c:v>1.2895203852499155E-14</c:v>
                </c:pt>
                <c:pt idx="1">
                  <c:v>3.5290923976752155E-13</c:v>
                </c:pt>
                <c:pt idx="2">
                  <c:v>6.4491210592667866E-12</c:v>
                </c:pt>
                <c:pt idx="3">
                  <c:v>5.2349287300717603E-11</c:v>
                </c:pt>
                <c:pt idx="4">
                  <c:v>4.209715824671216E-10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E-B343-B661-0F49A31D21C9}"/>
            </c:ext>
          </c:extLst>
        </c:ser>
        <c:ser>
          <c:idx val="2"/>
          <c:order val="2"/>
          <c:tx>
            <c:v>UMo ADP</c:v>
          </c:tx>
          <c:spPr>
            <a:ln w="47625">
              <a:noFill/>
            </a:ln>
          </c:spPr>
          <c:xVal>
            <c:numRef>
              <c:f>Sheet1!$AA$217:$AE$217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Sheet1!$AF$223:$AJ$223</c:f>
              <c:numCache>
                <c:formatCode>General</c:formatCode>
                <c:ptCount val="5"/>
                <c:pt idx="0">
                  <c:v>5.5630431239549597E-15</c:v>
                </c:pt>
                <c:pt idx="1">
                  <c:v>2.9582360614209401E-14</c:v>
                </c:pt>
                <c:pt idx="2">
                  <c:v>1.2130643195248758E-13</c:v>
                </c:pt>
                <c:pt idx="3">
                  <c:v>3.9498641753733618E-13</c:v>
                </c:pt>
                <c:pt idx="4">
                  <c:v>1.0022324381637509E-12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4E-B343-B661-0F49A31D21C9}"/>
            </c:ext>
          </c:extLst>
        </c:ser>
        <c:ser>
          <c:idx val="3"/>
          <c:order val="3"/>
          <c:tx>
            <c:v>EXPT</c:v>
          </c:tx>
          <c:spPr>
            <a:ln w="47625"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Sheet1!$AF$254:$AG$254</c:f>
              <c:numCache>
                <c:formatCode>General</c:formatCode>
                <c:ptCount val="2"/>
                <c:pt idx="0">
                  <c:v>10.815063293697893</c:v>
                </c:pt>
                <c:pt idx="1">
                  <c:v>8.7714005397867254</c:v>
                </c:pt>
              </c:numCache>
            </c:numRef>
          </c:xVal>
          <c:yVal>
            <c:numRef>
              <c:f>Sheet1!$AF$255:$AG$255</c:f>
              <c:numCache>
                <c:formatCode>General</c:formatCode>
                <c:ptCount val="2"/>
                <c:pt idx="0">
                  <c:v>4.4830037124572147E-13</c:v>
                </c:pt>
                <c:pt idx="1">
                  <c:v>5.1341667405442559E-12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4E-B343-B661-0F49A31D2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165496"/>
        <c:axId val="2047109256"/>
      </c:scatterChart>
      <c:valAx>
        <c:axId val="2047165496"/>
        <c:scaling>
          <c:orientation val="minMax"/>
          <c:max val="15"/>
          <c:min val="9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1/kT (eV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2047109256"/>
        <c:crosses val="autoZero"/>
        <c:crossBetween val="midCat"/>
      </c:valAx>
      <c:valAx>
        <c:axId val="2047109256"/>
        <c:scaling>
          <c:logBase val="10"/>
          <c:orientation val="minMax"/>
          <c:max val="1E-8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Diffusion Coefficient (m</a:t>
                </a:r>
                <a:r>
                  <a:rPr lang="en-US" baseline="30000"/>
                  <a:t>2</a:t>
                </a:r>
                <a:r>
                  <a:rPr lang="en-US"/>
                  <a:t>/s)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165496"/>
        <c:crosses val="autoZero"/>
        <c:crossBetween val="midCat"/>
        <c:majorUnit val="10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0016914216380899"/>
          <c:y val="7.9704997812773404E-2"/>
          <c:w val="0.238722528828608"/>
          <c:h val="0.25268400043744499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+mj-lt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'ELASTIC constants U MEAM'!$E$4</c:f>
              <c:strCache>
                <c:ptCount val="1"/>
                <c:pt idx="0">
                  <c:v>800</c:v>
                </c:pt>
              </c:strCache>
            </c:strRef>
          </c:tx>
          <c:cat>
            <c:strRef>
              <c:f>'ELASTIC constants U MEAM'!$D$16:$D$19</c:f>
              <c:strCache>
                <c:ptCount val="4"/>
                <c:pt idx="0">
                  <c:v>c11</c:v>
                </c:pt>
                <c:pt idx="1">
                  <c:v>c12</c:v>
                </c:pt>
                <c:pt idx="2">
                  <c:v>c44</c:v>
                </c:pt>
                <c:pt idx="3">
                  <c:v>B</c:v>
                </c:pt>
              </c:strCache>
            </c:strRef>
          </c:cat>
          <c:val>
            <c:numRef>
              <c:f>'ELASTIC constants U MEAM'!$I$20:$I$23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2-A544-ADB4-CA1DA0C331D8}"/>
            </c:ext>
          </c:extLst>
        </c:ser>
        <c:ser>
          <c:idx val="1"/>
          <c:order val="1"/>
          <c:tx>
            <c:strRef>
              <c:f>'ELASTIC constants U MEAM'!$K$4</c:f>
              <c:strCache>
                <c:ptCount val="1"/>
                <c:pt idx="0">
                  <c:v>900</c:v>
                </c:pt>
              </c:strCache>
            </c:strRef>
          </c:tx>
          <c:val>
            <c:numRef>
              <c:f>'ELASTIC constants U MEAM'!$O$20:$O$23</c:f>
              <c:numCache>
                <c:formatCode>General</c:formatCode>
                <c:ptCount val="4"/>
                <c:pt idx="0">
                  <c:v>0.95842182980641977</c:v>
                </c:pt>
                <c:pt idx="1">
                  <c:v>0.98943842218271383</c:v>
                </c:pt>
                <c:pt idx="2">
                  <c:v>1.4381782706606161</c:v>
                </c:pt>
                <c:pt idx="3">
                  <c:v>0.97733397155058599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2-A544-ADB4-CA1DA0C331D8}"/>
            </c:ext>
          </c:extLst>
        </c:ser>
        <c:ser>
          <c:idx val="2"/>
          <c:order val="2"/>
          <c:tx>
            <c:strRef>
              <c:f>'ELASTIC constants U MEAM'!$Q$4</c:f>
              <c:strCache>
                <c:ptCount val="1"/>
                <c:pt idx="0">
                  <c:v>1000</c:v>
                </c:pt>
              </c:strCache>
            </c:strRef>
          </c:tx>
          <c:val>
            <c:numRef>
              <c:f>'ELASTIC constants U MEAM'!$U$20:$U$23</c:f>
              <c:numCache>
                <c:formatCode>General</c:formatCode>
                <c:ptCount val="4"/>
                <c:pt idx="0">
                  <c:v>0.99034489949134663</c:v>
                </c:pt>
                <c:pt idx="1">
                  <c:v>0.92576324820407219</c:v>
                </c:pt>
                <c:pt idx="2">
                  <c:v>1.2468372830739853</c:v>
                </c:pt>
                <c:pt idx="3">
                  <c:v>0.95096670705810127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2-A544-ADB4-CA1DA0C331D8}"/>
            </c:ext>
          </c:extLst>
        </c:ser>
        <c:ser>
          <c:idx val="3"/>
          <c:order val="3"/>
          <c:tx>
            <c:strRef>
              <c:f>'ELASTIC constants U MEAM'!$W$4</c:f>
              <c:strCache>
                <c:ptCount val="1"/>
                <c:pt idx="0">
                  <c:v>1100</c:v>
                </c:pt>
              </c:strCache>
            </c:strRef>
          </c:tx>
          <c:val>
            <c:numRef>
              <c:f>'ELASTIC constants U MEAM'!$AA$20:$AA$23</c:f>
              <c:numCache>
                <c:formatCode>General</c:formatCode>
                <c:ptCount val="4"/>
                <c:pt idx="0">
                  <c:v>0.93590229845873818</c:v>
                </c:pt>
                <c:pt idx="1">
                  <c:v>0.85332495257092067</c:v>
                </c:pt>
                <c:pt idx="2">
                  <c:v>2.1464904437858241</c:v>
                </c:pt>
                <c:pt idx="3">
                  <c:v>0.88555136205216356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A2-A544-ADB4-CA1DA0C331D8}"/>
            </c:ext>
          </c:extLst>
        </c:ser>
        <c:ser>
          <c:idx val="4"/>
          <c:order val="4"/>
          <c:tx>
            <c:strRef>
              <c:f>'ELASTIC constants U MEAM'!$AC$4</c:f>
              <c:strCache>
                <c:ptCount val="1"/>
                <c:pt idx="0">
                  <c:v>1200</c:v>
                </c:pt>
              </c:strCache>
            </c:strRef>
          </c:tx>
          <c:val>
            <c:numRef>
              <c:f>'ELASTIC constants U MEAM'!$AG$20:$AG$23</c:f>
              <c:numCache>
                <c:formatCode>General</c:formatCode>
                <c:ptCount val="4"/>
                <c:pt idx="0">
                  <c:v>0.86583877917923835</c:v>
                </c:pt>
                <c:pt idx="1">
                  <c:v>0.88360310139619036</c:v>
                </c:pt>
                <c:pt idx="2">
                  <c:v>1.7534869196368543</c:v>
                </c:pt>
                <c:pt idx="3">
                  <c:v>0.87667044552350171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A2-A544-ADB4-CA1DA0C3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801784"/>
        <c:axId val="2015804808"/>
      </c:lineChart>
      <c:catAx>
        <c:axId val="201580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15804808"/>
        <c:crosses val="autoZero"/>
        <c:auto val="1"/>
        <c:lblAlgn val="ctr"/>
        <c:lblOffset val="100"/>
        <c:noMultiLvlLbl val="0"/>
      </c:catAx>
      <c:valAx>
        <c:axId val="2015804808"/>
        <c:scaling>
          <c:orientation val="minMax"/>
          <c:min val="0.75"/>
        </c:scaling>
        <c:delete val="0"/>
        <c:axPos val="l"/>
        <c:numFmt formatCode="General" sourceLinked="1"/>
        <c:majorTickMark val="out"/>
        <c:minorTickMark val="none"/>
        <c:tickLblPos val="nextTo"/>
        <c:crossAx val="201580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c44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('ELASTIC constants U MEAM'!$J$18,'ELASTIC constants U MEAM'!$P$18,'ELASTIC constants U MEAM'!$V$18,'ELASTIC constants U MEAM'!$AB$18,'ELASTIC constants U MEAM'!$AH$18)</c:f>
                <c:numCache>
                  <c:formatCode>General</c:formatCode>
                  <c:ptCount val="5"/>
                  <c:pt idx="0">
                    <c:v>1.9650068572716333</c:v>
                  </c:pt>
                  <c:pt idx="1">
                    <c:v>2.1520131755278316</c:v>
                  </c:pt>
                  <c:pt idx="2">
                    <c:v>1.8582430127788361</c:v>
                  </c:pt>
                  <c:pt idx="3">
                    <c:v>2.281890950939363</c:v>
                  </c:pt>
                  <c:pt idx="4">
                    <c:v>3.5505132110125341</c:v>
                  </c:pt>
                </c:numCache>
              </c:numRef>
            </c:plus>
            <c:minus>
              <c:numRef>
                <c:f>('ELASTIC constants U MEAM'!$J$18,'ELASTIC constants U MEAM'!$P$18,'ELASTIC constants U MEAM'!$V$18,'ELASTIC constants U MEAM'!$AB$18,'ELASTIC constants U MEAM'!$AH$18)</c:f>
                <c:numCache>
                  <c:formatCode>General</c:formatCode>
                  <c:ptCount val="5"/>
                  <c:pt idx="0">
                    <c:v>1.9650068572716333</c:v>
                  </c:pt>
                  <c:pt idx="1">
                    <c:v>2.1520131755278316</c:v>
                  </c:pt>
                  <c:pt idx="2">
                    <c:v>1.8582430127788361</c:v>
                  </c:pt>
                  <c:pt idx="3">
                    <c:v>2.281890950939363</c:v>
                  </c:pt>
                  <c:pt idx="4">
                    <c:v>3.5505132110125341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('ELASTIC constants U MEAM'!$H$4,'ELASTIC constants U MEAM'!$N$4,'ELASTIC constants U MEAM'!$T$4,'ELASTIC constants U MEAM'!$Z$4,'ELASTIC constants U MEAM'!$AF$4)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('ELASTIC constants U MEAM'!$I$18,'ELASTIC constants U MEAM'!$O$18,'ELASTIC constants U MEAM'!$U$18,'ELASTIC constants U MEAM'!$AA$18,'ELASTIC constants U MEAM'!$AG$18)</c:f>
              <c:numCache>
                <c:formatCode>General</c:formatCode>
                <c:ptCount val="5"/>
                <c:pt idx="0">
                  <c:v>3.1264872939816004</c:v>
                </c:pt>
                <c:pt idx="1">
                  <c:v>4.4964460897008474</c:v>
                </c:pt>
                <c:pt idx="2">
                  <c:v>3.8982209231933553</c:v>
                </c:pt>
                <c:pt idx="3">
                  <c:v>6.7109750991493051</c:v>
                </c:pt>
                <c:pt idx="4">
                  <c:v>5.4822545744075608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5-4849-BA92-17DAEBE0F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099064"/>
        <c:axId val="2016102024"/>
      </c:scatterChart>
      <c:valAx>
        <c:axId val="2016099064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2016102024"/>
        <c:crosses val="autoZero"/>
        <c:crossBetween val="midCat"/>
      </c:valAx>
      <c:valAx>
        <c:axId val="2016102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1609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C11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('ELASTIC constants U MEAM'!$J$16,'ELASTIC constants U MEAM'!$P$16,'ELASTIC constants U MEAM'!$V$16,'ELASTIC constants U MEAM'!$AB$16,'ELASTIC constants U MEAM'!$AH$16)</c:f>
                <c:numCache>
                  <c:formatCode>General</c:formatCode>
                  <c:ptCount val="5"/>
                  <c:pt idx="0">
                    <c:v>1.7243822533904514</c:v>
                  </c:pt>
                  <c:pt idx="1">
                    <c:v>0.7085118540405656</c:v>
                  </c:pt>
                  <c:pt idx="2">
                    <c:v>3.246400526753932</c:v>
                  </c:pt>
                  <c:pt idx="3">
                    <c:v>2.2312858720596322</c:v>
                  </c:pt>
                  <c:pt idx="4">
                    <c:v>2.2531798118011981</c:v>
                  </c:pt>
                </c:numCache>
              </c:numRef>
            </c:plus>
            <c:minus>
              <c:numRef>
                <c:f>('ELASTIC constants U MEAM'!$J$16,'ELASTIC constants U MEAM'!$P$16,'ELASTIC constants U MEAM'!$V$16,'ELASTIC constants U MEAM'!$AB$16,'ELASTIC constants U MEAM'!$AH$16)</c:f>
                <c:numCache>
                  <c:formatCode>General</c:formatCode>
                  <c:ptCount val="5"/>
                  <c:pt idx="0">
                    <c:v>1.7243822533904514</c:v>
                  </c:pt>
                  <c:pt idx="1">
                    <c:v>0.7085118540405656</c:v>
                  </c:pt>
                  <c:pt idx="2">
                    <c:v>3.246400526753932</c:v>
                  </c:pt>
                  <c:pt idx="3">
                    <c:v>2.2312858720596322</c:v>
                  </c:pt>
                  <c:pt idx="4">
                    <c:v>2.2531798118011981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('ELASTIC constants U MEAM'!$H$4,'ELASTIC constants U MEAM'!$N$4,'ELASTIC constants U MEAM'!$T$4,'ELASTIC constants U MEAM'!$Z$4,'ELASTIC constants U MEAM'!$AF$4)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('ELASTIC constants U MEAM'!$I$16,'ELASTIC constants U MEAM'!$O$16,'ELASTIC constants U MEAM'!$U$16,'ELASTIC constants U MEAM'!$AA$16,'ELASTIC constants U MEAM'!$AG$16)</c:f>
              <c:numCache>
                <c:formatCode>General</c:formatCode>
                <c:ptCount val="5"/>
                <c:pt idx="0">
                  <c:v>95.525608631754764</c:v>
                </c:pt>
                <c:pt idx="1">
                  <c:v>91.553828618218333</c:v>
                </c:pt>
                <c:pt idx="2">
                  <c:v>94.603299279264888</c:v>
                </c:pt>
                <c:pt idx="3">
                  <c:v>89.402636680129163</c:v>
                </c:pt>
                <c:pt idx="4">
                  <c:v>82.709776358072261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F-7C4F-8B98-FC327A0FC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516808"/>
        <c:axId val="2015519768"/>
      </c:scatterChart>
      <c:valAx>
        <c:axId val="2015516808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2015519768"/>
        <c:crosses val="autoZero"/>
        <c:crossBetween val="midCat"/>
      </c:valAx>
      <c:valAx>
        <c:axId val="2015519768"/>
        <c:scaling>
          <c:orientation val="minMax"/>
          <c:min val="80"/>
        </c:scaling>
        <c:delete val="0"/>
        <c:axPos val="l"/>
        <c:numFmt formatCode="General" sourceLinked="1"/>
        <c:majorTickMark val="out"/>
        <c:minorTickMark val="none"/>
        <c:tickLblPos val="nextTo"/>
        <c:crossAx val="2015516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C12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('ELASTIC constants U MEAM'!$J$17,'ELASTIC constants U MEAM'!$P$17,'ELASTIC constants U MEAM'!$V$17,'ELASTIC constants U MEAM'!$AB$17,'ELASTIC constants U MEAM'!$AH$17)</c:f>
                <c:numCache>
                  <c:formatCode>General</c:formatCode>
                  <c:ptCount val="5"/>
                  <c:pt idx="0">
                    <c:v>1.7866099845102608</c:v>
                  </c:pt>
                  <c:pt idx="1">
                    <c:v>0.60526780455043261</c:v>
                  </c:pt>
                  <c:pt idx="2">
                    <c:v>1.7704646492578375</c:v>
                  </c:pt>
                  <c:pt idx="3">
                    <c:v>4.1205031411977631</c:v>
                  </c:pt>
                  <c:pt idx="4">
                    <c:v>2.6607349767568511</c:v>
                  </c:pt>
                </c:numCache>
              </c:numRef>
            </c:plus>
            <c:minus>
              <c:numRef>
                <c:f>('ELASTIC constants U MEAM'!$J$17,'ELASTIC constants U MEAM'!$P$17,'ELASTIC constants U MEAM'!$V$17,'ELASTIC constants U MEAM'!$AB$17,'ELASTIC constants U MEAM'!$AH$17)</c:f>
                <c:numCache>
                  <c:formatCode>General</c:formatCode>
                  <c:ptCount val="5"/>
                  <c:pt idx="0">
                    <c:v>1.7866099845102608</c:v>
                  </c:pt>
                  <c:pt idx="1">
                    <c:v>0.60526780455043261</c:v>
                  </c:pt>
                  <c:pt idx="2">
                    <c:v>1.7704646492578375</c:v>
                  </c:pt>
                  <c:pt idx="3">
                    <c:v>4.1205031411977631</c:v>
                  </c:pt>
                  <c:pt idx="4">
                    <c:v>2.6607349767568511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('ELASTIC constants U MEAM'!$H$4,'ELASTIC constants U MEAM'!$N$4,'ELASTIC constants U MEAM'!$T$4,'ELASTIC constants U MEAM'!$Z$4,'ELASTIC constants U MEAM'!$AF$4)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('ELASTIC constants U MEAM'!$I$17,'ELASTIC constants U MEAM'!$O$17,'ELASTIC constants U MEAM'!$U$17,'ELASTIC constants U MEAM'!$AA$17,'ELASTIC constants U MEAM'!$AG$17)</c:f>
              <c:numCache>
                <c:formatCode>General</c:formatCode>
                <c:ptCount val="5"/>
                <c:pt idx="0">
                  <c:v>74.625189756500333</c:v>
                </c:pt>
                <c:pt idx="1">
                  <c:v>73.837030007757306</c:v>
                </c:pt>
                <c:pt idx="2">
                  <c:v>69.085258066823002</c:v>
                </c:pt>
                <c:pt idx="3">
                  <c:v>63.679536509561601</c:v>
                </c:pt>
                <c:pt idx="4">
                  <c:v>65.939049111122912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A-0A4B-BEBA-B243FA18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864488"/>
        <c:axId val="2015867448"/>
      </c:scatterChart>
      <c:valAx>
        <c:axId val="2015864488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2015867448"/>
        <c:crosses val="autoZero"/>
        <c:crossBetween val="midCat"/>
      </c:valAx>
      <c:valAx>
        <c:axId val="2015867448"/>
        <c:scaling>
          <c:orientation val="minMax"/>
          <c:max val="80"/>
          <c:min val="55"/>
        </c:scaling>
        <c:delete val="0"/>
        <c:axPos val="l"/>
        <c:numFmt formatCode="General" sourceLinked="1"/>
        <c:majorTickMark val="out"/>
        <c:minorTickMark val="none"/>
        <c:tickLblPos val="nextTo"/>
        <c:crossAx val="2015864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02421307506101"/>
          <c:y val="5.0583657587548597E-2"/>
          <c:w val="0.81384987893462502"/>
          <c:h val="0.78638132295719798"/>
        </c:manualLayout>
      </c:layout>
      <c:scatterChart>
        <c:scatterStyle val="lineMarker"/>
        <c:varyColors val="0"/>
        <c:ser>
          <c:idx val="0"/>
          <c:order val="0"/>
          <c:tx>
            <c:v>U MEAM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Sheet1!$W$12:$AA$12</c:f>
                <c:numCache>
                  <c:formatCode>General</c:formatCode>
                  <c:ptCount val="5"/>
                  <c:pt idx="0">
                    <c:v>0.15442038084921</c:v>
                  </c:pt>
                  <c:pt idx="1">
                    <c:v>0.13831140207440226</c:v>
                  </c:pt>
                  <c:pt idx="2">
                    <c:v>0.18652631257390678</c:v>
                  </c:pt>
                  <c:pt idx="3">
                    <c:v>0.19273010810225571</c:v>
                  </c:pt>
                  <c:pt idx="4">
                    <c:v>0.30026483837155415</c:v>
                  </c:pt>
                </c:numCache>
              </c:numRef>
            </c:plus>
            <c:minus>
              <c:numRef>
                <c:f>Sheet1!$W$13:$AA$13</c:f>
                <c:numCache>
                  <c:formatCode>General</c:formatCode>
                  <c:ptCount val="5"/>
                  <c:pt idx="0">
                    <c:v>0.14687898829412091</c:v>
                  </c:pt>
                  <c:pt idx="1">
                    <c:v>0.19307031034113642</c:v>
                  </c:pt>
                  <c:pt idx="2">
                    <c:v>0.20061308412188056</c:v>
                  </c:pt>
                  <c:pt idx="3">
                    <c:v>0.29125060312455553</c:v>
                  </c:pt>
                  <c:pt idx="4">
                    <c:v>0.39390283586952268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numRef>
              <c:f>Sheet1!$R$11:$V$11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Sheet1!$R$12:$V$12</c:f>
              <c:numCache>
                <c:formatCode>0.00</c:formatCode>
                <c:ptCount val="5"/>
                <c:pt idx="0">
                  <c:v>0.63242428494959313</c:v>
                </c:pt>
                <c:pt idx="1">
                  <c:v>0.9444329985017248</c:v>
                </c:pt>
                <c:pt idx="2">
                  <c:v>1.0316193034996104</c:v>
                </c:pt>
                <c:pt idx="3">
                  <c:v>1.3111217644473072</c:v>
                </c:pt>
                <c:pt idx="4">
                  <c:v>1.4002098320015648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1-0446-9D0C-43802301C0F6}"/>
            </c:ext>
          </c:extLst>
        </c:ser>
        <c:ser>
          <c:idx val="1"/>
          <c:order val="1"/>
          <c:tx>
            <c:v>UZr MEAM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Sheet1!$W$13:$AA$13</c:f>
                <c:numCache>
                  <c:formatCode>General</c:formatCode>
                  <c:ptCount val="5"/>
                  <c:pt idx="0">
                    <c:v>0.14687898829412091</c:v>
                  </c:pt>
                  <c:pt idx="1">
                    <c:v>0.19307031034113642</c:v>
                  </c:pt>
                  <c:pt idx="2">
                    <c:v>0.20061308412188056</c:v>
                  </c:pt>
                  <c:pt idx="3">
                    <c:v>0.29125060312455553</c:v>
                  </c:pt>
                  <c:pt idx="4">
                    <c:v>0.39390283586952268</c:v>
                  </c:pt>
                </c:numCache>
              </c:numRef>
            </c:plus>
            <c:minus>
              <c:numRef>
                <c:f>Sheet1!$W$13:$AA$13</c:f>
                <c:numCache>
                  <c:formatCode>General</c:formatCode>
                  <c:ptCount val="5"/>
                  <c:pt idx="0">
                    <c:v>0.14687898829412091</c:v>
                  </c:pt>
                  <c:pt idx="1">
                    <c:v>0.19307031034113642</c:v>
                  </c:pt>
                  <c:pt idx="2">
                    <c:v>0.20061308412188056</c:v>
                  </c:pt>
                  <c:pt idx="3">
                    <c:v>0.29125060312455553</c:v>
                  </c:pt>
                  <c:pt idx="4">
                    <c:v>0.39390283586952268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Sheet1!$R$11:$V$11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Sheet1!$R$13:$V$13</c:f>
              <c:numCache>
                <c:formatCode>0.00</c:formatCode>
                <c:ptCount val="5"/>
                <c:pt idx="0">
                  <c:v>1.9987906287005899</c:v>
                </c:pt>
                <c:pt idx="1">
                  <c:v>1.7965684946520923</c:v>
                </c:pt>
                <c:pt idx="2">
                  <c:v>2.2342111811485665</c:v>
                </c:pt>
                <c:pt idx="3">
                  <c:v>2.3732181581981422</c:v>
                </c:pt>
                <c:pt idx="4">
                  <c:v>2.1745410137991712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1-0446-9D0C-43802301C0F6}"/>
            </c:ext>
          </c:extLst>
        </c:ser>
        <c:ser>
          <c:idx val="2"/>
          <c:order val="2"/>
          <c:tx>
            <c:v>UMo ADP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Sheet1!$W$14:$AA$14</c:f>
                <c:numCache>
                  <c:formatCode>General</c:formatCode>
                  <c:ptCount val="5"/>
                  <c:pt idx="0">
                    <c:v>0.12244006807979527</c:v>
                  </c:pt>
                  <c:pt idx="1">
                    <c:v>0.19349451697649928</c:v>
                  </c:pt>
                  <c:pt idx="2">
                    <c:v>0.22005594381083976</c:v>
                  </c:pt>
                  <c:pt idx="3">
                    <c:v>0.28882154273747707</c:v>
                  </c:pt>
                  <c:pt idx="4">
                    <c:v>0.32327801023694414</c:v>
                  </c:pt>
                </c:numCache>
              </c:numRef>
            </c:plus>
            <c:minus>
              <c:numRef>
                <c:f>Sheet1!$W$14:$AA$14</c:f>
                <c:numCache>
                  <c:formatCode>General</c:formatCode>
                  <c:ptCount val="5"/>
                  <c:pt idx="0">
                    <c:v>0.12244006807979527</c:v>
                  </c:pt>
                  <c:pt idx="1">
                    <c:v>0.19349451697649928</c:v>
                  </c:pt>
                  <c:pt idx="2">
                    <c:v>0.22005594381083976</c:v>
                  </c:pt>
                  <c:pt idx="3">
                    <c:v>0.28882154273747707</c:v>
                  </c:pt>
                  <c:pt idx="4">
                    <c:v>0.32327801023694414</c:v>
                  </c:pt>
                </c:numCache>
              </c:numRef>
            </c:minus>
            <c:spPr>
              <a:ln>
                <a:solidFill>
                  <a:schemeClr val="accent3"/>
                </a:solidFill>
              </a:ln>
            </c:spPr>
          </c:errBars>
          <c:xVal>
            <c:numRef>
              <c:f>Sheet1!$R$11:$V$11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Sheet1!$R$14:$V$14</c:f>
              <c:numCache>
                <c:formatCode>0.00</c:formatCode>
                <c:ptCount val="5"/>
                <c:pt idx="0">
                  <c:v>0.8855425240490149</c:v>
                </c:pt>
                <c:pt idx="1">
                  <c:v>1.0658453162504884</c:v>
                </c:pt>
                <c:pt idx="2">
                  <c:v>0.96565356620249077</c:v>
                </c:pt>
                <c:pt idx="3">
                  <c:v>1.0552996658007032</c:v>
                </c:pt>
                <c:pt idx="4">
                  <c:v>1.5852713195999968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1-0446-9D0C-43802301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205336"/>
        <c:axId val="1961211128"/>
      </c:scatterChart>
      <c:valAx>
        <c:axId val="1961205336"/>
        <c:scaling>
          <c:orientation val="minMax"/>
          <c:max val="1300"/>
          <c:min val="7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61211128"/>
        <c:crosses val="autoZero"/>
        <c:crossBetween val="midCat"/>
      </c:valAx>
      <c:valAx>
        <c:axId val="1961211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Formation Energy (eV)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6120533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l"/>
      <c:layout>
        <c:manualLayout>
          <c:xMode val="edge"/>
          <c:yMode val="edge"/>
          <c:x val="0.26542639797144002"/>
          <c:y val="0.64036091792027905"/>
          <c:w val="0.52929477035709505"/>
          <c:h val="0.234430895554398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Times"/>
          <a:cs typeface="Times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('ELASTIC constants U MEAM'!$J$19,'ELASTIC constants U MEAM'!$P$19,'ELASTIC constants U MEAM'!$V$19,'ELASTIC constants U MEAM'!$AB$19,'ELASTIC constants U MEAM'!$AH$19)</c:f>
                <c:numCache>
                  <c:formatCode>General</c:formatCode>
                  <c:ptCount val="5"/>
                  <c:pt idx="0">
                    <c:v>1.2654617577112228</c:v>
                  </c:pt>
                  <c:pt idx="1">
                    <c:v>0.47264425380067504</c:v>
                  </c:pt>
                  <c:pt idx="2">
                    <c:v>2.1850061658864428</c:v>
                  </c:pt>
                  <c:pt idx="3">
                    <c:v>2.1920539067975278</c:v>
                  </c:pt>
                  <c:pt idx="4">
                    <c:v>2.4720042167753546</c:v>
                  </c:pt>
                </c:numCache>
              </c:numRef>
            </c:plus>
            <c:minus>
              <c:numRef>
                <c:f>('ELASTIC constants U MEAM'!$J$19,'ELASTIC constants U MEAM'!$P$19,'ELASTIC constants U MEAM'!$V$19,'ELASTIC constants U MEAM'!$AB$19,'ELASTIC constants U MEAM'!$AH$19)</c:f>
                <c:numCache>
                  <c:formatCode>General</c:formatCode>
                  <c:ptCount val="5"/>
                  <c:pt idx="0">
                    <c:v>1.2654617577112228</c:v>
                  </c:pt>
                  <c:pt idx="1">
                    <c:v>0.47264425380067504</c:v>
                  </c:pt>
                  <c:pt idx="2">
                    <c:v>2.1850061658864428</c:v>
                  </c:pt>
                  <c:pt idx="3">
                    <c:v>2.1920539067975278</c:v>
                  </c:pt>
                  <c:pt idx="4">
                    <c:v>2.4720042167753546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('ELASTIC constants U MEAM'!$H$4,'ELASTIC constants U MEAM'!$N$4,'ELASTIC constants U MEAM'!$T$4,'ELASTIC constants U MEAM'!$Z$4,'ELASTIC constants U MEAM'!$AF$4)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('ELASTIC constants U MEAM'!$I$19,'ELASTIC constants U MEAM'!$O$19,'ELASTIC constants U MEAM'!$U$19,'ELASTIC constants U MEAM'!$AA$19,'ELASTIC constants U MEAM'!$AG$19)</c:f>
              <c:numCache>
                <c:formatCode>General</c:formatCode>
                <c:ptCount val="5"/>
                <c:pt idx="0">
                  <c:v>81.591996048251801</c:v>
                </c:pt>
                <c:pt idx="1">
                  <c:v>79.742629544577653</c:v>
                </c:pt>
                <c:pt idx="2">
                  <c:v>77.591271804303631</c:v>
                </c:pt>
                <c:pt idx="3">
                  <c:v>72.253903233084131</c:v>
                </c:pt>
                <c:pt idx="4">
                  <c:v>71.529291526772695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A-254F-A9AA-3DFA6B27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507880"/>
        <c:axId val="1788554488"/>
      </c:scatterChart>
      <c:valAx>
        <c:axId val="2015507880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1788554488"/>
        <c:crosses val="autoZero"/>
        <c:crossBetween val="midCat"/>
      </c:valAx>
      <c:valAx>
        <c:axId val="1788554488"/>
        <c:scaling>
          <c:orientation val="minMax"/>
          <c:max val="85"/>
          <c:min val="65"/>
        </c:scaling>
        <c:delete val="0"/>
        <c:axPos val="l"/>
        <c:numFmt formatCode="General" sourceLinked="1"/>
        <c:majorTickMark val="out"/>
        <c:minorTickMark val="none"/>
        <c:tickLblPos val="nextTo"/>
        <c:crossAx val="2015507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c11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('UZr MEAM elastic'!$H$16,'UZr MEAM elastic'!$N$16,'UZr MEAM elastic'!$T$16,'UZr MEAM elastic'!$Z$16,'UZr MEAM elastic'!$AF$16)</c:f>
                <c:numCache>
                  <c:formatCode>General</c:formatCode>
                  <c:ptCount val="5"/>
                  <c:pt idx="0">
                    <c:v>0.69053352120145584</c:v>
                  </c:pt>
                  <c:pt idx="1">
                    <c:v>1.8602629009904572</c:v>
                  </c:pt>
                  <c:pt idx="2">
                    <c:v>2.5956451239881364</c:v>
                  </c:pt>
                  <c:pt idx="3">
                    <c:v>3.4148847453215647</c:v>
                  </c:pt>
                  <c:pt idx="4">
                    <c:v>1.7886599334499624</c:v>
                  </c:pt>
                </c:numCache>
              </c:numRef>
            </c:plus>
            <c:minus>
              <c:numRef>
                <c:f>('UZr MEAM elastic'!$H$16,'UZr MEAM elastic'!$N$16,'UZr MEAM elastic'!$T$16,'UZr MEAM elastic'!$Z$16,'UZr MEAM elastic'!$AF$16)</c:f>
                <c:numCache>
                  <c:formatCode>General</c:formatCode>
                  <c:ptCount val="5"/>
                  <c:pt idx="0">
                    <c:v>0.69053352120145584</c:v>
                  </c:pt>
                  <c:pt idx="1">
                    <c:v>1.8602629009904572</c:v>
                  </c:pt>
                  <c:pt idx="2">
                    <c:v>2.5956451239881364</c:v>
                  </c:pt>
                  <c:pt idx="3">
                    <c:v>3.4148847453215647</c:v>
                  </c:pt>
                  <c:pt idx="4">
                    <c:v>1.7886599334499624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('UZr MEAM elastic'!$C$4,'UZr MEAM elastic'!$I$4,'UZr MEAM elastic'!$O$4,'UZr MEAM elastic'!$U$4,'UZr MEAM elastic'!$AA$4)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('UZr MEAM elastic'!$G$16,'UZr MEAM elastic'!$M$16,'UZr MEAM elastic'!$S$16,'UZr MEAM elastic'!$Y$16,'UZr MEAM elastic'!$AE$16)</c:f>
              <c:numCache>
                <c:formatCode>General</c:formatCode>
                <c:ptCount val="5"/>
                <c:pt idx="0">
                  <c:v>97.534686419049521</c:v>
                </c:pt>
                <c:pt idx="1">
                  <c:v>93.805186447864926</c:v>
                </c:pt>
                <c:pt idx="2">
                  <c:v>88.743990305014805</c:v>
                </c:pt>
                <c:pt idx="3">
                  <c:v>91.520962716752081</c:v>
                </c:pt>
                <c:pt idx="4">
                  <c:v>77.763325432790836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E-6449-8C47-705B95E37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149912"/>
        <c:axId val="2016152776"/>
      </c:scatterChart>
      <c:valAx>
        <c:axId val="2016149912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2016152776"/>
        <c:crosses val="autoZero"/>
        <c:crossBetween val="midCat"/>
      </c:valAx>
      <c:valAx>
        <c:axId val="2016152776"/>
        <c:scaling>
          <c:orientation val="minMax"/>
          <c:min val="65"/>
        </c:scaling>
        <c:delete val="0"/>
        <c:axPos val="l"/>
        <c:numFmt formatCode="General" sourceLinked="1"/>
        <c:majorTickMark val="out"/>
        <c:minorTickMark val="none"/>
        <c:tickLblPos val="nextTo"/>
        <c:crossAx val="2016149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c12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('UZr MEAM elastic'!$H$17,'UZr MEAM elastic'!$N$17,'UZr MEAM elastic'!$T$17,'UZr MEAM elastic'!$Z$17,'UZr MEAM elastic'!$AF$17)</c:f>
                <c:numCache>
                  <c:formatCode>General</c:formatCode>
                  <c:ptCount val="5"/>
                  <c:pt idx="0">
                    <c:v>1.3396090921500634</c:v>
                  </c:pt>
                  <c:pt idx="1">
                    <c:v>2.761475840151661</c:v>
                  </c:pt>
                  <c:pt idx="2">
                    <c:v>2.1713968284137799</c:v>
                  </c:pt>
                  <c:pt idx="3">
                    <c:v>3.1493184966323935</c:v>
                  </c:pt>
                  <c:pt idx="4">
                    <c:v>2.3472821659820911</c:v>
                  </c:pt>
                </c:numCache>
              </c:numRef>
            </c:plus>
            <c:minus>
              <c:numRef>
                <c:f>('UZr MEAM elastic'!$H$17,'UZr MEAM elastic'!$N$17,'UZr MEAM elastic'!$T$17,'UZr MEAM elastic'!$Z$17,'UZr MEAM elastic'!$AF$17)</c:f>
                <c:numCache>
                  <c:formatCode>General</c:formatCode>
                  <c:ptCount val="5"/>
                  <c:pt idx="0">
                    <c:v>1.3396090921500634</c:v>
                  </c:pt>
                  <c:pt idx="1">
                    <c:v>2.761475840151661</c:v>
                  </c:pt>
                  <c:pt idx="2">
                    <c:v>2.1713968284137799</c:v>
                  </c:pt>
                  <c:pt idx="3">
                    <c:v>3.1493184966323935</c:v>
                  </c:pt>
                  <c:pt idx="4">
                    <c:v>2.3472821659820911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('UZr MEAM elastic'!$C$4,'UZr MEAM elastic'!$I$4,'UZr MEAM elastic'!$O$4,'UZr MEAM elastic'!$U$4,'UZr MEAM elastic'!$AA$4)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('UZr MEAM elastic'!$G$17,'UZr MEAM elastic'!$M$17,'UZr MEAM elastic'!$S$17,'UZr MEAM elastic'!$Y$17,'UZr MEAM elastic'!$AE$17)</c:f>
              <c:numCache>
                <c:formatCode>General</c:formatCode>
                <c:ptCount val="5"/>
                <c:pt idx="0">
                  <c:v>89.452009719788194</c:v>
                </c:pt>
                <c:pt idx="1">
                  <c:v>87.279062461495016</c:v>
                </c:pt>
                <c:pt idx="2">
                  <c:v>80.078451541079644</c:v>
                </c:pt>
                <c:pt idx="3">
                  <c:v>82.337390463849999</c:v>
                </c:pt>
                <c:pt idx="4">
                  <c:v>74.085652028476602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F-1F4C-BC53-EF91BA350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186232"/>
        <c:axId val="2016189096"/>
      </c:scatterChart>
      <c:valAx>
        <c:axId val="2016186232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2016189096"/>
        <c:crosses val="autoZero"/>
        <c:crossBetween val="midCat"/>
      </c:valAx>
      <c:valAx>
        <c:axId val="2016189096"/>
        <c:scaling>
          <c:orientation val="minMax"/>
          <c:min val="65"/>
        </c:scaling>
        <c:delete val="0"/>
        <c:axPos val="l"/>
        <c:numFmt formatCode="General" sourceLinked="1"/>
        <c:majorTickMark val="out"/>
        <c:minorTickMark val="none"/>
        <c:tickLblPos val="nextTo"/>
        <c:crossAx val="2016186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c44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('UZr MEAM elastic'!$H$18,'UZr MEAM elastic'!$N$18,'UZr MEAM elastic'!$T$18,'UZr MEAM elastic'!$Z$18,'UZr MEAM elastic'!$AF$18)</c:f>
                <c:numCache>
                  <c:formatCode>General</c:formatCode>
                  <c:ptCount val="5"/>
                  <c:pt idx="0">
                    <c:v>0.9729857616076667</c:v>
                  </c:pt>
                  <c:pt idx="1">
                    <c:v>1.6739304975062348</c:v>
                  </c:pt>
                  <c:pt idx="2">
                    <c:v>1.2587264532545661</c:v>
                  </c:pt>
                  <c:pt idx="3">
                    <c:v>1.5188830087061482</c:v>
                  </c:pt>
                  <c:pt idx="4">
                    <c:v>4.2503481000489867</c:v>
                  </c:pt>
                </c:numCache>
              </c:numRef>
            </c:plus>
            <c:minus>
              <c:numRef>
                <c:f>('UZr MEAM elastic'!$H$18,'UZr MEAM elastic'!$N$18,'UZr MEAM elastic'!$T$18,'UZr MEAM elastic'!$Z$18,'UZr MEAM elastic'!$AF$18)</c:f>
                <c:numCache>
                  <c:formatCode>General</c:formatCode>
                  <c:ptCount val="5"/>
                  <c:pt idx="0">
                    <c:v>0.9729857616076667</c:v>
                  </c:pt>
                  <c:pt idx="1">
                    <c:v>1.6739304975062348</c:v>
                  </c:pt>
                  <c:pt idx="2">
                    <c:v>1.2587264532545661</c:v>
                  </c:pt>
                  <c:pt idx="3">
                    <c:v>1.5188830087061482</c:v>
                  </c:pt>
                  <c:pt idx="4">
                    <c:v>4.2503481000489867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('UZr MEAM elastic'!$C$4,'UZr MEAM elastic'!$I$4,'UZr MEAM elastic'!$O$4,'UZr MEAM elastic'!$U$4,'UZr MEAM elastic'!$AA$4)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('UZr MEAM elastic'!$G$18,'UZr MEAM elastic'!$M$18,'UZr MEAM elastic'!$S$18,'UZr MEAM elastic'!$Y$18,'UZr MEAM elastic'!$AE$18)</c:f>
              <c:numCache>
                <c:formatCode>General</c:formatCode>
                <c:ptCount val="5"/>
                <c:pt idx="0">
                  <c:v>28.714098474077748</c:v>
                </c:pt>
                <c:pt idx="1">
                  <c:v>27.479958570287558</c:v>
                </c:pt>
                <c:pt idx="2">
                  <c:v>29.161304812174894</c:v>
                </c:pt>
                <c:pt idx="3">
                  <c:v>28.932371302126004</c:v>
                </c:pt>
                <c:pt idx="4">
                  <c:v>18.606140316327256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6-CE47-BD2D-5639CD2E7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221816"/>
        <c:axId val="2016224680"/>
      </c:scatterChart>
      <c:valAx>
        <c:axId val="2016221816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2016224680"/>
        <c:crosses val="autoZero"/>
        <c:crossBetween val="midCat"/>
      </c:valAx>
      <c:valAx>
        <c:axId val="2016224680"/>
        <c:scaling>
          <c:orientation val="minMax"/>
          <c:min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2016221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('UZr MEAM elastic'!$H$19,'UZr MEAM elastic'!$N$19,'UZr MEAM elastic'!$T$19,'UZr MEAM elastic'!$Z$19,'UZr MEAM elastic'!$AF$19)</c:f>
                <c:numCache>
                  <c:formatCode>General</c:formatCode>
                  <c:ptCount val="5"/>
                  <c:pt idx="0">
                    <c:v>0.91083089188391253</c:v>
                  </c:pt>
                  <c:pt idx="1">
                    <c:v>2.3400649402535474</c:v>
                  </c:pt>
                  <c:pt idx="2">
                    <c:v>2.0055113468575927</c:v>
                  </c:pt>
                  <c:pt idx="3">
                    <c:v>3.2118380474735462</c:v>
                  </c:pt>
                  <c:pt idx="4">
                    <c:v>2.0361385249888762</c:v>
                  </c:pt>
                </c:numCache>
              </c:numRef>
            </c:plus>
            <c:minus>
              <c:numRef>
                <c:f>('UZr MEAM elastic'!$H$19,'UZr MEAM elastic'!$N$19,'UZr MEAM elastic'!$T$19,'UZr MEAM elastic'!$Z$19,'UZr MEAM elastic'!$AF$19)</c:f>
                <c:numCache>
                  <c:formatCode>General</c:formatCode>
                  <c:ptCount val="5"/>
                  <c:pt idx="0">
                    <c:v>0.91083089188391253</c:v>
                  </c:pt>
                  <c:pt idx="1">
                    <c:v>2.3400649402535474</c:v>
                  </c:pt>
                  <c:pt idx="2">
                    <c:v>2.0055113468575927</c:v>
                  </c:pt>
                  <c:pt idx="3">
                    <c:v>3.2118380474735462</c:v>
                  </c:pt>
                  <c:pt idx="4">
                    <c:v>2.0361385249888762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('UZr MEAM elastic'!$C$4,'UZr MEAM elastic'!$I$4,'UZr MEAM elastic'!$O$4,'UZr MEAM elastic'!$U$4,'UZr MEAM elastic'!$AA$4)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('UZr MEAM elastic'!$G$19,'UZr MEAM elastic'!$M$19,'UZr MEAM elastic'!$S$19,'UZr MEAM elastic'!$Y$19,'UZr MEAM elastic'!$AE$19)</c:f>
              <c:numCache>
                <c:formatCode>General</c:formatCode>
                <c:ptCount val="5"/>
                <c:pt idx="0">
                  <c:v>92.146235286208636</c:v>
                </c:pt>
                <c:pt idx="1">
                  <c:v>89.45443712361832</c:v>
                </c:pt>
                <c:pt idx="2">
                  <c:v>82.96696446239136</c:v>
                </c:pt>
                <c:pt idx="3">
                  <c:v>85.398581214817369</c:v>
                </c:pt>
                <c:pt idx="4">
                  <c:v>75.311543163248018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7-1B4E-8C61-446313891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257960"/>
        <c:axId val="2016260824"/>
      </c:scatterChart>
      <c:valAx>
        <c:axId val="2016257960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2016260824"/>
        <c:crosses val="autoZero"/>
        <c:crossBetween val="midCat"/>
      </c:valAx>
      <c:valAx>
        <c:axId val="2016260824"/>
        <c:scaling>
          <c:orientation val="minMax"/>
          <c:min val="65"/>
        </c:scaling>
        <c:delete val="0"/>
        <c:axPos val="l"/>
        <c:numFmt formatCode="General" sourceLinked="1"/>
        <c:majorTickMark val="out"/>
        <c:minorTickMark val="none"/>
        <c:tickLblPos val="nextTo"/>
        <c:crossAx val="2016257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c11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('UMo adp elastic'!$H$16,'UMo adp elastic'!$N$16,'UMo adp elastic'!$T$16,'UMo adp elastic'!$Z$16,'UMo adp elastic'!$AF$16)</c:f>
                <c:numCache>
                  <c:formatCode>General</c:formatCode>
                  <c:ptCount val="5"/>
                  <c:pt idx="0">
                    <c:v>1.9199468671795834</c:v>
                  </c:pt>
                  <c:pt idx="1">
                    <c:v>1.2231211777075919</c:v>
                  </c:pt>
                  <c:pt idx="2">
                    <c:v>1.6690879553172153</c:v>
                  </c:pt>
                  <c:pt idx="3">
                    <c:v>1.6526235059897689</c:v>
                  </c:pt>
                  <c:pt idx="4">
                    <c:v>3.9920561451393421</c:v>
                  </c:pt>
                </c:numCache>
              </c:numRef>
            </c:plus>
            <c:minus>
              <c:numRef>
                <c:f>('UMo adp elastic'!$H$16,'UMo adp elastic'!$N$16,'UMo adp elastic'!$T$16,'UMo adp elastic'!$Z$16,'UMo adp elastic'!$AF$16)</c:f>
                <c:numCache>
                  <c:formatCode>General</c:formatCode>
                  <c:ptCount val="5"/>
                  <c:pt idx="0">
                    <c:v>1.9199468671795834</c:v>
                  </c:pt>
                  <c:pt idx="1">
                    <c:v>1.2231211777075919</c:v>
                  </c:pt>
                  <c:pt idx="2">
                    <c:v>1.6690879553172153</c:v>
                  </c:pt>
                  <c:pt idx="3">
                    <c:v>1.6526235059897689</c:v>
                  </c:pt>
                  <c:pt idx="4">
                    <c:v>3.9920561451393421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('UMo adp elastic'!$F$4,'UMo adp elastic'!$L$4,'UMo adp elastic'!$R$4,'UMo adp elastic'!$X$4,'UMo adp elastic'!$AD$4)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('UMo adp elastic'!$G$16,'UMo adp elastic'!$M$16,'UMo adp elastic'!$S$16,'UMo adp elastic'!$Y$16,'UMo adp elastic'!$AE$16)</c:f>
              <c:numCache>
                <c:formatCode>General</c:formatCode>
                <c:ptCount val="5"/>
                <c:pt idx="0">
                  <c:v>104.74662049118223</c:v>
                </c:pt>
                <c:pt idx="1">
                  <c:v>98.943219736296768</c:v>
                </c:pt>
                <c:pt idx="2">
                  <c:v>94.093063204107168</c:v>
                </c:pt>
                <c:pt idx="3">
                  <c:v>93.097807155007317</c:v>
                </c:pt>
                <c:pt idx="4">
                  <c:v>84.897999474581681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6-DA4F-95DF-F437754B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08312"/>
        <c:axId val="2016311176"/>
      </c:scatterChart>
      <c:valAx>
        <c:axId val="2016308312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2016311176"/>
        <c:crosses val="autoZero"/>
        <c:crossBetween val="midCat"/>
      </c:valAx>
      <c:valAx>
        <c:axId val="2016311176"/>
        <c:scaling>
          <c:orientation val="minMax"/>
          <c:min val="80"/>
        </c:scaling>
        <c:delete val="0"/>
        <c:axPos val="l"/>
        <c:numFmt formatCode="General" sourceLinked="1"/>
        <c:majorTickMark val="out"/>
        <c:minorTickMark val="none"/>
        <c:tickLblPos val="nextTo"/>
        <c:crossAx val="2016308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c12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('UMo adp elastic'!$H$17,'UMo adp elastic'!$N$17,'UMo adp elastic'!$T$17,'UMo adp elastic'!$Z$17,'UMo adp elastic'!$AF$17)</c:f>
                <c:numCache>
                  <c:formatCode>General</c:formatCode>
                  <c:ptCount val="5"/>
                  <c:pt idx="0">
                    <c:v>1.578673268013806</c:v>
                  </c:pt>
                  <c:pt idx="1">
                    <c:v>2.3105971751393235</c:v>
                  </c:pt>
                  <c:pt idx="2">
                    <c:v>3.7033488636048051</c:v>
                  </c:pt>
                  <c:pt idx="3">
                    <c:v>1.9686425404628041</c:v>
                  </c:pt>
                  <c:pt idx="4">
                    <c:v>2.5200939160008775</c:v>
                  </c:pt>
                </c:numCache>
              </c:numRef>
            </c:plus>
            <c:minus>
              <c:numRef>
                <c:f>('UMo adp elastic'!$H$17,'UMo adp elastic'!$N$17,'UMo adp elastic'!$T$17,'UMo adp elastic'!$Z$17,'UMo adp elastic'!$AF$17)</c:f>
                <c:numCache>
                  <c:formatCode>General</c:formatCode>
                  <c:ptCount val="5"/>
                  <c:pt idx="0">
                    <c:v>1.578673268013806</c:v>
                  </c:pt>
                  <c:pt idx="1">
                    <c:v>2.3105971751393235</c:v>
                  </c:pt>
                  <c:pt idx="2">
                    <c:v>3.7033488636048051</c:v>
                  </c:pt>
                  <c:pt idx="3">
                    <c:v>1.9686425404628041</c:v>
                  </c:pt>
                  <c:pt idx="4">
                    <c:v>2.5200939160008775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('UMo adp elastic'!$F$4,'UMo adp elastic'!$L$4,'UMo adp elastic'!$R$4,'UMo adp elastic'!$X$4,'UMo adp elastic'!$AD$4)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('UMo adp elastic'!$G$17,'UMo adp elastic'!$M$17,'UMo adp elastic'!$S$17,'UMo adp elastic'!$Y$17,'UMo adp elastic'!$AE$17)</c:f>
              <c:numCache>
                <c:formatCode>General</c:formatCode>
                <c:ptCount val="5"/>
                <c:pt idx="0">
                  <c:v>69.300148141915557</c:v>
                </c:pt>
                <c:pt idx="1">
                  <c:v>69.304754474300111</c:v>
                </c:pt>
                <c:pt idx="2">
                  <c:v>67.93989199276723</c:v>
                </c:pt>
                <c:pt idx="3">
                  <c:v>73.040102222065329</c:v>
                </c:pt>
                <c:pt idx="4">
                  <c:v>69.780521930458136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F-904C-8143-EE5CEEFB5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44680"/>
        <c:axId val="2016347544"/>
      </c:scatterChart>
      <c:valAx>
        <c:axId val="2016344680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2016347544"/>
        <c:crosses val="autoZero"/>
        <c:crossBetween val="midCat"/>
      </c:valAx>
      <c:valAx>
        <c:axId val="2016347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1634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c44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('UMo adp elastic'!$H$18,'UMo adp elastic'!$N$18,'UMo adp elastic'!$T$18,'UMo adp elastic'!$Z$18,'UMo adp elastic'!$AF$18)</c:f>
                <c:numCache>
                  <c:formatCode>General</c:formatCode>
                  <c:ptCount val="5"/>
                  <c:pt idx="0">
                    <c:v>1.556337947683591</c:v>
                  </c:pt>
                  <c:pt idx="1">
                    <c:v>1.2893187111888951</c:v>
                  </c:pt>
                  <c:pt idx="2">
                    <c:v>1.7782632986388802</c:v>
                  </c:pt>
                  <c:pt idx="3">
                    <c:v>2.4807849116462872</c:v>
                  </c:pt>
                  <c:pt idx="4">
                    <c:v>1.6243681563159751</c:v>
                  </c:pt>
                </c:numCache>
              </c:numRef>
            </c:plus>
            <c:minus>
              <c:numRef>
                <c:f>('UMo adp elastic'!$H$18,'UMo adp elastic'!$N$18,'UMo adp elastic'!$T$18,'UMo adp elastic'!$Z$18,'UMo adp elastic'!$AF$18)</c:f>
                <c:numCache>
                  <c:formatCode>General</c:formatCode>
                  <c:ptCount val="5"/>
                  <c:pt idx="0">
                    <c:v>1.556337947683591</c:v>
                  </c:pt>
                  <c:pt idx="1">
                    <c:v>1.2893187111888951</c:v>
                  </c:pt>
                  <c:pt idx="2">
                    <c:v>1.7782632986388802</c:v>
                  </c:pt>
                  <c:pt idx="3">
                    <c:v>2.4807849116462872</c:v>
                  </c:pt>
                  <c:pt idx="4">
                    <c:v>1.6243681563159751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('UMo adp elastic'!$F$4,'UMo adp elastic'!$L$4,'UMo adp elastic'!$R$4,'UMo adp elastic'!$X$4,'UMo adp elastic'!$AD$4)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('UMo adp elastic'!$G$18,'UMo adp elastic'!$M$18,'UMo adp elastic'!$S$18,'UMo adp elastic'!$Y$18,'UMo adp elastic'!$AE$18)</c:f>
              <c:numCache>
                <c:formatCode>General</c:formatCode>
                <c:ptCount val="5"/>
                <c:pt idx="0">
                  <c:v>37.374004859021341</c:v>
                </c:pt>
                <c:pt idx="1">
                  <c:v>34.248882767894003</c:v>
                </c:pt>
                <c:pt idx="2">
                  <c:v>33.204221430883784</c:v>
                </c:pt>
                <c:pt idx="3">
                  <c:v>26.781182810997485</c:v>
                </c:pt>
                <c:pt idx="4">
                  <c:v>26.417169522353444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8-7D46-9C24-FC69FE5B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80264"/>
        <c:axId val="2016383128"/>
      </c:scatterChart>
      <c:valAx>
        <c:axId val="2016380264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2016383128"/>
        <c:crosses val="autoZero"/>
        <c:crossBetween val="midCat"/>
      </c:valAx>
      <c:valAx>
        <c:axId val="2016383128"/>
        <c:scaling>
          <c:orientation val="minMax"/>
          <c:min val="20"/>
        </c:scaling>
        <c:delete val="0"/>
        <c:axPos val="l"/>
        <c:numFmt formatCode="General" sourceLinked="1"/>
        <c:majorTickMark val="out"/>
        <c:minorTickMark val="none"/>
        <c:tickLblPos val="nextTo"/>
        <c:crossAx val="2016380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('UMo adp elastic'!$H$19,'UMo adp elastic'!$N$19,'UMo adp elastic'!$T$19,'UMo adp elastic'!$Z$19,'UMo adp elastic'!$AF$19)</c:f>
                <c:numCache>
                  <c:formatCode>General</c:formatCode>
                  <c:ptCount val="5"/>
                  <c:pt idx="0">
                    <c:v>1.6374425251968414</c:v>
                  </c:pt>
                  <c:pt idx="1">
                    <c:v>1.7956596614246967</c:v>
                  </c:pt>
                  <c:pt idx="2">
                    <c:v>2.6850205867862096</c:v>
                  </c:pt>
                  <c:pt idx="3">
                    <c:v>1.6617032921606245</c:v>
                  </c:pt>
                  <c:pt idx="4">
                    <c:v>2.1370485875866665</c:v>
                  </c:pt>
                </c:numCache>
              </c:numRef>
            </c:plus>
            <c:minus>
              <c:numRef>
                <c:f>('UMo adp elastic'!$H$19,'UMo adp elastic'!$N$19,'UMo adp elastic'!$T$19,'UMo adp elastic'!$Z$19,'UMo adp elastic'!$AF$19)</c:f>
                <c:numCache>
                  <c:formatCode>General</c:formatCode>
                  <c:ptCount val="5"/>
                  <c:pt idx="0">
                    <c:v>1.6374425251968414</c:v>
                  </c:pt>
                  <c:pt idx="1">
                    <c:v>1.7956596614246967</c:v>
                  </c:pt>
                  <c:pt idx="2">
                    <c:v>2.6850205867862096</c:v>
                  </c:pt>
                  <c:pt idx="3">
                    <c:v>1.6617032921606245</c:v>
                  </c:pt>
                  <c:pt idx="4">
                    <c:v>2.1370485875866665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('UMo adp elastic'!$F$4,'UMo adp elastic'!$L$4,'UMo adp elastic'!$R$4,'UMo adp elastic'!$X$4,'UMo adp elastic'!$AD$4)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('UMo adp elastic'!$G$19,'UMo adp elastic'!$M$19,'UMo adp elastic'!$S$19,'UMo adp elastic'!$Y$19,'UMo adp elastic'!$AE$19)</c:f>
              <c:numCache>
                <c:formatCode>General</c:formatCode>
                <c:ptCount val="5"/>
                <c:pt idx="0">
                  <c:v>81.115638925004461</c:v>
                </c:pt>
                <c:pt idx="1">
                  <c:v>79.184242894965664</c:v>
                </c:pt>
                <c:pt idx="2">
                  <c:v>76.657615729880547</c:v>
                </c:pt>
                <c:pt idx="3">
                  <c:v>79.726003866379315</c:v>
                </c:pt>
                <c:pt idx="4">
                  <c:v>74.819681111832637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9-054D-BDA3-96F02A133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474296"/>
        <c:axId val="2015471432"/>
      </c:scatterChart>
      <c:valAx>
        <c:axId val="2015474296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2015471432"/>
        <c:crosses val="autoZero"/>
        <c:crossBetween val="midCat"/>
      </c:valAx>
      <c:valAx>
        <c:axId val="2015471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15474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'UMo Volumes'!$B$6:$F$6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'UMo Volumes'!$B$17:$F$17</c:f>
              <c:numCache>
                <c:formatCode>General</c:formatCode>
                <c:ptCount val="5"/>
                <c:pt idx="0">
                  <c:v>15565.530522899999</c:v>
                </c:pt>
                <c:pt idx="1">
                  <c:v>15648.600945599999</c:v>
                </c:pt>
                <c:pt idx="2">
                  <c:v>15731.520644400001</c:v>
                </c:pt>
                <c:pt idx="3">
                  <c:v>15817.0429745</c:v>
                </c:pt>
                <c:pt idx="4">
                  <c:v>15908.272354500001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9-824B-9680-27BD81155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432120"/>
        <c:axId val="2015429256"/>
      </c:scatterChart>
      <c:valAx>
        <c:axId val="201543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429256"/>
        <c:crosses val="autoZero"/>
        <c:crossBetween val="midCat"/>
      </c:valAx>
      <c:valAx>
        <c:axId val="2015429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15432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UMo ADP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51985170603674502"/>
                  <c:y val="3.70107903178769E-2"/>
                </c:manualLayout>
              </c:layout>
              <c:numFmt formatCode="General" sourceLinked="0"/>
            </c:trendlineLbl>
          </c:trendline>
          <c:xVal>
            <c:numRef>
              <c:f>Sheet1!$N$134:$R$134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Sheet1!$N$131:$R$131</c:f>
              <c:numCache>
                <c:formatCode>General</c:formatCode>
                <c:ptCount val="5"/>
                <c:pt idx="0">
                  <c:v>6.7113599958333329E-10</c:v>
                </c:pt>
                <c:pt idx="1">
                  <c:v>1.274509515833333E-9</c:v>
                </c:pt>
                <c:pt idx="2">
                  <c:v>2.2570415491666664E-9</c:v>
                </c:pt>
                <c:pt idx="3">
                  <c:v>3.1378090120833332E-9</c:v>
                </c:pt>
                <c:pt idx="4">
                  <c:v>4.2201084983333317E-9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7-3E40-83E3-E316F8622AD4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Sheet1!$U$134:$Y$134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Sheet1!$U$131:$Y$131</c:f>
              <c:numCache>
                <c:formatCode>General</c:formatCode>
                <c:ptCount val="5"/>
                <c:pt idx="0">
                  <c:v>3.9238666666666659E-9</c:v>
                </c:pt>
                <c:pt idx="1">
                  <c:v>4.7117593333333335E-9</c:v>
                </c:pt>
                <c:pt idx="2">
                  <c:v>5.3903026666666664E-9</c:v>
                </c:pt>
                <c:pt idx="3">
                  <c:v>6.5757193333333317E-9</c:v>
                </c:pt>
                <c:pt idx="4">
                  <c:v>6.785361999999998E-9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7-3E40-83E3-E316F8622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271160"/>
        <c:axId val="1790144696"/>
      </c:scatterChart>
      <c:valAx>
        <c:axId val="1961271160"/>
        <c:scaling>
          <c:orientation val="minMax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1790144696"/>
        <c:crosses val="autoZero"/>
        <c:crossBetween val="midCat"/>
      </c:valAx>
      <c:valAx>
        <c:axId val="1790144696"/>
        <c:scaling>
          <c:logBase val="10"/>
          <c:orientation val="minMax"/>
          <c:max val="9.9999999999999995E-8"/>
        </c:scaling>
        <c:delete val="0"/>
        <c:axPos val="l"/>
        <c:numFmt formatCode="General" sourceLinked="1"/>
        <c:majorTickMark val="out"/>
        <c:minorTickMark val="none"/>
        <c:tickLblPos val="nextTo"/>
        <c:crossAx val="1961271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'UMo Volumes'!$B$6:$F$6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'UMo Volumes'!$B$18:$F$18</c:f>
              <c:numCache>
                <c:formatCode>General</c:formatCode>
                <c:ptCount val="5"/>
                <c:pt idx="0">
                  <c:v>22.690277730174927</c:v>
                </c:pt>
                <c:pt idx="1">
                  <c:v>22.811371640816326</c:v>
                </c:pt>
                <c:pt idx="2">
                  <c:v>22.932245837317787</c:v>
                </c:pt>
                <c:pt idx="3">
                  <c:v>23.056913956997086</c:v>
                </c:pt>
                <c:pt idx="4">
                  <c:v>23.189901391399417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D-BB4A-A336-10B0FC22E292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'UMo Volumes'!$H$6:$L$6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'UMo Volumes'!$H$18:$L$18</c:f>
              <c:numCache>
                <c:formatCode>General</c:formatCode>
                <c:ptCount val="5"/>
                <c:pt idx="0">
                  <c:v>21.126373327113708</c:v>
                </c:pt>
                <c:pt idx="4">
                  <c:v>21.571029127696793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D-BB4A-A336-10B0FC22E292}"/>
            </c:ext>
          </c:extLst>
        </c:ser>
        <c:ser>
          <c:idx val="2"/>
          <c:order val="2"/>
          <c:spPr>
            <a:ln w="47625">
              <a:noFill/>
            </a:ln>
          </c:spPr>
          <c:xVal>
            <c:numRef>
              <c:f>'UMo Volumes'!$N$6:$R$6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'UMo Volumes'!$N$18:$R$18</c:f>
              <c:numCache>
                <c:formatCode>General</c:formatCode>
                <c:ptCount val="5"/>
                <c:pt idx="0">
                  <c:v>21.792304510204083</c:v>
                </c:pt>
                <c:pt idx="4">
                  <c:v>21.910580557288633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8D-BB4A-A336-10B0FC22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396056"/>
        <c:axId val="2015393064"/>
      </c:scatterChart>
      <c:valAx>
        <c:axId val="2015396056"/>
        <c:scaling>
          <c:orientation val="minMax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2015393064"/>
        <c:crosses val="autoZero"/>
        <c:crossBetween val="midCat"/>
      </c:valAx>
      <c:valAx>
        <c:axId val="2015393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15396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UZR MEAM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51985170603674502"/>
                  <c:y val="3.70107903178769E-2"/>
                </c:manualLayout>
              </c:layout>
              <c:numFmt formatCode="General" sourceLinked="0"/>
            </c:trendlineLbl>
          </c:trendline>
          <c:xVal>
            <c:numRef>
              <c:f>Sheet1!$N$134:$R$134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Sheet1!$N$139:$R$139</c:f>
              <c:numCache>
                <c:formatCode>General</c:formatCode>
                <c:ptCount val="5"/>
                <c:pt idx="0">
                  <c:v>8.230231045833333E-10</c:v>
                </c:pt>
                <c:pt idx="1">
                  <c:v>1.3898021512500001E-9</c:v>
                </c:pt>
                <c:pt idx="2">
                  <c:v>2.2363049437499996E-9</c:v>
                </c:pt>
                <c:pt idx="3">
                  <c:v>3.185413829166666E-9</c:v>
                </c:pt>
                <c:pt idx="4">
                  <c:v>4.4258577241666659E-9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4-8D47-AF2C-9AA0692FEE2A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Sheet1!$U$134:$Y$134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Sheet1!$U$139:$Y$139</c:f>
              <c:numCache>
                <c:formatCode>General</c:formatCode>
                <c:ptCount val="5"/>
                <c:pt idx="0">
                  <c:v>5.4291666666666657E-9</c:v>
                </c:pt>
                <c:pt idx="1">
                  <c:v>6.2122293333333322E-9</c:v>
                </c:pt>
                <c:pt idx="2">
                  <c:v>6.6616716666666636E-9</c:v>
                </c:pt>
                <c:pt idx="3">
                  <c:v>7.660203333333333E-9</c:v>
                </c:pt>
                <c:pt idx="4">
                  <c:v>8.6181900000000008E-9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4-8D47-AF2C-9AA0692F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543272"/>
        <c:axId val="1961546264"/>
      </c:scatterChart>
      <c:valAx>
        <c:axId val="1961543272"/>
        <c:scaling>
          <c:orientation val="minMax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1961546264"/>
        <c:crosses val="autoZero"/>
        <c:crossBetween val="midCat"/>
      </c:valAx>
      <c:valAx>
        <c:axId val="1961546264"/>
        <c:scaling>
          <c:logBase val="10"/>
          <c:orientation val="minMax"/>
          <c:max val="9.9999999999999995E-8"/>
          <c:min val="1E-10"/>
        </c:scaling>
        <c:delete val="0"/>
        <c:axPos val="l"/>
        <c:numFmt formatCode="General" sourceLinked="1"/>
        <c:majorTickMark val="out"/>
        <c:minorTickMark val="none"/>
        <c:tickLblPos val="nextTo"/>
        <c:crossAx val="1961543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 MEAM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51985170603674502"/>
                  <c:y val="3.70107903178769E-2"/>
                </c:manualLayout>
              </c:layout>
              <c:numFmt formatCode="General" sourceLinked="0"/>
            </c:trendlineLbl>
          </c:trendline>
          <c:xVal>
            <c:numRef>
              <c:f>Sheet1!$N$134:$R$134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Sheet1!$N$147:$R$147</c:f>
              <c:numCache>
                <c:formatCode>General</c:formatCode>
                <c:ptCount val="5"/>
                <c:pt idx="0">
                  <c:v>5.8082668416666647E-10</c:v>
                </c:pt>
                <c:pt idx="1">
                  <c:v>9.0481010666666652E-10</c:v>
                </c:pt>
                <c:pt idx="2">
                  <c:v>1.3684112566666663E-9</c:v>
                </c:pt>
                <c:pt idx="3">
                  <c:v>1.9094691241666666E-9</c:v>
                </c:pt>
                <c:pt idx="4">
                  <c:v>2.517116298333333E-9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D-1846-86AA-E238A504540C}"/>
            </c:ext>
          </c:extLst>
        </c:ser>
        <c:ser>
          <c:idx val="1"/>
          <c:order val="1"/>
          <c:spPr>
            <a:ln w="47625">
              <a:noFill/>
            </a:ln>
          </c:spPr>
          <c:xVal>
            <c:numRef>
              <c:f>Sheet1!$U$134:$Y$134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Sheet1!$U$147:$Y$147</c:f>
              <c:numCache>
                <c:formatCode>General</c:formatCode>
                <c:ptCount val="5"/>
                <c:pt idx="0">
                  <c:v>1.747718666666667E-9</c:v>
                </c:pt>
                <c:pt idx="1">
                  <c:v>2.8663235555555542E-9</c:v>
                </c:pt>
                <c:pt idx="2">
                  <c:v>3.7555783333333325E-9</c:v>
                </c:pt>
                <c:pt idx="3">
                  <c:v>4.6175613333333326E-9</c:v>
                </c:pt>
                <c:pt idx="4">
                  <c:v>5.5826209999999994E-9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D-1846-86AA-E238A504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434968"/>
        <c:axId val="1961437960"/>
      </c:scatterChart>
      <c:valAx>
        <c:axId val="1961434968"/>
        <c:scaling>
          <c:orientation val="minMax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1961437960"/>
        <c:crosses val="autoZero"/>
        <c:crossBetween val="midCat"/>
      </c:valAx>
      <c:valAx>
        <c:axId val="1961437960"/>
        <c:scaling>
          <c:logBase val="10"/>
          <c:orientation val="minMax"/>
          <c:max val="9.9999999999999995E-8"/>
        </c:scaling>
        <c:delete val="0"/>
        <c:axPos val="l"/>
        <c:numFmt formatCode="General" sourceLinked="1"/>
        <c:majorTickMark val="out"/>
        <c:minorTickMark val="none"/>
        <c:tickLblPos val="nextTo"/>
        <c:crossAx val="1961434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Vacs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Sheet1!$N$134:$R$134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Sheet1!$N$131:$R$131</c:f>
              <c:numCache>
                <c:formatCode>General</c:formatCode>
                <c:ptCount val="5"/>
                <c:pt idx="0">
                  <c:v>6.7113599958333329E-10</c:v>
                </c:pt>
                <c:pt idx="1">
                  <c:v>1.274509515833333E-9</c:v>
                </c:pt>
                <c:pt idx="2">
                  <c:v>2.2570415491666664E-9</c:v>
                </c:pt>
                <c:pt idx="3">
                  <c:v>3.1378090120833332E-9</c:v>
                </c:pt>
                <c:pt idx="4">
                  <c:v>4.2201084983333317E-9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6-C442-B6A7-8BB5466A5302}"/>
            </c:ext>
          </c:extLst>
        </c:ser>
        <c:ser>
          <c:idx val="1"/>
          <c:order val="1"/>
          <c:xVal>
            <c:numRef>
              <c:f>Sheet1!$N$134:$R$134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Sheet1!$N$139:$R$139</c:f>
              <c:numCache>
                <c:formatCode>General</c:formatCode>
                <c:ptCount val="5"/>
                <c:pt idx="0">
                  <c:v>8.230231045833333E-10</c:v>
                </c:pt>
                <c:pt idx="1">
                  <c:v>1.3898021512500001E-9</c:v>
                </c:pt>
                <c:pt idx="2">
                  <c:v>2.2363049437499996E-9</c:v>
                </c:pt>
                <c:pt idx="3">
                  <c:v>3.185413829166666E-9</c:v>
                </c:pt>
                <c:pt idx="4">
                  <c:v>4.4258577241666659E-9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66-C442-B6A7-8BB5466A5302}"/>
            </c:ext>
          </c:extLst>
        </c:ser>
        <c:ser>
          <c:idx val="2"/>
          <c:order val="2"/>
          <c:xVal>
            <c:numRef>
              <c:f>Sheet1!$N$134:$R$134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Sheet1!$N$147:$R$147</c:f>
              <c:numCache>
                <c:formatCode>General</c:formatCode>
                <c:ptCount val="5"/>
                <c:pt idx="0">
                  <c:v>5.8082668416666647E-10</c:v>
                </c:pt>
                <c:pt idx="1">
                  <c:v>9.0481010666666652E-10</c:v>
                </c:pt>
                <c:pt idx="2">
                  <c:v>1.3684112566666663E-9</c:v>
                </c:pt>
                <c:pt idx="3">
                  <c:v>1.9094691241666666E-9</c:v>
                </c:pt>
                <c:pt idx="4">
                  <c:v>2.517116298333333E-9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66-C442-B6A7-8BB5466A5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469064"/>
        <c:axId val="1961472056"/>
      </c:scatterChart>
      <c:valAx>
        <c:axId val="1961469064"/>
        <c:scaling>
          <c:orientation val="minMax"/>
          <c:max val="16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1961472056"/>
        <c:crosses val="autoZero"/>
        <c:crossBetween val="midCat"/>
      </c:valAx>
      <c:valAx>
        <c:axId val="1961472056"/>
        <c:scaling>
          <c:logBase val="10"/>
          <c:orientation val="minMax"/>
          <c:max val="1E-8"/>
        </c:scaling>
        <c:delete val="0"/>
        <c:axPos val="l"/>
        <c:numFmt formatCode="General" sourceLinked="1"/>
        <c:majorTickMark val="out"/>
        <c:minorTickMark val="none"/>
        <c:tickLblPos val="nextTo"/>
        <c:crossAx val="1961469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Sheet1!$N$134:$R$134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Sheet1!$U$131:$Y$131</c:f>
              <c:numCache>
                <c:formatCode>General</c:formatCode>
                <c:ptCount val="5"/>
                <c:pt idx="0">
                  <c:v>3.9238666666666659E-9</c:v>
                </c:pt>
                <c:pt idx="1">
                  <c:v>4.7117593333333335E-9</c:v>
                </c:pt>
                <c:pt idx="2">
                  <c:v>5.3903026666666664E-9</c:v>
                </c:pt>
                <c:pt idx="3">
                  <c:v>6.5757193333333317E-9</c:v>
                </c:pt>
                <c:pt idx="4">
                  <c:v>6.785361999999998E-9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9-B941-AA30-5A423F3CC3CC}"/>
            </c:ext>
          </c:extLst>
        </c:ser>
        <c:ser>
          <c:idx val="1"/>
          <c:order val="1"/>
          <c:xVal>
            <c:numRef>
              <c:f>Sheet1!$N$134:$R$134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Sheet1!$U$139:$Y$139</c:f>
              <c:numCache>
                <c:formatCode>General</c:formatCode>
                <c:ptCount val="5"/>
                <c:pt idx="0">
                  <c:v>5.4291666666666657E-9</c:v>
                </c:pt>
                <c:pt idx="1">
                  <c:v>6.2122293333333322E-9</c:v>
                </c:pt>
                <c:pt idx="2">
                  <c:v>6.6616716666666636E-9</c:v>
                </c:pt>
                <c:pt idx="3">
                  <c:v>7.660203333333333E-9</c:v>
                </c:pt>
                <c:pt idx="4">
                  <c:v>8.6181900000000008E-9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9-B941-AA30-5A423F3CC3CC}"/>
            </c:ext>
          </c:extLst>
        </c:ser>
        <c:ser>
          <c:idx val="2"/>
          <c:order val="2"/>
          <c:xVal>
            <c:numRef>
              <c:f>Sheet1!$N$134:$R$134</c:f>
              <c:numCache>
                <c:formatCode>General</c:formatCode>
                <c:ptCount val="5"/>
                <c:pt idx="0">
                  <c:v>14.505703642672296</c:v>
                </c:pt>
                <c:pt idx="1">
                  <c:v>12.893958793486487</c:v>
                </c:pt>
                <c:pt idx="2">
                  <c:v>11.604562914137839</c:v>
                </c:pt>
                <c:pt idx="3">
                  <c:v>10.549602649216217</c:v>
                </c:pt>
                <c:pt idx="4">
                  <c:v>9.6704690951148642</c:v>
                </c:pt>
              </c:numCache>
            </c:numRef>
          </c:xVal>
          <c:yVal>
            <c:numRef>
              <c:f>Sheet1!$U$147:$Y$147</c:f>
              <c:numCache>
                <c:formatCode>General</c:formatCode>
                <c:ptCount val="5"/>
                <c:pt idx="0">
                  <c:v>1.747718666666667E-9</c:v>
                </c:pt>
                <c:pt idx="1">
                  <c:v>2.8663235555555542E-9</c:v>
                </c:pt>
                <c:pt idx="2">
                  <c:v>3.7555783333333325E-9</c:v>
                </c:pt>
                <c:pt idx="3">
                  <c:v>4.6175613333333326E-9</c:v>
                </c:pt>
                <c:pt idx="4">
                  <c:v>5.5826209999999994E-9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99-B941-AA30-5A423F3CC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503080"/>
        <c:axId val="1961506072"/>
      </c:scatterChart>
      <c:valAx>
        <c:axId val="1961503080"/>
        <c:scaling>
          <c:orientation val="minMax"/>
          <c:max val="16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1961506072"/>
        <c:crosses val="autoZero"/>
        <c:crossBetween val="midCat"/>
      </c:valAx>
      <c:valAx>
        <c:axId val="1961506072"/>
        <c:scaling>
          <c:logBase val="10"/>
          <c:orientation val="minMax"/>
          <c:max val="1E-8"/>
        </c:scaling>
        <c:delete val="0"/>
        <c:axPos val="l"/>
        <c:numFmt formatCode="General" sourceLinked="1"/>
        <c:majorTickMark val="out"/>
        <c:minorTickMark val="none"/>
        <c:tickLblPos val="nextTo"/>
        <c:crossAx val="1961503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Frenkel</a:t>
            </a:r>
          </a:p>
          <a:p>
            <a:pPr>
              <a:defRPr/>
            </a:pPr>
            <a:endParaRPr lang="en-US"/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Sheet1!$AA$131:$AE$131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Sheet1!$AA$148:$AE$148</c:f>
              <c:numCache>
                <c:formatCode>General</c:formatCode>
                <c:ptCount val="5"/>
                <c:pt idx="0">
                  <c:v>2.0994287756998347</c:v>
                </c:pt>
                <c:pt idx="1">
                  <c:v>2.3866091710024193</c:v>
                </c:pt>
                <c:pt idx="2">
                  <c:v>2.6047793009997804</c:v>
                </c:pt>
                <c:pt idx="3">
                  <c:v>2.8441864126962173</c:v>
                </c:pt>
                <c:pt idx="4">
                  <c:v>3.01046915200277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8-2840-83AF-9332E6BB20E6}"/>
            </c:ext>
          </c:extLst>
        </c:ser>
        <c:ser>
          <c:idx val="1"/>
          <c:order val="1"/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Sheet1!$AA$131:$AE$131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Sheet1!$AA$140:$AE$140</c:f>
              <c:numCache>
                <c:formatCode>General</c:formatCode>
                <c:ptCount val="5"/>
                <c:pt idx="0">
                  <c:v>2.9655302882010801</c:v>
                </c:pt>
                <c:pt idx="1">
                  <c:v>2.9646892299028877</c:v>
                </c:pt>
                <c:pt idx="2">
                  <c:v>3.4690297688989631</c:v>
                </c:pt>
                <c:pt idx="3">
                  <c:v>3.6959747251985391</c:v>
                </c:pt>
                <c:pt idx="4">
                  <c:v>3.4783584667984542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F8-2840-83AF-9332E6BB20E6}"/>
            </c:ext>
          </c:extLst>
        </c:ser>
        <c:ser>
          <c:idx val="2"/>
          <c:order val="2"/>
          <c:spPr>
            <a:ln w="47625">
              <a:noFill/>
            </a:ln>
          </c:spPr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Sheet1!$AA$131:$AE$131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xVal>
          <c:yVal>
            <c:numRef>
              <c:f>Sheet1!$AA$132:$AE$132</c:f>
              <c:numCache>
                <c:formatCode>General</c:formatCode>
                <c:ptCount val="5"/>
                <c:pt idx="0">
                  <c:v>2.9996841982992919</c:v>
                </c:pt>
                <c:pt idx="1">
                  <c:v>3.0292956475009305</c:v>
                </c:pt>
                <c:pt idx="2">
                  <c:v>2.9942232132034405</c:v>
                </c:pt>
                <c:pt idx="3">
                  <c:v>3.3484383388008609</c:v>
                </c:pt>
                <c:pt idx="4">
                  <c:v>3.9453076456006784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F8-2840-83AF-9332E6BB2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66808"/>
        <c:axId val="1961069880"/>
      </c:scatterChart>
      <c:valAx>
        <c:axId val="1961066808"/>
        <c:scaling>
          <c:orientation val="minMax"/>
          <c:max val="1300"/>
          <c:min val="700"/>
        </c:scaling>
        <c:delete val="0"/>
        <c:axPos val="b"/>
        <c:numFmt formatCode="General" sourceLinked="1"/>
        <c:majorTickMark val="out"/>
        <c:minorTickMark val="none"/>
        <c:tickLblPos val="nextTo"/>
        <c:crossAx val="1961069880"/>
        <c:crosses val="autoZero"/>
        <c:crossBetween val="midCat"/>
      </c:valAx>
      <c:valAx>
        <c:axId val="1961069880"/>
        <c:scaling>
          <c:orientation val="minMax"/>
          <c:max val="5"/>
          <c:min val="2"/>
        </c:scaling>
        <c:delete val="0"/>
        <c:axPos val="l"/>
        <c:numFmt formatCode="General" sourceLinked="1"/>
        <c:majorTickMark val="out"/>
        <c:minorTickMark val="none"/>
        <c:tickLblPos val="nextTo"/>
        <c:crossAx val="19610668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21</xdr:row>
      <xdr:rowOff>101600</xdr:rowOff>
    </xdr:from>
    <xdr:to>
      <xdr:col>18</xdr:col>
      <xdr:colOff>546100</xdr:colOff>
      <xdr:row>37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603250</xdr:colOff>
      <xdr:row>90</xdr:row>
      <xdr:rowOff>177800</xdr:rowOff>
    </xdr:from>
    <xdr:to>
      <xdr:col>25</xdr:col>
      <xdr:colOff>628650</xdr:colOff>
      <xdr:row>105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165100</xdr:colOff>
      <xdr:row>21</xdr:row>
      <xdr:rowOff>114300</xdr:rowOff>
    </xdr:from>
    <xdr:to>
      <xdr:col>25</xdr:col>
      <xdr:colOff>457200</xdr:colOff>
      <xdr:row>38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50800</xdr:colOff>
      <xdr:row>154</xdr:row>
      <xdr:rowOff>158750</xdr:rowOff>
    </xdr:from>
    <xdr:to>
      <xdr:col>44</xdr:col>
      <xdr:colOff>393700</xdr:colOff>
      <xdr:row>169</xdr:row>
      <xdr:rowOff>44450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558800</xdr:colOff>
      <xdr:row>155</xdr:row>
      <xdr:rowOff>0</xdr:rowOff>
    </xdr:from>
    <xdr:to>
      <xdr:col>48</xdr:col>
      <xdr:colOff>76200</xdr:colOff>
      <xdr:row>169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76200</xdr:colOff>
      <xdr:row>170</xdr:row>
      <xdr:rowOff>114300</xdr:rowOff>
    </xdr:from>
    <xdr:to>
      <xdr:col>44</xdr:col>
      <xdr:colOff>419100</xdr:colOff>
      <xdr:row>185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787400</xdr:colOff>
      <xdr:row>168</xdr:row>
      <xdr:rowOff>152400</xdr:rowOff>
    </xdr:from>
    <xdr:to>
      <xdr:col>48</xdr:col>
      <xdr:colOff>304800</xdr:colOff>
      <xdr:row>183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787400</xdr:colOff>
      <xdr:row>183</xdr:row>
      <xdr:rowOff>152400</xdr:rowOff>
    </xdr:from>
    <xdr:to>
      <xdr:col>48</xdr:col>
      <xdr:colOff>812800</xdr:colOff>
      <xdr:row>198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685800</xdr:colOff>
      <xdr:row>155</xdr:row>
      <xdr:rowOff>25400</xdr:rowOff>
    </xdr:from>
    <xdr:to>
      <xdr:col>54</xdr:col>
      <xdr:colOff>533400</xdr:colOff>
      <xdr:row>176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533400</xdr:colOff>
      <xdr:row>188</xdr:row>
      <xdr:rowOff>0</xdr:rowOff>
    </xdr:from>
    <xdr:to>
      <xdr:col>47</xdr:col>
      <xdr:colOff>254000</xdr:colOff>
      <xdr:row>210</xdr:row>
      <xdr:rowOff>165100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609600</xdr:colOff>
      <xdr:row>129</xdr:row>
      <xdr:rowOff>152400</xdr:rowOff>
    </xdr:from>
    <xdr:to>
      <xdr:col>39</xdr:col>
      <xdr:colOff>558800</xdr:colOff>
      <xdr:row>151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603250</xdr:colOff>
      <xdr:row>106</xdr:row>
      <xdr:rowOff>177800</xdr:rowOff>
    </xdr:from>
    <xdr:to>
      <xdr:col>25</xdr:col>
      <xdr:colOff>546100</xdr:colOff>
      <xdr:row>125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104</xdr:row>
      <xdr:rowOff>0</xdr:rowOff>
    </xdr:from>
    <xdr:to>
      <xdr:col>31</xdr:col>
      <xdr:colOff>361950</xdr:colOff>
      <xdr:row>122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0</xdr:colOff>
      <xdr:row>106</xdr:row>
      <xdr:rowOff>0</xdr:rowOff>
    </xdr:from>
    <xdr:to>
      <xdr:col>38</xdr:col>
      <xdr:colOff>44450</xdr:colOff>
      <xdr:row>124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88900</xdr:colOff>
      <xdr:row>224</xdr:row>
      <xdr:rowOff>95250</xdr:rowOff>
    </xdr:from>
    <xdr:to>
      <xdr:col>6</xdr:col>
      <xdr:colOff>330200</xdr:colOff>
      <xdr:row>238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292100</xdr:colOff>
      <xdr:row>224</xdr:row>
      <xdr:rowOff>152400</xdr:rowOff>
    </xdr:from>
    <xdr:to>
      <xdr:col>12</xdr:col>
      <xdr:colOff>533400</xdr:colOff>
      <xdr:row>239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63500</xdr:colOff>
      <xdr:row>225</xdr:row>
      <xdr:rowOff>38100</xdr:rowOff>
    </xdr:from>
    <xdr:to>
      <xdr:col>18</xdr:col>
      <xdr:colOff>533400</xdr:colOff>
      <xdr:row>240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63500</xdr:colOff>
      <xdr:row>219</xdr:row>
      <xdr:rowOff>127000</xdr:rowOff>
    </xdr:from>
    <xdr:to>
      <xdr:col>24</xdr:col>
      <xdr:colOff>533400</xdr:colOff>
      <xdr:row>241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224</xdr:row>
      <xdr:rowOff>177800</xdr:rowOff>
    </xdr:from>
    <xdr:to>
      <xdr:col>30</xdr:col>
      <xdr:colOff>38100</xdr:colOff>
      <xdr:row>240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203200</xdr:colOff>
      <xdr:row>261</xdr:row>
      <xdr:rowOff>25400</xdr:rowOff>
    </xdr:from>
    <xdr:to>
      <xdr:col>29</xdr:col>
      <xdr:colOff>279400</xdr:colOff>
      <xdr:row>282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571500</xdr:colOff>
      <xdr:row>116</xdr:row>
      <xdr:rowOff>19050</xdr:rowOff>
    </xdr:from>
    <xdr:to>
      <xdr:col>17</xdr:col>
      <xdr:colOff>609600</xdr:colOff>
      <xdr:row>130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736600</xdr:colOff>
      <xdr:row>258</xdr:row>
      <xdr:rowOff>146050</xdr:rowOff>
    </xdr:from>
    <xdr:to>
      <xdr:col>10</xdr:col>
      <xdr:colOff>254000</xdr:colOff>
      <xdr:row>273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50800</xdr:colOff>
      <xdr:row>241</xdr:row>
      <xdr:rowOff>101600</xdr:rowOff>
    </xdr:from>
    <xdr:to>
      <xdr:col>18</xdr:col>
      <xdr:colOff>914400</xdr:colOff>
      <xdr:row>255</xdr:row>
      <xdr:rowOff>177800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76200</xdr:colOff>
      <xdr:row>239</xdr:row>
      <xdr:rowOff>12700</xdr:rowOff>
    </xdr:from>
    <xdr:to>
      <xdr:col>25</xdr:col>
      <xdr:colOff>647700</xdr:colOff>
      <xdr:row>260</xdr:row>
      <xdr:rowOff>114300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30</xdr:col>
      <xdr:colOff>889000</xdr:colOff>
      <xdr:row>224</xdr:row>
      <xdr:rowOff>114300</xdr:rowOff>
    </xdr:from>
    <xdr:to>
      <xdr:col>36</xdr:col>
      <xdr:colOff>756976</xdr:colOff>
      <xdr:row>243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806450</xdr:colOff>
      <xdr:row>33</xdr:row>
      <xdr:rowOff>82550</xdr:rowOff>
    </xdr:from>
    <xdr:to>
      <xdr:col>19</xdr:col>
      <xdr:colOff>190500</xdr:colOff>
      <xdr:row>58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158750</xdr:colOff>
      <xdr:row>24</xdr:row>
      <xdr:rowOff>31750</xdr:rowOff>
    </xdr:from>
    <xdr:to>
      <xdr:col>25</xdr:col>
      <xdr:colOff>603250</xdr:colOff>
      <xdr:row>38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40</xdr:row>
      <xdr:rowOff>0</xdr:rowOff>
    </xdr:from>
    <xdr:to>
      <xdr:col>25</xdr:col>
      <xdr:colOff>444500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711200</xdr:colOff>
      <xdr:row>24</xdr:row>
      <xdr:rowOff>50800</xdr:rowOff>
    </xdr:from>
    <xdr:to>
      <xdr:col>32</xdr:col>
      <xdr:colOff>330200</xdr:colOff>
      <xdr:row>38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40</xdr:row>
      <xdr:rowOff>0</xdr:rowOff>
    </xdr:from>
    <xdr:to>
      <xdr:col>32</xdr:col>
      <xdr:colOff>444500</xdr:colOff>
      <xdr:row>54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23</xdr:row>
      <xdr:rowOff>171450</xdr:rowOff>
    </xdr:from>
    <xdr:to>
      <xdr:col>20</xdr:col>
      <xdr:colOff>57150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355600</xdr:colOff>
      <xdr:row>40</xdr:row>
      <xdr:rowOff>76200</xdr:rowOff>
    </xdr:from>
    <xdr:to>
      <xdr:col>19</xdr:col>
      <xdr:colOff>800100</xdr:colOff>
      <xdr:row>54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24</xdr:row>
      <xdr:rowOff>0</xdr:rowOff>
    </xdr:from>
    <xdr:to>
      <xdr:col>27</xdr:col>
      <xdr:colOff>444500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41</xdr:row>
      <xdr:rowOff>0</xdr:rowOff>
    </xdr:from>
    <xdr:to>
      <xdr:col>27</xdr:col>
      <xdr:colOff>444500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463550</xdr:colOff>
      <xdr:row>21</xdr:row>
      <xdr:rowOff>120650</xdr:rowOff>
    </xdr:from>
    <xdr:to>
      <xdr:col>20</xdr:col>
      <xdr:colOff>82550</xdr:colOff>
      <xdr:row>36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19</xdr:col>
      <xdr:colOff>444500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26</xdr:col>
      <xdr:colOff>444500</xdr:colOff>
      <xdr:row>35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26</xdr:col>
      <xdr:colOff>444500</xdr:colOff>
      <xdr:row>51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793750</xdr:colOff>
      <xdr:row>25</xdr:row>
      <xdr:rowOff>152400</xdr:rowOff>
    </xdr:from>
    <xdr:to>
      <xdr:col>6</xdr:col>
      <xdr:colOff>412750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27</xdr:row>
      <xdr:rowOff>139700</xdr:rowOff>
    </xdr:from>
    <xdr:to>
      <xdr:col>16</xdr:col>
      <xdr:colOff>806450</xdr:colOff>
      <xdr:row>42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M295"/>
  <sheetViews>
    <sheetView tabSelected="1" topLeftCell="N206" workbookViewId="0">
      <selection activeCell="AA217" sqref="AA217:AE217"/>
    </sheetView>
  </sheetViews>
  <sheetFormatPr baseColWidth="10" defaultRowHeight="16" x14ac:dyDescent="0.2"/>
  <cols>
    <col min="2" max="4" width="12.1640625" bestFit="1" customWidth="1"/>
    <col min="8" max="9" width="12.1640625" bestFit="1" customWidth="1"/>
    <col min="11" max="20" width="12.1640625" bestFit="1" customWidth="1"/>
    <col min="24" max="24" width="12.1640625" bestFit="1" customWidth="1"/>
    <col min="27" max="32" width="12.1640625" bestFit="1" customWidth="1"/>
  </cols>
  <sheetData>
    <row r="2" spans="1:27" x14ac:dyDescent="0.2">
      <c r="B2" t="s">
        <v>15</v>
      </c>
    </row>
    <row r="3" spans="1:27" x14ac:dyDescent="0.2"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/>
      <c r="M3" s="1"/>
      <c r="N3" s="1"/>
      <c r="O3" s="1" t="s">
        <v>4</v>
      </c>
      <c r="P3" s="1"/>
    </row>
    <row r="4" spans="1:27" x14ac:dyDescent="0.2">
      <c r="A4" t="s">
        <v>16</v>
      </c>
      <c r="B4" s="1" t="s">
        <v>9</v>
      </c>
      <c r="C4" s="1">
        <v>-85060.109309000007</v>
      </c>
      <c r="D4" s="1">
        <v>-85059.797806999995</v>
      </c>
      <c r="E4" s="1">
        <v>-85059.138699000003</v>
      </c>
      <c r="F4" s="1">
        <v>-85060.759284</v>
      </c>
      <c r="G4" s="1">
        <f>AVERAGE(C4:F4)</f>
        <v>-85059.951274749998</v>
      </c>
      <c r="H4" s="1">
        <f>STDEV(C4:F4)</f>
        <v>0.67371741653686656</v>
      </c>
      <c r="I4" s="1"/>
      <c r="J4" s="1"/>
      <c r="K4" s="1">
        <v>0.19147400000000001</v>
      </c>
      <c r="L4" s="1">
        <v>0.19147700000000001</v>
      </c>
      <c r="M4" s="1">
        <v>0.19197600000000001</v>
      </c>
      <c r="N4" s="1">
        <v>0.19125200000000001</v>
      </c>
      <c r="O4" s="1">
        <f>AVERAGE(K4:N4)</f>
        <v>0.19154475000000001</v>
      </c>
      <c r="P4" s="1"/>
    </row>
    <row r="5" spans="1:27" x14ac:dyDescent="0.2">
      <c r="B5" s="1" t="s">
        <v>10</v>
      </c>
      <c r="C5" s="1">
        <v>-85063.282282</v>
      </c>
      <c r="D5" s="1">
        <v>-85063.574475999994</v>
      </c>
      <c r="E5" s="1">
        <v>-85061.251348999998</v>
      </c>
      <c r="F5" s="1">
        <v>-85065.063678000006</v>
      </c>
      <c r="G5" s="1">
        <f>AVERAGE(C5:F5)</f>
        <v>-85063.292946250003</v>
      </c>
      <c r="H5" s="1">
        <f>STDEV(C5:F5)</f>
        <v>1.568755662731173</v>
      </c>
      <c r="I5" s="1">
        <f>G5-G4*(16001/16000)</f>
        <v>1.9745754546747776</v>
      </c>
      <c r="J5" s="1">
        <f>1/(800*8.6173*10^-5)</f>
        <v>14.505703642672296</v>
      </c>
      <c r="K5" s="1">
        <v>0.31337300000000001</v>
      </c>
      <c r="L5" s="1">
        <v>0.31418600000000002</v>
      </c>
      <c r="M5" s="1">
        <v>0.33019300000000001</v>
      </c>
      <c r="N5" s="1">
        <v>0.25126799999999999</v>
      </c>
      <c r="O5" s="1">
        <f t="shared" ref="O5:O8" si="0">AVERAGE(K5:N5)</f>
        <v>0.302255</v>
      </c>
      <c r="P5" s="1">
        <f>(O5-O4)/6/(1000000*0.001)*(10^-12)/(10^-16)</f>
        <v>0.1845170833333333</v>
      </c>
    </row>
    <row r="6" spans="1:27" x14ac:dyDescent="0.2">
      <c r="B6" s="1" t="s">
        <v>11</v>
      </c>
      <c r="C6" s="1">
        <v>-84655.182188000006</v>
      </c>
      <c r="D6" s="1">
        <v>-84657.291278000004</v>
      </c>
      <c r="E6" s="1">
        <v>-84657.195099999997</v>
      </c>
      <c r="F6" s="1">
        <v>-84655.411924</v>
      </c>
      <c r="G6" s="1">
        <f t="shared" ref="G6:G9" si="1">AVERAGE(C6:F6)</f>
        <v>-84656.270122500006</v>
      </c>
      <c r="H6" s="1">
        <f t="shared" ref="H6:H9" si="2">STDEV(C6:F6)</f>
        <v>1.1281914838018559</v>
      </c>
      <c r="I6" s="1"/>
      <c r="J6" s="1"/>
      <c r="K6" s="1">
        <v>0.274758</v>
      </c>
      <c r="L6" s="1">
        <v>0.27382000000000001</v>
      </c>
      <c r="M6" s="1">
        <v>0.27311000000000002</v>
      </c>
      <c r="N6" s="1">
        <v>0.27483999999999997</v>
      </c>
      <c r="O6" s="1">
        <f t="shared" si="0"/>
        <v>0.27413199999999999</v>
      </c>
      <c r="P6" s="1"/>
    </row>
    <row r="7" spans="1:27" x14ac:dyDescent="0.2">
      <c r="B7" s="1" t="s">
        <v>12</v>
      </c>
      <c r="C7" s="1">
        <v>-84659.191248000003</v>
      </c>
      <c r="D7" s="1">
        <v>-84659.617859999998</v>
      </c>
      <c r="E7" s="1">
        <v>-84658.145778999999</v>
      </c>
      <c r="F7" s="1">
        <v>-84659.271905999994</v>
      </c>
      <c r="G7" s="1">
        <f t="shared" si="1"/>
        <v>-84659.056698250002</v>
      </c>
      <c r="H7" s="1">
        <f t="shared" si="2"/>
        <v>0.63484759340805608</v>
      </c>
      <c r="I7" s="1">
        <f>G7-G6*(16001/16000)</f>
        <v>2.5044411326671252</v>
      </c>
      <c r="J7" s="1">
        <f>1/(1000*8.6173*10^-5)</f>
        <v>11.604562914137839</v>
      </c>
      <c r="K7" s="1">
        <v>0.40095799999999998</v>
      </c>
      <c r="L7" s="1">
        <v>0.41252899999999998</v>
      </c>
      <c r="M7" s="1">
        <v>0.44385799999999997</v>
      </c>
      <c r="N7" s="1">
        <v>0.37393199999999999</v>
      </c>
      <c r="O7" s="1">
        <f t="shared" si="0"/>
        <v>0.40781924999999997</v>
      </c>
      <c r="P7" s="1">
        <f>(O7-O6)/6/(1000000*0.001)*(10^-12)/(10^-16)</f>
        <v>0.2228120833333333</v>
      </c>
    </row>
    <row r="8" spans="1:27" x14ac:dyDescent="0.2">
      <c r="B8" s="1" t="s">
        <v>13</v>
      </c>
      <c r="C8" s="1">
        <v>-84205.643660000002</v>
      </c>
      <c r="D8" s="1"/>
      <c r="E8" s="1"/>
      <c r="F8" s="1"/>
      <c r="G8" s="1">
        <f t="shared" si="1"/>
        <v>-84205.643660000002</v>
      </c>
      <c r="H8" s="1" t="e">
        <f t="shared" si="2"/>
        <v>#DIV/0!</v>
      </c>
      <c r="I8" s="1"/>
      <c r="J8" s="1"/>
      <c r="K8" s="1">
        <v>0.40501799999999999</v>
      </c>
      <c r="L8" s="1"/>
      <c r="M8" s="1"/>
      <c r="N8" s="1"/>
      <c r="O8" s="1">
        <f t="shared" si="0"/>
        <v>0.40501799999999999</v>
      </c>
      <c r="P8" s="1"/>
    </row>
    <row r="9" spans="1:27" x14ac:dyDescent="0.2">
      <c r="A9" s="2"/>
      <c r="B9" s="3" t="s">
        <v>14</v>
      </c>
      <c r="C9" s="3">
        <v>-84206.540422999999</v>
      </c>
      <c r="D9" s="3"/>
      <c r="E9" s="3"/>
      <c r="F9" s="3"/>
      <c r="G9" s="3">
        <f t="shared" si="1"/>
        <v>-84206.540422999999</v>
      </c>
      <c r="H9" s="3" t="e">
        <f t="shared" si="2"/>
        <v>#DIV/0!</v>
      </c>
      <c r="I9" s="3">
        <f>G9-G8*(16001/16000)</f>
        <v>4.3660897287627449</v>
      </c>
      <c r="J9" s="3"/>
      <c r="K9" s="3">
        <v>0.77831099999999998</v>
      </c>
      <c r="L9" s="3"/>
      <c r="M9" s="3"/>
      <c r="N9" s="3"/>
      <c r="O9" s="3">
        <f>AVERAGE(K9:N9)</f>
        <v>0.77831099999999998</v>
      </c>
      <c r="P9" s="3"/>
      <c r="Q9" s="2"/>
      <c r="R9" s="2"/>
    </row>
    <row r="11" spans="1:27" x14ac:dyDescent="0.2">
      <c r="A11" t="s">
        <v>15</v>
      </c>
      <c r="M11" t="s">
        <v>24</v>
      </c>
      <c r="N11" t="s">
        <v>48</v>
      </c>
      <c r="R11">
        <v>800</v>
      </c>
      <c r="S11">
        <v>900</v>
      </c>
      <c r="T11">
        <v>1000</v>
      </c>
      <c r="U11">
        <v>1100</v>
      </c>
      <c r="V11">
        <v>1200</v>
      </c>
    </row>
    <row r="12" spans="1:27" x14ac:dyDescent="0.2">
      <c r="A12" t="s">
        <v>17</v>
      </c>
      <c r="B12" t="s">
        <v>9</v>
      </c>
      <c r="C12">
        <v>-10632.516793999999</v>
      </c>
      <c r="D12">
        <v>-10632.438763</v>
      </c>
      <c r="E12" s="1">
        <v>-10632.775188</v>
      </c>
      <c r="F12">
        <v>-10632.933415</v>
      </c>
      <c r="G12">
        <v>-10632.205507000001</v>
      </c>
      <c r="H12" s="1">
        <v>-10632.688752</v>
      </c>
      <c r="I12">
        <v>-10632.924032999999</v>
      </c>
      <c r="J12">
        <v>-10632.775038</v>
      </c>
      <c r="K12">
        <v>-10632.301691000001</v>
      </c>
      <c r="L12">
        <v>-10632.416518</v>
      </c>
      <c r="M12">
        <f>AVERAGE(C12:L12)</f>
        <v>-10632.597569899999</v>
      </c>
      <c r="N12">
        <f>STDEV(C12:L12)/SQRT(COUNT(C12:L12))</f>
        <v>8.1411791884305959E-2</v>
      </c>
      <c r="Q12" t="s">
        <v>15</v>
      </c>
      <c r="R12" s="5">
        <v>0.63242428494959313</v>
      </c>
      <c r="S12" s="5">
        <v>0.9444329985017248</v>
      </c>
      <c r="T12" s="5">
        <v>1.0316193034996104</v>
      </c>
      <c r="U12" s="5">
        <v>1.3111217644473072</v>
      </c>
      <c r="V12" s="5">
        <v>1.4002098320015648</v>
      </c>
      <c r="W12">
        <f>P13</f>
        <v>0.15442038084921</v>
      </c>
      <c r="X12">
        <f>P15</f>
        <v>0.13831140207440226</v>
      </c>
      <c r="Y12">
        <f>P17</f>
        <v>0.18652631257390678</v>
      </c>
      <c r="Z12">
        <f>P19</f>
        <v>0.19273010810225571</v>
      </c>
      <c r="AA12">
        <f>P21</f>
        <v>0.30026483837155415</v>
      </c>
    </row>
    <row r="13" spans="1:27" x14ac:dyDescent="0.2">
      <c r="B13" s="1" t="s">
        <v>10</v>
      </c>
      <c r="C13">
        <v>-10637.273121</v>
      </c>
      <c r="D13">
        <v>-10637.652050999999</v>
      </c>
      <c r="E13">
        <v>-10637.009355</v>
      </c>
      <c r="F13">
        <v>-10637.586557000001</v>
      </c>
      <c r="G13">
        <v>-10637.012033999999</v>
      </c>
      <c r="H13">
        <v>-10637.438131000001</v>
      </c>
      <c r="I13">
        <v>-10637.234603000001</v>
      </c>
      <c r="J13">
        <v>-10637.281585000001</v>
      </c>
      <c r="K13">
        <v>-10637.318472999999</v>
      </c>
      <c r="L13">
        <v>-10637.008534000001</v>
      </c>
      <c r="M13">
        <f t="shared" ref="M13:M21" si="3">AVERAGE(C13:L13)</f>
        <v>-10637.2814444</v>
      </c>
      <c r="N13">
        <f t="shared" ref="N13:N20" si="4">STDEV(C13:L13)/SQRT(COUNT(C13:L13))</f>
        <v>7.3008588964904031E-2</v>
      </c>
      <c r="O13">
        <f>M13-2001/2000*M12</f>
        <v>0.63242428494959313</v>
      </c>
      <c r="P13">
        <f>SUM(N12:N13)</f>
        <v>0.15442038084921</v>
      </c>
      <c r="Q13" t="s">
        <v>25</v>
      </c>
      <c r="R13" s="5">
        <v>1.9987906287005899</v>
      </c>
      <c r="S13" s="5">
        <v>1.7965684946520923</v>
      </c>
      <c r="T13" s="5">
        <v>2.2342111811485665</v>
      </c>
      <c r="U13" s="5">
        <v>2.3732181581981422</v>
      </c>
      <c r="V13" s="5">
        <v>2.1745410137991712</v>
      </c>
      <c r="W13">
        <f>P44</f>
        <v>0.14687898829412091</v>
      </c>
      <c r="X13">
        <f>P46</f>
        <v>0.19307031034113642</v>
      </c>
      <c r="Y13">
        <f>P48</f>
        <v>0.20061308412188056</v>
      </c>
      <c r="Z13">
        <f>P50</f>
        <v>0.29125060312455553</v>
      </c>
      <c r="AA13">
        <f>P52</f>
        <v>0.39390283586952268</v>
      </c>
    </row>
    <row r="14" spans="1:27" x14ac:dyDescent="0.2">
      <c r="B14" s="1" t="s">
        <v>29</v>
      </c>
      <c r="C14">
        <v>-10607.754290999999</v>
      </c>
      <c r="D14">
        <v>-10607.397004</v>
      </c>
      <c r="E14">
        <v>-10608.262602000001</v>
      </c>
      <c r="F14">
        <v>-10607.946827</v>
      </c>
      <c r="G14">
        <v>-10607.914476</v>
      </c>
      <c r="H14">
        <v>-10608.055987</v>
      </c>
      <c r="I14">
        <v>-10607.933712</v>
      </c>
      <c r="K14">
        <v>-10608.109828000001</v>
      </c>
      <c r="L14">
        <v>-10607.968246</v>
      </c>
      <c r="M14">
        <f t="shared" si="3"/>
        <v>-10607.926997</v>
      </c>
      <c r="N14">
        <f t="shared" si="4"/>
        <v>8.1284208929949406E-2</v>
      </c>
      <c r="Q14" t="s">
        <v>34</v>
      </c>
      <c r="R14" s="5">
        <v>0.8855425240490149</v>
      </c>
      <c r="S14" s="5">
        <v>1.0658453162504884</v>
      </c>
      <c r="T14" s="5">
        <v>0.96565356620249077</v>
      </c>
      <c r="U14" s="5">
        <v>1.0552996658007032</v>
      </c>
      <c r="V14" s="5">
        <v>1.5852713195999968</v>
      </c>
      <c r="W14">
        <f>P72</f>
        <v>0.12244006807979527</v>
      </c>
      <c r="X14">
        <f>P74</f>
        <v>0.19349451697649928</v>
      </c>
      <c r="Y14">
        <f>P76</f>
        <v>0.22005594381083976</v>
      </c>
      <c r="Z14">
        <f>P78</f>
        <v>0.28882154273747707</v>
      </c>
      <c r="AA14">
        <f>P80</f>
        <v>0.32327801023694414</v>
      </c>
    </row>
    <row r="15" spans="1:27" x14ac:dyDescent="0.2">
      <c r="B15" s="1" t="s">
        <v>30</v>
      </c>
      <c r="C15">
        <v>-10612.346519000001</v>
      </c>
      <c r="D15">
        <v>-10612.038847</v>
      </c>
      <c r="E15">
        <v>-10612.022709000001</v>
      </c>
      <c r="F15">
        <v>-10612.246988000001</v>
      </c>
      <c r="G15">
        <v>-10612.189435</v>
      </c>
      <c r="H15">
        <v>-10612.275974</v>
      </c>
      <c r="I15">
        <v>-10612.407251000001</v>
      </c>
      <c r="J15">
        <v>-10612.505014</v>
      </c>
      <c r="K15">
        <v>-10612.256477999999</v>
      </c>
      <c r="L15">
        <v>-10612.576059999999</v>
      </c>
      <c r="M15">
        <f t="shared" si="3"/>
        <v>-10612.286527499999</v>
      </c>
      <c r="N15">
        <f t="shared" si="4"/>
        <v>5.7027193144452849E-2</v>
      </c>
      <c r="O15">
        <f>M15-2001/2000*M14</f>
        <v>0.9444329985017248</v>
      </c>
      <c r="P15">
        <f>SUM(N14:N15)</f>
        <v>0.13831140207440226</v>
      </c>
      <c r="R15" t="s">
        <v>51</v>
      </c>
    </row>
    <row r="16" spans="1:27" x14ac:dyDescent="0.2">
      <c r="B16" s="1" t="s">
        <v>11</v>
      </c>
      <c r="C16">
        <v>-10581.942399</v>
      </c>
      <c r="D16">
        <v>-10582.366427000001</v>
      </c>
      <c r="E16">
        <v>-10581.913455</v>
      </c>
      <c r="F16">
        <v>-10582.228257000001</v>
      </c>
      <c r="G16">
        <v>-10582.126042</v>
      </c>
      <c r="H16">
        <v>-10581.584029</v>
      </c>
      <c r="I16">
        <v>-10581.929483</v>
      </c>
      <c r="J16">
        <v>-10582.218155</v>
      </c>
      <c r="K16">
        <v>-10581.649164</v>
      </c>
      <c r="L16">
        <v>-10581.994659</v>
      </c>
      <c r="M16">
        <f t="shared" si="3"/>
        <v>-10581.995207</v>
      </c>
      <c r="N16">
        <f t="shared" si="4"/>
        <v>7.8989825168338357E-2</v>
      </c>
      <c r="R16">
        <f>R12/R$12</f>
        <v>1</v>
      </c>
      <c r="S16">
        <f t="shared" ref="S16:V16" si="5">S12/S$12</f>
        <v>1</v>
      </c>
      <c r="T16">
        <f t="shared" si="5"/>
        <v>1</v>
      </c>
      <c r="U16">
        <f t="shared" si="5"/>
        <v>1</v>
      </c>
      <c r="V16">
        <f t="shared" si="5"/>
        <v>1</v>
      </c>
    </row>
    <row r="17" spans="1:26" x14ac:dyDescent="0.2">
      <c r="B17" s="1" t="s">
        <v>12</v>
      </c>
      <c r="C17">
        <v>-10586.517731</v>
      </c>
      <c r="D17">
        <v>-10585.996893</v>
      </c>
      <c r="E17">
        <v>-10586.357185000001</v>
      </c>
      <c r="F17">
        <v>-10585.849725</v>
      </c>
      <c r="G17">
        <v>-10585.847597</v>
      </c>
      <c r="H17">
        <v>-10586.221955999999</v>
      </c>
      <c r="I17">
        <v>-10586.778552</v>
      </c>
      <c r="J17">
        <v>-10586.208688000001</v>
      </c>
      <c r="K17">
        <v>-10586.027425</v>
      </c>
      <c r="L17">
        <v>-10586.740100999999</v>
      </c>
      <c r="M17">
        <f t="shared" si="3"/>
        <v>-10586.254585299999</v>
      </c>
      <c r="N17">
        <f t="shared" si="4"/>
        <v>0.10753648740556841</v>
      </c>
      <c r="O17">
        <f>M17-2001/2000*M16</f>
        <v>1.0316193034996104</v>
      </c>
      <c r="P17">
        <f>SUM(N16:N17)</f>
        <v>0.18652631257390678</v>
      </c>
      <c r="R17">
        <f t="shared" ref="R17:V17" si="6">R13/R$12</f>
        <v>3.1605216249086667</v>
      </c>
      <c r="S17">
        <f t="shared" si="6"/>
        <v>1.9022720484165836</v>
      </c>
      <c r="T17">
        <f t="shared" si="6"/>
        <v>2.165732236271023</v>
      </c>
      <c r="U17">
        <f t="shared" si="6"/>
        <v>1.8100669385185235</v>
      </c>
      <c r="V17">
        <f t="shared" si="6"/>
        <v>1.5530108160222811</v>
      </c>
    </row>
    <row r="18" spans="1:26" x14ac:dyDescent="0.2">
      <c r="B18" s="1" t="s">
        <v>27</v>
      </c>
      <c r="C18">
        <v>-10554.755189</v>
      </c>
      <c r="D18">
        <v>-10554.289198</v>
      </c>
      <c r="E18">
        <v>-10555.15072</v>
      </c>
      <c r="F18">
        <v>-10555.125226</v>
      </c>
      <c r="G18">
        <v>-10555.125226</v>
      </c>
      <c r="H18">
        <v>-10554.753021</v>
      </c>
      <c r="I18">
        <v>-10554.507299999999</v>
      </c>
      <c r="J18">
        <v>-10554.388403000001</v>
      </c>
      <c r="K18">
        <v>-10554.592102000001</v>
      </c>
      <c r="L18">
        <v>-10554.998904</v>
      </c>
      <c r="M18">
        <f t="shared" si="3"/>
        <v>-10554.768528899998</v>
      </c>
      <c r="N18">
        <f t="shared" si="4"/>
        <v>0.10152436021817961</v>
      </c>
      <c r="R18">
        <f t="shared" ref="R18:V18" si="7">R14/R$12</f>
        <v>1.4002348504368336</v>
      </c>
      <c r="S18">
        <f t="shared" si="7"/>
        <v>1.1285557767902812</v>
      </c>
      <c r="T18">
        <f t="shared" si="7"/>
        <v>0.93605612353962264</v>
      </c>
      <c r="U18">
        <f t="shared" si="7"/>
        <v>0.80488303559323204</v>
      </c>
      <c r="V18">
        <f t="shared" si="7"/>
        <v>1.1321669676707606</v>
      </c>
    </row>
    <row r="19" spans="1:26" x14ac:dyDescent="0.2">
      <c r="B19" s="1" t="s">
        <v>28</v>
      </c>
      <c r="C19">
        <v>-10558.877155</v>
      </c>
      <c r="D19">
        <v>-10558.31594</v>
      </c>
      <c r="E19">
        <v>-10559.098712999999</v>
      </c>
      <c r="F19">
        <v>-10558.254781</v>
      </c>
      <c r="G19">
        <v>-10558.627221000001</v>
      </c>
      <c r="H19">
        <v>-10558.902717999999</v>
      </c>
      <c r="I19">
        <v>-10559.106927000001</v>
      </c>
      <c r="J19">
        <v>-10558.808123000001</v>
      </c>
      <c r="K19">
        <v>-10558.683894</v>
      </c>
      <c r="L19">
        <v>-10558.672441999999</v>
      </c>
      <c r="M19">
        <f t="shared" si="3"/>
        <v>-10558.7347914</v>
      </c>
      <c r="N19">
        <f t="shared" si="4"/>
        <v>9.1205747884076122E-2</v>
      </c>
      <c r="O19">
        <f>M19-2001/2000*M18</f>
        <v>1.3111217644473072</v>
      </c>
      <c r="P19">
        <f>SUM(N18:N19)</f>
        <v>0.19273010810225571</v>
      </c>
    </row>
    <row r="20" spans="1:26" x14ac:dyDescent="0.2">
      <c r="B20" s="1" t="s">
        <v>13</v>
      </c>
      <c r="C20">
        <v>-10525.422909000001</v>
      </c>
      <c r="D20">
        <v>-10526.222164999999</v>
      </c>
      <c r="E20">
        <v>-10524.875771000001</v>
      </c>
      <c r="F20">
        <v>-10526.083968000001</v>
      </c>
      <c r="G20">
        <v>-10525.826818</v>
      </c>
      <c r="H20">
        <v>-10525.971853999999</v>
      </c>
      <c r="I20">
        <v>-10526.31727</v>
      </c>
      <c r="J20">
        <v>-10525.210279000001</v>
      </c>
      <c r="K20">
        <v>-10525.318670000001</v>
      </c>
      <c r="L20">
        <v>-10525.478936</v>
      </c>
      <c r="M20">
        <f t="shared" si="3"/>
        <v>-10525.672864000002</v>
      </c>
      <c r="N20">
        <f t="shared" si="4"/>
        <v>0.1518030569222277</v>
      </c>
    </row>
    <row r="21" spans="1:26" x14ac:dyDescent="0.2">
      <c r="B21" s="1" t="s">
        <v>14</v>
      </c>
      <c r="C21">
        <v>-10529.335718</v>
      </c>
      <c r="D21">
        <v>-10529.751084</v>
      </c>
      <c r="E21">
        <v>-10530.15122</v>
      </c>
      <c r="F21">
        <v>-10529.600097</v>
      </c>
      <c r="G21">
        <v>-10528.426518</v>
      </c>
      <c r="H21">
        <v>-10529.786851000001</v>
      </c>
      <c r="I21">
        <v>-10529.95313</v>
      </c>
      <c r="J21">
        <v>-10529.577657</v>
      </c>
      <c r="K21">
        <v>-10529.398261</v>
      </c>
      <c r="L21">
        <v>-10529.37437</v>
      </c>
      <c r="M21">
        <f t="shared" si="3"/>
        <v>-10529.535490599999</v>
      </c>
      <c r="N21">
        <f>STDEV(C21:L21)/SQRT(COUNT(C21:L21))</f>
        <v>0.14846178144932648</v>
      </c>
      <c r="O21">
        <f>M21-2001/2000*M20</f>
        <v>1.4002098320015648</v>
      </c>
      <c r="P21">
        <f>SUM(N20:N21)</f>
        <v>0.30026483837155415</v>
      </c>
    </row>
    <row r="22" spans="1:26" x14ac:dyDescent="0.2">
      <c r="B22" s="1"/>
    </row>
    <row r="23" spans="1:26" x14ac:dyDescent="0.2">
      <c r="B23" t="s">
        <v>18</v>
      </c>
      <c r="C23" t="s">
        <v>19</v>
      </c>
      <c r="D23">
        <v>900</v>
      </c>
      <c r="E23" t="s">
        <v>26</v>
      </c>
      <c r="F23" t="s">
        <v>20</v>
      </c>
      <c r="G23" t="s">
        <v>12</v>
      </c>
      <c r="H23" t="s">
        <v>31</v>
      </c>
      <c r="I23" t="s">
        <v>32</v>
      </c>
      <c r="J23" t="s">
        <v>21</v>
      </c>
      <c r="K23" t="s">
        <v>14</v>
      </c>
    </row>
    <row r="24" spans="1:26" x14ac:dyDescent="0.2">
      <c r="A24" t="s">
        <v>8</v>
      </c>
      <c r="B24">
        <v>0.16106599999999999</v>
      </c>
      <c r="C24">
        <v>0.56653200000000004</v>
      </c>
      <c r="D24">
        <v>0.179672</v>
      </c>
      <c r="E24">
        <v>0.86228099999999996</v>
      </c>
      <c r="F24">
        <v>0.20083300000000001</v>
      </c>
      <c r="G24">
        <v>1.072435</v>
      </c>
      <c r="H24">
        <v>0.22810800000000001</v>
      </c>
      <c r="I24">
        <v>1.510173</v>
      </c>
      <c r="J24">
        <v>0.25832100000000002</v>
      </c>
      <c r="K24">
        <v>1.92696</v>
      </c>
    </row>
    <row r="25" spans="1:26" x14ac:dyDescent="0.2">
      <c r="B25">
        <v>0.16267200000000001</v>
      </c>
      <c r="C25">
        <v>0.61892000000000003</v>
      </c>
      <c r="D25">
        <v>0.178561</v>
      </c>
      <c r="E25">
        <v>0.76825900000000003</v>
      </c>
      <c r="F25">
        <v>0.20047899999999999</v>
      </c>
      <c r="G25">
        <v>1.218299</v>
      </c>
      <c r="H25">
        <v>0.22827800000000001</v>
      </c>
      <c r="I25">
        <v>1.506116</v>
      </c>
      <c r="J25">
        <v>0.25690099999999999</v>
      </c>
      <c r="K25">
        <v>1.742421</v>
      </c>
      <c r="Z25" t="s">
        <v>49</v>
      </c>
    </row>
    <row r="26" spans="1:26" x14ac:dyDescent="0.2">
      <c r="B26">
        <v>0.16067400000000001</v>
      </c>
      <c r="C26">
        <v>0.60748000000000002</v>
      </c>
      <c r="D26">
        <v>0.178895</v>
      </c>
      <c r="E26">
        <v>1.2966279999999999</v>
      </c>
      <c r="F26">
        <v>0.20075499999999999</v>
      </c>
      <c r="G26">
        <v>1.264195</v>
      </c>
      <c r="H26">
        <v>0.22548299999999999</v>
      </c>
      <c r="I26">
        <v>1.7035659999999999</v>
      </c>
      <c r="J26">
        <v>0.25889400000000001</v>
      </c>
      <c r="K26">
        <v>2.2373259999999999</v>
      </c>
    </row>
    <row r="27" spans="1:26" x14ac:dyDescent="0.2">
      <c r="B27">
        <v>0.16286500000000001</v>
      </c>
      <c r="C27">
        <v>0.69883300000000004</v>
      </c>
      <c r="D27">
        <v>0.180622</v>
      </c>
      <c r="E27">
        <v>1.1737930000000001</v>
      </c>
      <c r="F27">
        <v>0.20041600000000001</v>
      </c>
      <c r="G27">
        <v>1.468593</v>
      </c>
      <c r="H27">
        <v>0.22645100000000001</v>
      </c>
      <c r="I27">
        <v>1.4979480000000001</v>
      </c>
      <c r="J27">
        <v>0.25856499999999999</v>
      </c>
      <c r="K27">
        <v>2.0342479999999998</v>
      </c>
    </row>
    <row r="28" spans="1:26" x14ac:dyDescent="0.2">
      <c r="B28">
        <v>0.16262199999999999</v>
      </c>
      <c r="C28">
        <v>0.56874400000000003</v>
      </c>
      <c r="D28">
        <v>0.17918100000000001</v>
      </c>
      <c r="E28">
        <v>0.753973</v>
      </c>
      <c r="F28">
        <v>0.199411</v>
      </c>
      <c r="G28">
        <v>1.6060209999999999</v>
      </c>
      <c r="H28">
        <v>0.22645100000000001</v>
      </c>
      <c r="I28">
        <v>1.8520380000000001</v>
      </c>
      <c r="J28">
        <v>0.258467</v>
      </c>
      <c r="K28">
        <v>1.988308</v>
      </c>
    </row>
    <row r="29" spans="1:26" x14ac:dyDescent="0.2">
      <c r="B29">
        <v>0.16090099999999999</v>
      </c>
      <c r="C29">
        <v>0.68447899999999995</v>
      </c>
      <c r="D29">
        <v>0.17898500000000001</v>
      </c>
      <c r="E29">
        <v>1.3611850000000001</v>
      </c>
      <c r="F29">
        <v>0.20045199999999999</v>
      </c>
      <c r="G29">
        <v>1.246812</v>
      </c>
      <c r="H29">
        <v>0.22708</v>
      </c>
      <c r="I29">
        <v>1.5071079999999999</v>
      </c>
      <c r="J29">
        <v>0.25883499999999998</v>
      </c>
      <c r="K29">
        <v>2.01831</v>
      </c>
    </row>
    <row r="30" spans="1:26" x14ac:dyDescent="0.2">
      <c r="B30">
        <v>0.16222900000000001</v>
      </c>
      <c r="C30">
        <v>0.75964799999999999</v>
      </c>
      <c r="D30">
        <v>0.17751500000000001</v>
      </c>
      <c r="E30">
        <v>1.2238119999999999</v>
      </c>
      <c r="F30">
        <v>0.200934</v>
      </c>
      <c r="G30">
        <v>1.7311049999999999</v>
      </c>
      <c r="H30">
        <v>0.226517</v>
      </c>
      <c r="I30">
        <v>1.840517</v>
      </c>
      <c r="J30">
        <v>0.25808500000000001</v>
      </c>
      <c r="K30">
        <v>1.9225460000000001</v>
      </c>
    </row>
    <row r="31" spans="1:26" x14ac:dyDescent="0.2">
      <c r="B31">
        <v>0.161022</v>
      </c>
      <c r="C31">
        <v>0.68968799999999997</v>
      </c>
      <c r="E31">
        <v>1.1466460000000001</v>
      </c>
      <c r="F31">
        <v>0.19964599999999999</v>
      </c>
      <c r="G31">
        <v>1.21061</v>
      </c>
      <c r="H31">
        <v>0.227019</v>
      </c>
      <c r="I31">
        <v>1.5191190000000001</v>
      </c>
      <c r="J31">
        <v>0.25914799999999999</v>
      </c>
      <c r="K31">
        <v>1.720054</v>
      </c>
    </row>
    <row r="32" spans="1:26" x14ac:dyDescent="0.2">
      <c r="B32">
        <v>0.16220300000000001</v>
      </c>
      <c r="C32">
        <v>0.64518200000000003</v>
      </c>
      <c r="D32">
        <v>0.17879500000000001</v>
      </c>
      <c r="E32">
        <v>0.90434999999999999</v>
      </c>
      <c r="F32">
        <v>0.20105999999999999</v>
      </c>
      <c r="G32">
        <v>1.3125199999999999</v>
      </c>
      <c r="H32">
        <v>0.22636300000000001</v>
      </c>
      <c r="I32">
        <v>1.5798179999999999</v>
      </c>
      <c r="J32">
        <v>0.25794400000000001</v>
      </c>
      <c r="K32">
        <v>2.1620439999999999</v>
      </c>
    </row>
    <row r="33" spans="1:24" x14ac:dyDescent="0.2">
      <c r="B33">
        <v>0.16269800000000001</v>
      </c>
      <c r="C33">
        <v>1.022602</v>
      </c>
      <c r="D33">
        <v>0.17955099999999999</v>
      </c>
      <c r="E33">
        <v>0.89890700000000001</v>
      </c>
      <c r="F33">
        <v>0.20014499999999999</v>
      </c>
      <c r="G33">
        <v>1.1402760000000001</v>
      </c>
      <c r="H33">
        <v>0.22617000000000001</v>
      </c>
      <c r="I33">
        <v>1.604201</v>
      </c>
      <c r="J33">
        <v>0.25914100000000001</v>
      </c>
      <c r="K33">
        <v>1.579947</v>
      </c>
    </row>
    <row r="34" spans="1:24" x14ac:dyDescent="0.2">
      <c r="B34">
        <f>AVERAGE(B24:B33)</f>
        <v>0.16189519999999999</v>
      </c>
      <c r="C34">
        <f t="shared" ref="C34:K34" si="8">AVERAGE(C24:C33)</f>
        <v>0.68621080000000012</v>
      </c>
      <c r="D34">
        <f t="shared" si="8"/>
        <v>0.17908633333333335</v>
      </c>
      <c r="E34">
        <f>AVERAGE(E24:E33)</f>
        <v>1.0389833999999998</v>
      </c>
      <c r="F34">
        <f>AVERAGE(F24:F33)</f>
        <v>0.20041310000000001</v>
      </c>
      <c r="G34">
        <f t="shared" si="8"/>
        <v>1.3270865999999999</v>
      </c>
      <c r="H34">
        <f t="shared" si="8"/>
        <v>0.22679200000000002</v>
      </c>
      <c r="I34">
        <f t="shared" si="8"/>
        <v>1.6120604000000001</v>
      </c>
      <c r="J34">
        <f t="shared" si="8"/>
        <v>0.25843010000000005</v>
      </c>
      <c r="K34">
        <f t="shared" si="8"/>
        <v>1.9332163999999998</v>
      </c>
    </row>
    <row r="35" spans="1:24" x14ac:dyDescent="0.2">
      <c r="B35">
        <f>STDEV(B24:B33)/SQRT(COUNT(B24:B33))</f>
        <v>2.7593545138915028E-4</v>
      </c>
      <c r="C35">
        <f t="shared" ref="C35:K35" si="9">STDEV(C24:C33)/SQRT(COUNT(C24:C33))</f>
        <v>4.2065806792532225E-2</v>
      </c>
      <c r="D35">
        <f t="shared" si="9"/>
        <v>2.8389576530049772E-4</v>
      </c>
      <c r="E35">
        <f t="shared" si="9"/>
        <v>7.1306459367873887E-2</v>
      </c>
      <c r="F35">
        <f t="shared" si="9"/>
        <v>1.717044262679328E-4</v>
      </c>
      <c r="G35">
        <f t="shared" si="9"/>
        <v>6.6400975293239684E-2</v>
      </c>
      <c r="H35">
        <f t="shared" si="9"/>
        <v>2.7217473962307608E-4</v>
      </c>
      <c r="I35">
        <f t="shared" si="9"/>
        <v>4.3911058091758361E-2</v>
      </c>
      <c r="J35">
        <f t="shared" si="9"/>
        <v>2.1408468988800791E-4</v>
      </c>
      <c r="K35">
        <f t="shared" si="9"/>
        <v>6.43015008527449E-2</v>
      </c>
    </row>
    <row r="36" spans="1:24" x14ac:dyDescent="0.2">
      <c r="C36">
        <f>(C34-B34)*2000</f>
        <v>1048.6312000000003</v>
      </c>
      <c r="E36">
        <f>(E34-D34)*2000</f>
        <v>1719.7941333333329</v>
      </c>
      <c r="G36">
        <f>(G34-F34)*2000</f>
        <v>2253.3469999999998</v>
      </c>
      <c r="I36">
        <f>(I34-H34)*2000</f>
        <v>2770.5367999999999</v>
      </c>
      <c r="K36">
        <f>(K34-J34)*2000</f>
        <v>3349.5725999999995</v>
      </c>
    </row>
    <row r="37" spans="1:24" x14ac:dyDescent="0.2">
      <c r="C37">
        <f>2000*(SUM(B35:C35))</f>
        <v>84.683484487842762</v>
      </c>
    </row>
    <row r="38" spans="1:24" x14ac:dyDescent="0.2">
      <c r="A38" t="s">
        <v>22</v>
      </c>
      <c r="B38">
        <v>1000000</v>
      </c>
      <c r="C38">
        <f>C36*(10^-20)/($B38*$B40*(10^-12))/6</f>
        <v>1.747718666666667E-9</v>
      </c>
      <c r="E38">
        <f>E36*(10^-20)/($B38*$B40*(10^-12))/6</f>
        <v>2.8663235555555542E-9</v>
      </c>
      <c r="G38">
        <f>G36*(10^-20)/($B38*$B40*(10^-12))/6</f>
        <v>3.7555783333333325E-9</v>
      </c>
      <c r="I38">
        <f>I36*(10^-20)/($B38*$B40*(10^-12))/6</f>
        <v>4.6175613333333326E-9</v>
      </c>
      <c r="K38">
        <f>K36*(10^-20)/($B38*$B40*(10^-12))/6</f>
        <v>5.5826209999999994E-9</v>
      </c>
    </row>
    <row r="39" spans="1:24" x14ac:dyDescent="0.2">
      <c r="C39">
        <f>C37*(10^-20)/($B38*$B40*(10^-12))</f>
        <v>8.4683484487842754E-10</v>
      </c>
    </row>
    <row r="40" spans="1:24" x14ac:dyDescent="0.2">
      <c r="A40" t="s">
        <v>23</v>
      </c>
      <c r="B40">
        <v>1E-3</v>
      </c>
      <c r="C40">
        <f>1/(800*8.6173*10^-5)</f>
        <v>14.505703642672296</v>
      </c>
      <c r="E40">
        <f>1/(900*8.6173*10^-5)</f>
        <v>12.893958793486487</v>
      </c>
      <c r="G40">
        <f>1/(1000*8.6173*10^-5)</f>
        <v>11.604562914137839</v>
      </c>
      <c r="I40">
        <f>1/(1100*8.6173*10^-5)</f>
        <v>10.549602649216217</v>
      </c>
      <c r="K40">
        <f>1/(1200*8.6173*10^-5)</f>
        <v>9.6704690951148642</v>
      </c>
      <c r="L40" t="s">
        <v>47</v>
      </c>
    </row>
    <row r="42" spans="1:24" x14ac:dyDescent="0.2">
      <c r="A42" t="s">
        <v>25</v>
      </c>
      <c r="M42" t="s">
        <v>24</v>
      </c>
      <c r="N42" t="s">
        <v>48</v>
      </c>
    </row>
    <row r="43" spans="1:24" x14ac:dyDescent="0.2">
      <c r="A43" t="s">
        <v>17</v>
      </c>
      <c r="B43" t="s">
        <v>9</v>
      </c>
      <c r="C43">
        <v>-10359.560572</v>
      </c>
      <c r="D43">
        <v>-10359.57329</v>
      </c>
      <c r="E43" s="1">
        <v>-10359.850305</v>
      </c>
      <c r="F43">
        <v>-10359.802836999999</v>
      </c>
      <c r="G43">
        <v>-10359.310952</v>
      </c>
      <c r="H43">
        <v>-10359.746397000001</v>
      </c>
      <c r="I43">
        <v>-10359.697351999999</v>
      </c>
      <c r="J43">
        <v>-10359.500461</v>
      </c>
      <c r="K43">
        <v>-10359.613273999999</v>
      </c>
      <c r="L43">
        <v>-10359.827133999999</v>
      </c>
      <c r="M43">
        <f>AVERAGE(C43:L43)</f>
        <v>-10359.6482574</v>
      </c>
      <c r="N43">
        <f>STDEV(C43:L43)/SQRT(COUNT(C43:L43))</f>
        <v>5.3635391684153003E-2</v>
      </c>
    </row>
    <row r="44" spans="1:24" x14ac:dyDescent="0.2">
      <c r="B44" s="1" t="s">
        <v>10</v>
      </c>
      <c r="C44">
        <v>-10363.062760999999</v>
      </c>
      <c r="D44">
        <v>-10362.52889</v>
      </c>
      <c r="E44">
        <v>-10363.078573999999</v>
      </c>
      <c r="F44">
        <v>-10362.384516</v>
      </c>
      <c r="G44">
        <v>-10362.415872</v>
      </c>
      <c r="H44">
        <v>-10363.080295</v>
      </c>
      <c r="I44">
        <v>-10363.163057</v>
      </c>
      <c r="J44">
        <v>-10362.773434999999</v>
      </c>
      <c r="K44">
        <v>-10362.99905</v>
      </c>
      <c r="L44">
        <v>-10362.806458999999</v>
      </c>
      <c r="M44">
        <f>AVERAGE(C44:L44)</f>
        <v>-10362.829290899999</v>
      </c>
      <c r="N44">
        <f>STDEV(C44:L44)/SQRT(COUNT(C44:L44))</f>
        <v>9.3243596609967908E-2</v>
      </c>
      <c r="O44">
        <f>M44-2001/2000*M43</f>
        <v>1.9987906287005899</v>
      </c>
      <c r="P44">
        <f>SUM(N43:N44)</f>
        <v>0.14687898829412091</v>
      </c>
      <c r="S44" t="s">
        <v>50</v>
      </c>
      <c r="T44">
        <v>800</v>
      </c>
      <c r="U44">
        <v>900</v>
      </c>
      <c r="V44">
        <v>1000</v>
      </c>
      <c r="W44">
        <v>1100</v>
      </c>
      <c r="X44">
        <v>1200</v>
      </c>
    </row>
    <row r="45" spans="1:24" x14ac:dyDescent="0.2">
      <c r="B45" s="1" t="s">
        <v>29</v>
      </c>
      <c r="C45">
        <v>-10331.104369999999</v>
      </c>
      <c r="D45">
        <v>-10331.289164</v>
      </c>
      <c r="E45">
        <v>-10331.323458000001</v>
      </c>
      <c r="F45">
        <v>-10331.160599000001</v>
      </c>
      <c r="G45">
        <v>-10331.474625000001</v>
      </c>
      <c r="H45">
        <v>-10331.049274999999</v>
      </c>
      <c r="I45">
        <v>-10331.560262999999</v>
      </c>
      <c r="J45">
        <v>-10331.600474000001</v>
      </c>
      <c r="K45">
        <v>-10331.244057</v>
      </c>
      <c r="L45">
        <v>-10330.601608000001</v>
      </c>
      <c r="M45">
        <f t="shared" ref="M45:M52" si="10">AVERAGE(C45:L45)</f>
        <v>-10331.240789300002</v>
      </c>
      <c r="N45">
        <f t="shared" ref="N45:N51" si="11">STDEV(C45:L45)/SQRT(COUNT(C45:L45))</f>
        <v>9.2229890155221483E-2</v>
      </c>
      <c r="S45" t="s">
        <v>15</v>
      </c>
      <c r="T45">
        <v>1.0486312000000002E-8</v>
      </c>
      <c r="U45">
        <v>1.7197941333333326E-8</v>
      </c>
      <c r="V45">
        <v>2.2533469999999995E-8</v>
      </c>
      <c r="W45">
        <v>2.7705367999999997E-8</v>
      </c>
      <c r="X45">
        <v>3.3495725999999996E-8</v>
      </c>
    </row>
    <row r="46" spans="1:24" x14ac:dyDescent="0.2">
      <c r="B46" s="1" t="s">
        <v>30</v>
      </c>
      <c r="C46">
        <v>-10334.384939</v>
      </c>
      <c r="D46">
        <v>-10334.840387</v>
      </c>
      <c r="E46">
        <v>-10334.789504</v>
      </c>
      <c r="F46">
        <v>-10334.573710999999</v>
      </c>
      <c r="G46">
        <v>-10334.77829</v>
      </c>
      <c r="H46">
        <v>-10335.018669999999</v>
      </c>
      <c r="I46">
        <v>-10334.16122</v>
      </c>
      <c r="J46">
        <v>-10334.031295999999</v>
      </c>
      <c r="K46">
        <v>-10334.73602</v>
      </c>
      <c r="L46">
        <v>-10334.784374999999</v>
      </c>
      <c r="M46">
        <f t="shared" si="10"/>
        <v>-10334.609841199999</v>
      </c>
      <c r="N46">
        <f t="shared" si="11"/>
        <v>0.10084042018591495</v>
      </c>
      <c r="O46">
        <f>M46-2001/2000*M45</f>
        <v>1.7965684946520923</v>
      </c>
      <c r="P46">
        <f>SUM(N45:N46)</f>
        <v>0.19307031034113642</v>
      </c>
      <c r="S46" t="s">
        <v>25</v>
      </c>
      <c r="T46">
        <v>3.2574999999999992E-8</v>
      </c>
      <c r="U46">
        <v>3.7273375999999993E-8</v>
      </c>
      <c r="V46">
        <v>3.9970029999999983E-8</v>
      </c>
      <c r="W46">
        <v>4.5961220000000001E-8</v>
      </c>
      <c r="X46">
        <v>5.1709140000000002E-8</v>
      </c>
    </row>
    <row r="47" spans="1:24" x14ac:dyDescent="0.2">
      <c r="B47" s="1" t="s">
        <v>11</v>
      </c>
      <c r="C47">
        <v>-10302.089534999999</v>
      </c>
      <c r="D47">
        <v>-10301.238047999999</v>
      </c>
      <c r="E47">
        <v>-10300.978007</v>
      </c>
      <c r="F47">
        <v>-10301.408056</v>
      </c>
      <c r="G47">
        <v>-10301.997158</v>
      </c>
      <c r="H47">
        <v>-10301.30804</v>
      </c>
      <c r="I47">
        <v>-10302.135071000001</v>
      </c>
      <c r="J47">
        <v>-10302.026320000001</v>
      </c>
      <c r="K47">
        <v>-10301.589473</v>
      </c>
      <c r="L47">
        <v>-10302.121915</v>
      </c>
      <c r="M47">
        <f t="shared" si="10"/>
        <v>-10301.689162299999</v>
      </c>
      <c r="N47">
        <f t="shared" si="11"/>
        <v>0.13737229711268523</v>
      </c>
      <c r="S47" t="s">
        <v>34</v>
      </c>
      <c r="T47">
        <v>2.3543199999999995E-8</v>
      </c>
      <c r="U47">
        <v>2.8270556E-8</v>
      </c>
      <c r="V47">
        <v>3.2341816E-8</v>
      </c>
      <c r="W47">
        <v>3.9454315999999992E-8</v>
      </c>
      <c r="X47">
        <f>K95</f>
        <v>6.785361999999998E-9</v>
      </c>
    </row>
    <row r="48" spans="1:24" x14ac:dyDescent="0.2">
      <c r="B48" s="1" t="s">
        <v>12</v>
      </c>
      <c r="C48">
        <v>-10304.388647</v>
      </c>
      <c r="D48">
        <v>-10304.653038</v>
      </c>
      <c r="E48">
        <v>-10304.619912</v>
      </c>
      <c r="F48">
        <v>-10304.741714</v>
      </c>
      <c r="G48">
        <v>-10304.771247999999</v>
      </c>
      <c r="H48">
        <v>-10304.971482000001</v>
      </c>
      <c r="I48">
        <v>-10304.316328999999</v>
      </c>
      <c r="J48">
        <v>-10304.414997</v>
      </c>
      <c r="K48">
        <v>-10304.519194</v>
      </c>
      <c r="L48">
        <v>-10304.661396</v>
      </c>
      <c r="M48">
        <f t="shared" si="10"/>
        <v>-10304.605795699999</v>
      </c>
      <c r="N48">
        <f t="shared" si="11"/>
        <v>6.3240787009195318E-2</v>
      </c>
      <c r="O48">
        <f>M48-2001/2000*M47</f>
        <v>2.2342111811485665</v>
      </c>
      <c r="P48">
        <f>SUM(N47:N48)</f>
        <v>0.20061308412188056</v>
      </c>
      <c r="T48" t="s">
        <v>51</v>
      </c>
    </row>
    <row r="49" spans="1:30" x14ac:dyDescent="0.2">
      <c r="B49" s="1" t="s">
        <v>27</v>
      </c>
      <c r="C49">
        <v>-10270.443364000001</v>
      </c>
      <c r="D49">
        <v>-10269.81256</v>
      </c>
      <c r="E49">
        <v>-10270.250539000001</v>
      </c>
      <c r="F49">
        <v>-10271.369047</v>
      </c>
      <c r="G49">
        <v>-10270.475189999999</v>
      </c>
      <c r="H49">
        <v>-10269.879865000001</v>
      </c>
      <c r="I49">
        <v>-10270.683161000001</v>
      </c>
      <c r="J49">
        <v>-10270.288153</v>
      </c>
      <c r="K49">
        <v>-10271.098946</v>
      </c>
      <c r="L49">
        <v>-10270.272338999999</v>
      </c>
      <c r="M49">
        <f t="shared" si="10"/>
        <v>-10270.457316399999</v>
      </c>
      <c r="N49">
        <f t="shared" si="11"/>
        <v>0.15453197695795276</v>
      </c>
      <c r="T49">
        <f>T45/T$45</f>
        <v>1</v>
      </c>
      <c r="U49">
        <f t="shared" ref="U49:X49" si="12">U45/U$45</f>
        <v>1</v>
      </c>
      <c r="V49">
        <f t="shared" si="12"/>
        <v>1</v>
      </c>
      <c r="W49">
        <f t="shared" si="12"/>
        <v>1</v>
      </c>
      <c r="X49">
        <f t="shared" si="12"/>
        <v>1</v>
      </c>
    </row>
    <row r="50" spans="1:30" x14ac:dyDescent="0.2">
      <c r="B50" s="1" t="s">
        <v>28</v>
      </c>
      <c r="C50">
        <v>-10272.800421</v>
      </c>
      <c r="D50">
        <v>-10272.64689</v>
      </c>
      <c r="E50">
        <v>-10272.635794</v>
      </c>
      <c r="F50">
        <v>-10272.887561</v>
      </c>
      <c r="G50">
        <v>-10273.495949</v>
      </c>
      <c r="H50">
        <v>-10273.342337</v>
      </c>
      <c r="I50">
        <v>-10273.760113</v>
      </c>
      <c r="J50">
        <v>-10273.406079</v>
      </c>
      <c r="K50">
        <v>-10273.662765999999</v>
      </c>
      <c r="L50">
        <v>-10273.555359</v>
      </c>
      <c r="M50">
        <f t="shared" si="10"/>
        <v>-10273.2193269</v>
      </c>
      <c r="N50">
        <f t="shared" si="11"/>
        <v>0.13671862616660274</v>
      </c>
      <c r="O50">
        <f>M50-2001/2000*M49</f>
        <v>2.3732181581981422</v>
      </c>
      <c r="P50">
        <f>SUM(N49:N50)</f>
        <v>0.29125060312455553</v>
      </c>
      <c r="T50">
        <f t="shared" ref="T50:X50" si="13">T46/T$45</f>
        <v>3.1064305544218009</v>
      </c>
      <c r="U50">
        <f t="shared" si="13"/>
        <v>2.167316150088042</v>
      </c>
      <c r="V50">
        <f t="shared" si="13"/>
        <v>1.7738071411105343</v>
      </c>
      <c r="W50">
        <f t="shared" si="13"/>
        <v>1.6589283347544781</v>
      </c>
      <c r="X50">
        <f t="shared" si="13"/>
        <v>1.5437533731915531</v>
      </c>
      <c r="Z50">
        <f>R17/T50/1.5</f>
        <v>0.6782750747820776</v>
      </c>
      <c r="AA50">
        <f t="shared" ref="AA50:AD50" si="14">S17/U50/1.5</f>
        <v>0.58513907422299183</v>
      </c>
      <c r="AB50">
        <f t="shared" si="14"/>
        <v>0.81396757143699949</v>
      </c>
      <c r="AC50">
        <f t="shared" si="14"/>
        <v>0.72740411207954681</v>
      </c>
      <c r="AD50">
        <f t="shared" si="14"/>
        <v>0.67066447399845519</v>
      </c>
    </row>
    <row r="51" spans="1:30" x14ac:dyDescent="0.2">
      <c r="B51" s="1" t="s">
        <v>13</v>
      </c>
      <c r="C51">
        <v>-10237.350054</v>
      </c>
      <c r="D51">
        <v>-10236.993777</v>
      </c>
      <c r="E51">
        <v>-10237.246905</v>
      </c>
      <c r="F51">
        <v>-10237.788257</v>
      </c>
      <c r="G51">
        <v>-10237.817014</v>
      </c>
      <c r="H51">
        <v>-10237.397370000001</v>
      </c>
      <c r="I51">
        <v>-10236.900931</v>
      </c>
      <c r="J51">
        <v>-10236.828281</v>
      </c>
      <c r="K51">
        <v>-10237.650979</v>
      </c>
      <c r="L51">
        <v>-10237.898708000001</v>
      </c>
      <c r="M51">
        <f t="shared" si="10"/>
        <v>-10237.387227599998</v>
      </c>
      <c r="N51">
        <f t="shared" si="11"/>
        <v>0.12479325864206078</v>
      </c>
      <c r="T51">
        <f t="shared" ref="T51:X51" si="15">T47/T$45</f>
        <v>2.2451363262889745</v>
      </c>
      <c r="U51">
        <f t="shared" si="15"/>
        <v>1.6438337270755514</v>
      </c>
      <c r="V51">
        <f t="shared" si="15"/>
        <v>1.4352789872132437</v>
      </c>
      <c r="W51">
        <f t="shared" si="15"/>
        <v>1.4240675669783558</v>
      </c>
      <c r="X51">
        <f t="shared" si="15"/>
        <v>0.20257396421262816</v>
      </c>
      <c r="Z51">
        <f>R18/T51/1.5</f>
        <v>0.41578317065236048</v>
      </c>
      <c r="AA51">
        <f t="shared" ref="AA51:AD51" si="16">S18/U51/1.5</f>
        <v>0.45769259108625659</v>
      </c>
      <c r="AB51">
        <f t="shared" si="16"/>
        <v>0.43478475003993539</v>
      </c>
      <c r="AC51">
        <f t="shared" si="16"/>
        <v>0.37680002187961043</v>
      </c>
      <c r="AD51">
        <f t="shared" si="16"/>
        <v>3.7259377402267475</v>
      </c>
    </row>
    <row r="52" spans="1:30" x14ac:dyDescent="0.2">
      <c r="B52" s="1" t="s">
        <v>14</v>
      </c>
      <c r="C52">
        <v>-10241.174016000001</v>
      </c>
      <c r="D52">
        <v>-10239.219931</v>
      </c>
      <c r="E52">
        <v>-10241.340399999999</v>
      </c>
      <c r="F52">
        <v>-10240.512035</v>
      </c>
      <c r="G52">
        <v>-10239.349769</v>
      </c>
      <c r="H52">
        <v>-10240.486352</v>
      </c>
      <c r="I52">
        <v>-10240.284115</v>
      </c>
      <c r="J52">
        <v>-10239.199420999999</v>
      </c>
      <c r="K52">
        <v>-10240.298586999999</v>
      </c>
      <c r="L52">
        <v>-10241.449176</v>
      </c>
      <c r="M52">
        <f t="shared" si="10"/>
        <v>-10240.331380199999</v>
      </c>
      <c r="N52">
        <f>STDEV(C52:L52)/SQRT(COUNT(C52:L52))</f>
        <v>0.26910957722746193</v>
      </c>
      <c r="O52">
        <f>M52-2001/2000*M51</f>
        <v>2.1745410137991712</v>
      </c>
      <c r="P52">
        <f>SUM(N51:N52)</f>
        <v>0.39390283586952268</v>
      </c>
    </row>
    <row r="53" spans="1:30" x14ac:dyDescent="0.2">
      <c r="B53" s="1"/>
      <c r="Z53">
        <f>Z50*74</f>
        <v>50.192355533873744</v>
      </c>
      <c r="AB53">
        <f>AB50*68</f>
        <v>55.349794857715963</v>
      </c>
    </row>
    <row r="54" spans="1:30" x14ac:dyDescent="0.2">
      <c r="B54" t="s">
        <v>18</v>
      </c>
      <c r="C54" t="s">
        <v>19</v>
      </c>
      <c r="D54" t="s">
        <v>33</v>
      </c>
      <c r="E54" t="s">
        <v>26</v>
      </c>
      <c r="F54" t="s">
        <v>20</v>
      </c>
      <c r="G54" t="s">
        <v>12</v>
      </c>
      <c r="H54" t="s">
        <v>31</v>
      </c>
      <c r="I54" t="s">
        <v>32</v>
      </c>
      <c r="J54" t="s">
        <v>21</v>
      </c>
      <c r="K54" t="s">
        <v>14</v>
      </c>
      <c r="T54" t="s">
        <v>52</v>
      </c>
      <c r="Z54">
        <f>Z51*74</f>
        <v>30.767954628274676</v>
      </c>
      <c r="AB54">
        <f>AB51*68</f>
        <v>29.565363002715607</v>
      </c>
    </row>
    <row r="55" spans="1:30" x14ac:dyDescent="0.2">
      <c r="A55" t="s">
        <v>8</v>
      </c>
      <c r="B55">
        <v>0.23989199999999999</v>
      </c>
      <c r="C55">
        <v>1.926202</v>
      </c>
      <c r="D55">
        <v>0.238124</v>
      </c>
      <c r="E55">
        <v>1.992103</v>
      </c>
      <c r="F55">
        <v>0.238037</v>
      </c>
      <c r="G55">
        <v>2.4335529999999999</v>
      </c>
      <c r="H55">
        <v>0.24229100000000001</v>
      </c>
      <c r="I55">
        <v>2.3285559999999998</v>
      </c>
      <c r="J55">
        <v>0.25115700000000002</v>
      </c>
      <c r="K55">
        <v>2.9107669999999999</v>
      </c>
      <c r="S55" t="s">
        <v>15</v>
      </c>
      <c r="T55">
        <v>0.23599999999999999</v>
      </c>
      <c r="V55" s="5"/>
      <c r="W55" s="5"/>
      <c r="X55" s="5"/>
      <c r="Y55" s="5"/>
      <c r="Z55" s="5"/>
    </row>
    <row r="56" spans="1:30" x14ac:dyDescent="0.2">
      <c r="B56">
        <v>0.23815900000000001</v>
      </c>
      <c r="C56">
        <v>1.7632289999999999</v>
      </c>
      <c r="D56">
        <v>0.23763400000000001</v>
      </c>
      <c r="E56">
        <v>1.9628890000000001</v>
      </c>
      <c r="F56">
        <v>0.23700199999999999</v>
      </c>
      <c r="G56">
        <v>2.1992150000000001</v>
      </c>
      <c r="H56">
        <v>0.24213999999999999</v>
      </c>
      <c r="I56">
        <v>2.5636070000000002</v>
      </c>
      <c r="J56">
        <v>0.25181100000000001</v>
      </c>
      <c r="K56">
        <v>2.66073</v>
      </c>
      <c r="S56" t="s">
        <v>25</v>
      </c>
      <c r="T56">
        <v>9.2999999999999999E-2</v>
      </c>
      <c r="V56" s="5"/>
      <c r="W56" s="5"/>
      <c r="X56" s="5"/>
      <c r="Y56" s="5"/>
      <c r="Z56" s="5"/>
    </row>
    <row r="57" spans="1:30" x14ac:dyDescent="0.2">
      <c r="B57">
        <v>0.24180099999999999</v>
      </c>
      <c r="C57">
        <v>1.422275</v>
      </c>
      <c r="D57">
        <v>0.238512</v>
      </c>
      <c r="E57">
        <v>2.0330409999999999</v>
      </c>
      <c r="F57">
        <v>0.23938100000000001</v>
      </c>
      <c r="G57">
        <v>1.990999</v>
      </c>
      <c r="H57">
        <v>0.24268899999999999</v>
      </c>
      <c r="I57">
        <v>2.642299</v>
      </c>
      <c r="J57">
        <v>0.25084800000000002</v>
      </c>
      <c r="K57">
        <v>2.7376510000000001</v>
      </c>
      <c r="S57" t="s">
        <v>34</v>
      </c>
      <c r="T57">
        <v>0.11899999999999999</v>
      </c>
      <c r="V57" s="5"/>
      <c r="W57" s="5"/>
      <c r="X57" s="5"/>
      <c r="Y57" s="5"/>
      <c r="Z57" s="5"/>
    </row>
    <row r="58" spans="1:30" x14ac:dyDescent="0.2">
      <c r="B58">
        <v>0.24055000000000001</v>
      </c>
      <c r="C58">
        <v>1.98319</v>
      </c>
      <c r="D58">
        <v>0.23693700000000001</v>
      </c>
      <c r="E58">
        <v>2.170525</v>
      </c>
      <c r="F58">
        <v>0.23907999999999999</v>
      </c>
      <c r="G58">
        <v>2.2523569999999999</v>
      </c>
      <c r="H58">
        <v>0.24238299999999999</v>
      </c>
      <c r="I58">
        <v>2.320792</v>
      </c>
      <c r="J58">
        <v>0.25067099999999998</v>
      </c>
      <c r="K58">
        <v>2.8868290000000001</v>
      </c>
    </row>
    <row r="59" spans="1:30" x14ac:dyDescent="0.2">
      <c r="B59">
        <v>0.23974100000000001</v>
      </c>
      <c r="C59">
        <v>1.915028</v>
      </c>
      <c r="D59">
        <v>0.23721200000000001</v>
      </c>
      <c r="E59">
        <v>2.1836730000000002</v>
      </c>
      <c r="F59">
        <v>0.23818900000000001</v>
      </c>
      <c r="G59">
        <v>2.188415</v>
      </c>
      <c r="H59">
        <v>0.24260799999999999</v>
      </c>
      <c r="I59">
        <v>2.7452529999999999</v>
      </c>
      <c r="J59">
        <v>0.25192300000000001</v>
      </c>
      <c r="K59">
        <v>3.0345230000000001</v>
      </c>
      <c r="S59" t="s">
        <v>53</v>
      </c>
      <c r="T59">
        <v>0.71099999999999997</v>
      </c>
    </row>
    <row r="60" spans="1:30" x14ac:dyDescent="0.2">
      <c r="B60">
        <v>0.2412</v>
      </c>
      <c r="C60">
        <v>2.2619989999999999</v>
      </c>
      <c r="D60">
        <v>0.237784</v>
      </c>
      <c r="E60">
        <v>2.189816</v>
      </c>
      <c r="F60">
        <v>0.23713799999999999</v>
      </c>
      <c r="G60">
        <v>2.1094979999999999</v>
      </c>
      <c r="H60">
        <v>0.24299999999999999</v>
      </c>
      <c r="I60">
        <v>2.6052580000000001</v>
      </c>
      <c r="J60">
        <v>0.25321199999999999</v>
      </c>
      <c r="K60">
        <v>3.0983540000000001</v>
      </c>
    </row>
    <row r="61" spans="1:30" x14ac:dyDescent="0.2">
      <c r="B61">
        <v>0.24032100000000001</v>
      </c>
      <c r="C61">
        <v>1.8790910000000001</v>
      </c>
      <c r="D61">
        <v>0.237983</v>
      </c>
      <c r="E61">
        <v>2.5291739999999998</v>
      </c>
      <c r="F61">
        <v>0.23679</v>
      </c>
      <c r="G61">
        <v>2.164431</v>
      </c>
      <c r="H61">
        <v>0.24248800000000001</v>
      </c>
      <c r="I61">
        <v>2.74071</v>
      </c>
      <c r="J61">
        <v>0.25429400000000002</v>
      </c>
      <c r="K61">
        <v>2.954885</v>
      </c>
    </row>
    <row r="62" spans="1:30" x14ac:dyDescent="0.2">
      <c r="B62">
        <v>0.241643</v>
      </c>
      <c r="C62">
        <v>1.7261660000000001</v>
      </c>
      <c r="D62">
        <v>0.23538200000000001</v>
      </c>
      <c r="E62">
        <v>1.6647240000000001</v>
      </c>
      <c r="F62">
        <v>0.238013</v>
      </c>
      <c r="G62">
        <v>2.6447080000000001</v>
      </c>
      <c r="H62">
        <v>0.24160599999999999</v>
      </c>
      <c r="I62">
        <v>2.6787079999999999</v>
      </c>
      <c r="J62">
        <v>0.25154100000000001</v>
      </c>
      <c r="K62">
        <v>2.6198350000000001</v>
      </c>
    </row>
    <row r="63" spans="1:30" x14ac:dyDescent="0.2">
      <c r="B63">
        <v>0.240203</v>
      </c>
      <c r="C63">
        <v>1.9160470000000001</v>
      </c>
      <c r="D63">
        <v>0.23892099999999999</v>
      </c>
      <c r="E63">
        <v>1.87185</v>
      </c>
      <c r="F63">
        <v>0.237705</v>
      </c>
      <c r="G63">
        <v>2.118665</v>
      </c>
      <c r="H63">
        <v>0.24105499999999999</v>
      </c>
      <c r="I63">
        <v>2.3888639999999999</v>
      </c>
      <c r="J63">
        <v>0.25263799999999997</v>
      </c>
      <c r="K63">
        <v>2.5279050000000001</v>
      </c>
    </row>
    <row r="64" spans="1:30" x14ac:dyDescent="0.2">
      <c r="B64">
        <v>0.24168799999999999</v>
      </c>
      <c r="C64">
        <v>1.8994709999999999</v>
      </c>
      <c r="D64">
        <v>0.23635900000000001</v>
      </c>
      <c r="E64">
        <v>2.4137409999999999</v>
      </c>
      <c r="F64">
        <v>0.23860999999999999</v>
      </c>
      <c r="G64">
        <v>2.2631190000000001</v>
      </c>
      <c r="H64">
        <v>0.243862</v>
      </c>
      <c r="I64">
        <v>2.3906849999999999</v>
      </c>
      <c r="J64">
        <v>0.25255</v>
      </c>
      <c r="K64">
        <v>2.9437359999999999</v>
      </c>
    </row>
    <row r="65" spans="1:29" x14ac:dyDescent="0.2">
      <c r="B65">
        <f>AVERAGE(B55:B64)</f>
        <v>0.24051980000000001</v>
      </c>
      <c r="C65">
        <f t="shared" ref="C65:K65" si="17">AVERAGE(C55:C64)</f>
        <v>1.8692697999999996</v>
      </c>
      <c r="D65">
        <f t="shared" si="17"/>
        <v>0.2374848</v>
      </c>
      <c r="E65">
        <f t="shared" si="17"/>
        <v>2.1011536</v>
      </c>
      <c r="F65">
        <f t="shared" si="17"/>
        <v>0.23799450000000003</v>
      </c>
      <c r="G65">
        <f t="shared" si="17"/>
        <v>2.2364959999999998</v>
      </c>
      <c r="H65">
        <f t="shared" si="17"/>
        <v>0.24241220000000002</v>
      </c>
      <c r="I65">
        <f t="shared" si="17"/>
        <v>2.5404732000000001</v>
      </c>
      <c r="J65">
        <f t="shared" si="17"/>
        <v>0.25206450000000002</v>
      </c>
      <c r="K65">
        <f t="shared" si="17"/>
        <v>2.8375215000000003</v>
      </c>
    </row>
    <row r="66" spans="1:29" x14ac:dyDescent="0.2">
      <c r="C66">
        <f>(C65-B65)*2000</f>
        <v>3257.4999999999995</v>
      </c>
      <c r="E66">
        <f>(E65-D65)*2000</f>
        <v>3727.3375999999998</v>
      </c>
      <c r="G66">
        <f>(G65-F65)*2000</f>
        <v>3997.0029999999992</v>
      </c>
      <c r="I66">
        <f>(I65-H65)*2000</f>
        <v>4596.1220000000003</v>
      </c>
      <c r="K66">
        <f>(K65-J65)*2000</f>
        <v>5170.9140000000007</v>
      </c>
    </row>
    <row r="67" spans="1:29" x14ac:dyDescent="0.2">
      <c r="A67" t="s">
        <v>22</v>
      </c>
      <c r="B67">
        <v>1000000</v>
      </c>
      <c r="C67">
        <f>C66*(10^-20)/($B67*$B68*(10^-12))/6</f>
        <v>5.4291666666666657E-9</v>
      </c>
      <c r="E67">
        <f>E66*(10^-20)/($B67*$B68*(10^-12))/6</f>
        <v>6.2122293333333322E-9</v>
      </c>
      <c r="G67">
        <f>G66*(10^-20)/($B67*$B68*(10^-12))/6</f>
        <v>6.6616716666666636E-9</v>
      </c>
      <c r="I67">
        <f>I66*(10^-20)/($B67*$B68*(10^-12))/6</f>
        <v>7.660203333333333E-9</v>
      </c>
      <c r="K67">
        <f>K66*(10^-20)/($B67*$B68*(10^-12))/6</f>
        <v>8.6181900000000008E-9</v>
      </c>
    </row>
    <row r="68" spans="1:29" x14ac:dyDescent="0.2">
      <c r="A68" t="s">
        <v>23</v>
      </c>
      <c r="B68">
        <v>1E-3</v>
      </c>
      <c r="C68">
        <f>1/(800*8.6173*10^-5)</f>
        <v>14.505703642672296</v>
      </c>
      <c r="E68">
        <f>1/(900*8.6173*10^-5)</f>
        <v>12.893958793486487</v>
      </c>
      <c r="G68">
        <f>1/(1000*8.6173*10^-5)</f>
        <v>11.604562914137839</v>
      </c>
      <c r="I68">
        <f>1/(1100*8.6173*10^-5)</f>
        <v>10.549602649216217</v>
      </c>
      <c r="K68">
        <f>1/(1200*8.6173*10^-5)</f>
        <v>9.6704690951148642</v>
      </c>
      <c r="L68" t="s">
        <v>47</v>
      </c>
      <c r="S68" t="s">
        <v>15</v>
      </c>
      <c r="Y68" t="s">
        <v>25</v>
      </c>
    </row>
    <row r="69" spans="1:29" x14ac:dyDescent="0.2">
      <c r="S69" t="s">
        <v>63</v>
      </c>
      <c r="Y69" t="s">
        <v>63</v>
      </c>
    </row>
    <row r="70" spans="1:29" x14ac:dyDescent="0.2">
      <c r="A70" t="s">
        <v>34</v>
      </c>
      <c r="M70" t="s">
        <v>24</v>
      </c>
      <c r="N70" t="s">
        <v>48</v>
      </c>
      <c r="S70">
        <v>800</v>
      </c>
      <c r="T70">
        <v>900</v>
      </c>
      <c r="U70">
        <v>1000</v>
      </c>
      <c r="V70">
        <v>1100</v>
      </c>
      <c r="W70">
        <v>1200</v>
      </c>
      <c r="Y70">
        <v>800</v>
      </c>
      <c r="Z70">
        <v>900</v>
      </c>
      <c r="AA70">
        <v>1000</v>
      </c>
      <c r="AB70">
        <v>1100</v>
      </c>
      <c r="AC70">
        <v>1200</v>
      </c>
    </row>
    <row r="71" spans="1:29" x14ac:dyDescent="0.2">
      <c r="A71" t="s">
        <v>17</v>
      </c>
      <c r="B71" t="s">
        <v>9</v>
      </c>
      <c r="C71">
        <v>-8189.2597050000004</v>
      </c>
      <c r="D71">
        <v>-8188.9024120000004</v>
      </c>
      <c r="E71" s="1">
        <v>-8189.3668539999999</v>
      </c>
      <c r="F71">
        <v>-8189.3566929999997</v>
      </c>
      <c r="G71">
        <v>-8189.1356420000002</v>
      </c>
      <c r="H71">
        <v>-8189.4509589999998</v>
      </c>
      <c r="I71">
        <v>-8189.1610629999996</v>
      </c>
      <c r="J71">
        <v>-8188.9793019999997</v>
      </c>
      <c r="K71">
        <v>-8188.9080180000001</v>
      </c>
      <c r="L71">
        <v>-8188.7098329999999</v>
      </c>
      <c r="M71">
        <f>AVERAGE(C71:L71)</f>
        <v>-8189.1230481000002</v>
      </c>
      <c r="N71">
        <f>STDEV(C71:L71)/SQRT(COUNT(C71:L71))</f>
        <v>7.6606030690120883E-2</v>
      </c>
      <c r="S71">
        <v>45375.297921999998</v>
      </c>
      <c r="T71">
        <v>45615.642118000003</v>
      </c>
      <c r="U71">
        <v>45862.551421999997</v>
      </c>
      <c r="V71">
        <v>46111.662467000002</v>
      </c>
      <c r="W71">
        <v>46375.560360000003</v>
      </c>
      <c r="Y71">
        <v>42268.157591000003</v>
      </c>
      <c r="Z71">
        <v>42475.660343000003</v>
      </c>
      <c r="AA71">
        <v>42686.624973999998</v>
      </c>
      <c r="AB71">
        <v>42914.526673</v>
      </c>
      <c r="AC71">
        <v>43154.069271</v>
      </c>
    </row>
    <row r="72" spans="1:29" x14ac:dyDescent="0.2">
      <c r="B72" s="1" t="s">
        <v>10</v>
      </c>
      <c r="C72">
        <v>-8192.5829030000004</v>
      </c>
      <c r="D72">
        <v>-8192.0628159999997</v>
      </c>
      <c r="E72">
        <v>-8192.4608320000007</v>
      </c>
      <c r="F72">
        <v>-8192.2767569999996</v>
      </c>
      <c r="G72">
        <v>-8192.4537949999994</v>
      </c>
      <c r="H72">
        <v>-8192.2052899999999</v>
      </c>
      <c r="I72">
        <v>-8192.2911430000004</v>
      </c>
      <c r="J72">
        <v>-8192.2992159999994</v>
      </c>
      <c r="K72">
        <v>-8192.3373659999997</v>
      </c>
      <c r="L72">
        <v>-8192.3505530000002</v>
      </c>
      <c r="M72">
        <f t="shared" ref="M72:M79" si="18">AVERAGE(C72:L72)</f>
        <v>-8192.3320671000001</v>
      </c>
      <c r="N72">
        <f>STDEV(C72:L72)/SQRT(COUNT(C72:L72))</f>
        <v>4.5834037389674384E-2</v>
      </c>
      <c r="O72">
        <f>M72-2001/2000*M71</f>
        <v>0.8855425240490149</v>
      </c>
      <c r="P72">
        <f>SUM(N71:N72)</f>
        <v>0.12244006807979527</v>
      </c>
      <c r="S72">
        <v>45377.117420000002</v>
      </c>
      <c r="T72" s="6">
        <f>(T71^(1/3))/10</f>
        <v>3.5730404340583539</v>
      </c>
      <c r="U72" s="6">
        <f>(U71^(1/3))/10</f>
        <v>3.5794755799462186</v>
      </c>
      <c r="V72" s="6">
        <f>(V71^(1/3))/10</f>
        <v>3.5859447454130091</v>
      </c>
      <c r="W72" s="6">
        <f>(W71^(1/3))/10</f>
        <v>3.5927725459810871</v>
      </c>
      <c r="Y72" s="6">
        <f>(Y71^(1/3))/10</f>
        <v>3.4834087572800811</v>
      </c>
      <c r="Z72" s="6">
        <f>(Z71^(1/3))/10</f>
        <v>3.4890997024496557</v>
      </c>
      <c r="AA72" s="6">
        <f>(AA71^(1/3))/10</f>
        <v>3.4948666236180967</v>
      </c>
      <c r="AB72" s="6">
        <f>(AB71^(1/3))/10</f>
        <v>3.5010752253770336</v>
      </c>
      <c r="AC72" s="6">
        <f>(AC71^(1/3))/10</f>
        <v>3.5075773053768331</v>
      </c>
    </row>
    <row r="73" spans="1:29" x14ac:dyDescent="0.2">
      <c r="B73" s="1" t="s">
        <v>29</v>
      </c>
      <c r="C73">
        <v>-8162.7292070000003</v>
      </c>
      <c r="D73">
        <v>-8162.9062459999996</v>
      </c>
      <c r="E73">
        <v>-8162.3788709999999</v>
      </c>
      <c r="F73">
        <v>-8162.3085940000001</v>
      </c>
      <c r="G73">
        <v>-8162.0484239999996</v>
      </c>
      <c r="H73">
        <v>-8162.0498690000004</v>
      </c>
      <c r="I73">
        <v>-8161.5468250000004</v>
      </c>
      <c r="J73">
        <v>-8162.1303610000004</v>
      </c>
      <c r="K73">
        <v>-8162.3778990000001</v>
      </c>
      <c r="L73">
        <v>-8162.7200290000001</v>
      </c>
      <c r="M73">
        <f t="shared" si="18"/>
        <v>-8162.3196325000008</v>
      </c>
      <c r="N73">
        <f t="shared" ref="N73:N78" si="19">STDEV(C73:L73)/SQRT(COUNT(C73:L73))</f>
        <v>0.12730504001559761</v>
      </c>
      <c r="S73">
        <v>45370.799344999999</v>
      </c>
    </row>
    <row r="74" spans="1:29" x14ac:dyDescent="0.2">
      <c r="B74" s="1" t="s">
        <v>30</v>
      </c>
      <c r="C74">
        <v>-8165.5956390000001</v>
      </c>
      <c r="D74">
        <v>-8165.0934450000004</v>
      </c>
      <c r="E74">
        <v>-8165.6139789999997</v>
      </c>
      <c r="F74">
        <v>-8165.3318559999998</v>
      </c>
      <c r="G74">
        <v>-8165.0431769999996</v>
      </c>
      <c r="H74">
        <v>-8165.2397769999998</v>
      </c>
      <c r="I74">
        <v>-8165.3673550000003</v>
      </c>
      <c r="J74">
        <v>-8165.5877540000001</v>
      </c>
      <c r="K74">
        <v>-8165.3166359999996</v>
      </c>
      <c r="L74">
        <v>-8165.1598519999998</v>
      </c>
      <c r="M74">
        <f t="shared" si="18"/>
        <v>-8165.3349470000003</v>
      </c>
      <c r="N74">
        <f t="shared" si="19"/>
        <v>6.6189476960901661E-2</v>
      </c>
      <c r="O74">
        <f>M74-2001/2000*M73</f>
        <v>1.0658453162504884</v>
      </c>
      <c r="P74">
        <f>SUM(N73:N74)</f>
        <v>0.19349451697649928</v>
      </c>
      <c r="S74">
        <v>45378.900800000003</v>
      </c>
    </row>
    <row r="75" spans="1:29" x14ac:dyDescent="0.2">
      <c r="B75" s="1" t="s">
        <v>11</v>
      </c>
      <c r="C75">
        <v>-8134.2718990000003</v>
      </c>
      <c r="D75">
        <v>-8133.927901</v>
      </c>
      <c r="E75">
        <v>-8134.3577180000002</v>
      </c>
      <c r="F75">
        <v>-8134.3730489999998</v>
      </c>
      <c r="G75">
        <v>-8133.9863420000001</v>
      </c>
      <c r="H75">
        <v>-8134.3131069999999</v>
      </c>
      <c r="I75">
        <v>-8134.2880800000003</v>
      </c>
      <c r="J75">
        <v>-8135.0184900000004</v>
      </c>
      <c r="K75">
        <v>-8134.2379609999998</v>
      </c>
      <c r="L75">
        <v>-8135.1507769999998</v>
      </c>
      <c r="M75">
        <f t="shared" si="18"/>
        <v>-8134.3925324000011</v>
      </c>
      <c r="N75">
        <f t="shared" si="19"/>
        <v>0.124939356293471</v>
      </c>
      <c r="S75">
        <v>45372.838785</v>
      </c>
      <c r="Y75" t="s">
        <v>34</v>
      </c>
    </row>
    <row r="76" spans="1:29" x14ac:dyDescent="0.2">
      <c r="B76" s="1" t="s">
        <v>12</v>
      </c>
      <c r="C76">
        <v>-8137.7786020000003</v>
      </c>
      <c r="D76">
        <v>-8136.7935029999999</v>
      </c>
      <c r="E76">
        <v>-8137.2801460000001</v>
      </c>
      <c r="F76">
        <v>-8137.4393769999997</v>
      </c>
      <c r="G76">
        <v>-8137.7535340000004</v>
      </c>
      <c r="H76">
        <v>-8137.758374</v>
      </c>
      <c r="I76">
        <v>-8137.4605160000001</v>
      </c>
      <c r="J76">
        <v>-8137.6379429999997</v>
      </c>
      <c r="K76">
        <v>-8137.6487090000001</v>
      </c>
      <c r="L76">
        <v>-8137.3900469999999</v>
      </c>
      <c r="M76">
        <f t="shared" si="18"/>
        <v>-8137.4940750999986</v>
      </c>
      <c r="N76">
        <f t="shared" si="19"/>
        <v>9.5116587517368761E-2</v>
      </c>
      <c r="O76">
        <f>M76-2001/2000*M75</f>
        <v>0.96565356620249077</v>
      </c>
      <c r="P76">
        <f>SUM(N75:N76)</f>
        <v>0.22005594381083976</v>
      </c>
      <c r="S76">
        <v>45371.003950999999</v>
      </c>
      <c r="Y76" t="s">
        <v>63</v>
      </c>
    </row>
    <row r="77" spans="1:29" x14ac:dyDescent="0.2">
      <c r="B77" s="1" t="s">
        <v>27</v>
      </c>
      <c r="C77">
        <v>-8105.5629499999995</v>
      </c>
      <c r="D77">
        <v>-8105.8884680000001</v>
      </c>
      <c r="E77">
        <v>-8104.685735</v>
      </c>
      <c r="F77">
        <v>-8104.7738529999997</v>
      </c>
      <c r="G77">
        <v>-8105.2967760000001</v>
      </c>
      <c r="H77">
        <v>-8106.0897199999999</v>
      </c>
      <c r="I77">
        <v>-8105.1019249999999</v>
      </c>
      <c r="J77">
        <v>-8104.8217999999997</v>
      </c>
      <c r="K77">
        <v>-8105.4339550000004</v>
      </c>
      <c r="L77">
        <v>-8105.4721339999996</v>
      </c>
      <c r="M77">
        <f t="shared" si="18"/>
        <v>-8105.3127316</v>
      </c>
      <c r="N77">
        <f t="shared" si="19"/>
        <v>0.14933629398682699</v>
      </c>
      <c r="S77">
        <v>45371.297867000001</v>
      </c>
      <c r="Y77">
        <v>800</v>
      </c>
      <c r="Z77">
        <v>900</v>
      </c>
      <c r="AA77">
        <v>1000</v>
      </c>
      <c r="AB77">
        <v>1100</v>
      </c>
      <c r="AC77">
        <v>1200</v>
      </c>
    </row>
    <row r="78" spans="1:29" x14ac:dyDescent="0.2">
      <c r="B78" s="1" t="s">
        <v>28</v>
      </c>
      <c r="C78">
        <v>-8108.79</v>
      </c>
      <c r="D78">
        <v>-8108.0199970000003</v>
      </c>
      <c r="E78">
        <v>-8108.2013710000001</v>
      </c>
      <c r="F78">
        <v>-8108.574791</v>
      </c>
      <c r="G78">
        <v>-8107.5835349999998</v>
      </c>
      <c r="H78">
        <v>-8108.8021250000002</v>
      </c>
      <c r="I78">
        <v>-8108.7616189999999</v>
      </c>
      <c r="J78">
        <v>-8107.8325569999997</v>
      </c>
      <c r="K78">
        <v>-8107.9943469999998</v>
      </c>
      <c r="L78">
        <v>-8108.5405410000003</v>
      </c>
      <c r="M78">
        <f t="shared" si="18"/>
        <v>-8108.3100882999988</v>
      </c>
      <c r="N78">
        <f t="shared" si="19"/>
        <v>0.13948524875065008</v>
      </c>
      <c r="O78">
        <f>M78-2001/2000*M77</f>
        <v>1.0552996658007032</v>
      </c>
      <c r="P78">
        <f>SUM(N77:N78)</f>
        <v>0.28882154273747707</v>
      </c>
      <c r="S78">
        <v>45375.351308999998</v>
      </c>
      <c r="Y78">
        <v>43581.929989999997</v>
      </c>
      <c r="Z78">
        <v>43615.253121000002</v>
      </c>
      <c r="AA78">
        <v>43662.624753999997</v>
      </c>
      <c r="AB78">
        <v>43728.830699999999</v>
      </c>
      <c r="AC78">
        <v>43819.147634000001</v>
      </c>
    </row>
    <row r="79" spans="1:29" x14ac:dyDescent="0.2">
      <c r="B79" s="1" t="s">
        <v>13</v>
      </c>
      <c r="C79">
        <v>-8073.5408180000004</v>
      </c>
      <c r="D79">
        <v>-8073.9641419999998</v>
      </c>
      <c r="E79">
        <v>-8074.9225839999999</v>
      </c>
      <c r="F79">
        <v>-8073.8974920000001</v>
      </c>
      <c r="G79">
        <v>-8075.5449420000004</v>
      </c>
      <c r="H79">
        <v>-8074.8417229999995</v>
      </c>
      <c r="I79">
        <v>-8073.7388069999997</v>
      </c>
      <c r="J79">
        <v>-8073.8962240000001</v>
      </c>
      <c r="K79">
        <v>-8073.9891630000002</v>
      </c>
      <c r="L79">
        <v>-8073.9344970000002</v>
      </c>
      <c r="M79">
        <f t="shared" si="18"/>
        <v>-8074.2270392000009</v>
      </c>
      <c r="N79">
        <f>STDEV(C79:L79)/SQRT(COUNT(C79:L79))</f>
        <v>0.20377214306773667</v>
      </c>
      <c r="S79">
        <v>45375.726369999997</v>
      </c>
      <c r="Y79" s="6">
        <f>(Y78^(1/3))/10</f>
        <v>3.5191314249729033</v>
      </c>
      <c r="Z79" s="6">
        <f>(Z78^(1/3))/10</f>
        <v>3.5200281161935068</v>
      </c>
      <c r="AA79" s="6">
        <f>(AA78^(1/3))/10</f>
        <v>3.5213020523684535</v>
      </c>
      <c r="AB79" s="6">
        <f>(AB78^(1/3))/10</f>
        <v>3.5230809452713929</v>
      </c>
      <c r="AC79" s="6">
        <f>(AC78^(1/3))/10</f>
        <v>3.5255047851858805</v>
      </c>
    </row>
    <row r="80" spans="1:29" x14ac:dyDescent="0.2">
      <c r="B80" s="1" t="s">
        <v>14</v>
      </c>
      <c r="C80">
        <v>-8077.130298</v>
      </c>
      <c r="D80">
        <v>-8076.8114880000003</v>
      </c>
      <c r="E80">
        <v>-8076.9116059999997</v>
      </c>
      <c r="F80">
        <v>-8077.0452830000004</v>
      </c>
      <c r="G80">
        <v>-8075.9671900000003</v>
      </c>
      <c r="H80">
        <v>-8076.1192300000002</v>
      </c>
      <c r="I80">
        <v>-8076.5020430000004</v>
      </c>
      <c r="J80">
        <v>-8076.7441980000003</v>
      </c>
      <c r="K80">
        <v>-8076.792539</v>
      </c>
      <c r="L80">
        <v>-8076.7649389999997</v>
      </c>
      <c r="M80">
        <f>AVERAGE(C80:L80)</f>
        <v>-8076.6788814000001</v>
      </c>
      <c r="N80">
        <f>STDEV(C80:L80)/SQRT(COUNT(C80:L80))</f>
        <v>0.11950586716920744</v>
      </c>
      <c r="O80">
        <f>M80-2001/2000*M79</f>
        <v>1.5852713195999968</v>
      </c>
      <c r="P80">
        <f>SUM(N79:N80)</f>
        <v>0.32327801023694414</v>
      </c>
      <c r="S80">
        <v>45371.640855999998</v>
      </c>
    </row>
    <row r="81" spans="1:19" x14ac:dyDescent="0.2">
      <c r="B81" s="1"/>
      <c r="R81" t="s">
        <v>24</v>
      </c>
      <c r="S81">
        <f>AVERAGE(S71:S80)</f>
        <v>45373.997462499996</v>
      </c>
    </row>
    <row r="82" spans="1:19" x14ac:dyDescent="0.2">
      <c r="B82" t="s">
        <v>18</v>
      </c>
      <c r="C82" t="s">
        <v>19</v>
      </c>
      <c r="D82" t="s">
        <v>33</v>
      </c>
      <c r="E82" t="s">
        <v>26</v>
      </c>
      <c r="F82" t="s">
        <v>20</v>
      </c>
      <c r="G82" t="s">
        <v>12</v>
      </c>
      <c r="H82" t="s">
        <v>31</v>
      </c>
      <c r="I82" t="s">
        <v>32</v>
      </c>
      <c r="J82" t="s">
        <v>21</v>
      </c>
      <c r="K82" t="s">
        <v>14</v>
      </c>
      <c r="R82" t="s">
        <v>64</v>
      </c>
      <c r="S82" s="6">
        <f>(S81^(1/3))/10</f>
        <v>3.566719976190516</v>
      </c>
    </row>
    <row r="83" spans="1:19" x14ac:dyDescent="0.2">
      <c r="A83" t="s">
        <v>8</v>
      </c>
      <c r="B83">
        <v>0.14418400000000001</v>
      </c>
      <c r="C83">
        <v>1.2459750000000001</v>
      </c>
      <c r="D83">
        <v>0.15910099999999999</v>
      </c>
      <c r="E83">
        <v>1.6479790000000001</v>
      </c>
      <c r="F83">
        <v>0.177259</v>
      </c>
      <c r="G83">
        <v>1.734394</v>
      </c>
      <c r="H83">
        <v>0.19634199999999999</v>
      </c>
      <c r="I83">
        <v>2.1501730000000001</v>
      </c>
      <c r="J83">
        <v>0.51352600000000004</v>
      </c>
      <c r="K83">
        <v>2.1917209999999998</v>
      </c>
    </row>
    <row r="84" spans="1:19" x14ac:dyDescent="0.2">
      <c r="B84">
        <v>0.14454700000000001</v>
      </c>
      <c r="C84">
        <v>1.211805</v>
      </c>
      <c r="D84">
        <v>0.159194</v>
      </c>
      <c r="E84">
        <v>1.5191380000000001</v>
      </c>
      <c r="F84">
        <v>0.17785899999999999</v>
      </c>
      <c r="G84">
        <v>1.817623</v>
      </c>
      <c r="H84">
        <v>0.195217</v>
      </c>
      <c r="I84">
        <v>2.1339039999999998</v>
      </c>
      <c r="J84">
        <v>0.218948</v>
      </c>
      <c r="K84">
        <v>2.2871709999999998</v>
      </c>
      <c r="S84" s="6"/>
    </row>
    <row r="85" spans="1:19" x14ac:dyDescent="0.2">
      <c r="B85">
        <v>0.143874</v>
      </c>
      <c r="C85">
        <v>1.2041459999999999</v>
      </c>
      <c r="D85">
        <v>0.15998699999999999</v>
      </c>
      <c r="E85">
        <v>1.447918</v>
      </c>
      <c r="F85">
        <v>0.17676700000000001</v>
      </c>
      <c r="G85">
        <v>1.7079770000000001</v>
      </c>
      <c r="H85">
        <v>0.19666400000000001</v>
      </c>
      <c r="I85">
        <v>2.4738000000000002</v>
      </c>
      <c r="J85">
        <v>0.21809799999999999</v>
      </c>
      <c r="K85">
        <v>2.4056000000000002</v>
      </c>
      <c r="S85" s="6"/>
    </row>
    <row r="86" spans="1:19" x14ac:dyDescent="0.2">
      <c r="B86">
        <v>0.14380999999999999</v>
      </c>
      <c r="C86">
        <v>1.547884</v>
      </c>
      <c r="D86">
        <v>0.15979199999999999</v>
      </c>
      <c r="E86">
        <v>1.8007789999999999</v>
      </c>
      <c r="F86">
        <v>0.177291</v>
      </c>
      <c r="G86">
        <v>1.7965869999999999</v>
      </c>
      <c r="H86">
        <v>0.196823</v>
      </c>
      <c r="I86">
        <v>2.4425970000000001</v>
      </c>
      <c r="J86">
        <v>0.218779</v>
      </c>
      <c r="K86">
        <v>2.4264389999999998</v>
      </c>
      <c r="M86" s="4"/>
      <c r="N86" s="4"/>
      <c r="O86" s="4"/>
      <c r="P86" s="4"/>
      <c r="Q86" s="4"/>
    </row>
    <row r="87" spans="1:19" x14ac:dyDescent="0.2">
      <c r="B87">
        <v>0.14432300000000001</v>
      </c>
      <c r="C87">
        <v>1.371154</v>
      </c>
      <c r="D87">
        <v>0.15978700000000001</v>
      </c>
      <c r="E87">
        <v>1.6445160000000001</v>
      </c>
      <c r="F87">
        <v>0.17780599999999999</v>
      </c>
      <c r="G87">
        <v>1.819515</v>
      </c>
      <c r="H87">
        <v>0.19616700000000001</v>
      </c>
      <c r="I87">
        <v>2.1931669999999999</v>
      </c>
      <c r="J87">
        <v>0.21776499999999999</v>
      </c>
      <c r="K87">
        <v>2.1503909999999999</v>
      </c>
      <c r="M87" s="4"/>
      <c r="N87" s="4"/>
      <c r="O87" s="4"/>
      <c r="P87" s="4"/>
      <c r="Q87" s="4"/>
    </row>
    <row r="88" spans="1:19" x14ac:dyDescent="0.2">
      <c r="B88">
        <v>0.14412900000000001</v>
      </c>
      <c r="C88">
        <v>1.333188</v>
      </c>
      <c r="D88">
        <v>0.16011300000000001</v>
      </c>
      <c r="E88">
        <v>1.3559760000000001</v>
      </c>
      <c r="F88">
        <v>0.17724500000000001</v>
      </c>
      <c r="G88">
        <v>1.6730210000000001</v>
      </c>
      <c r="H88">
        <v>0.19555400000000001</v>
      </c>
      <c r="I88">
        <v>1.9450080000000001</v>
      </c>
      <c r="J88">
        <v>0.21810499999999999</v>
      </c>
      <c r="K88">
        <v>2.1083660000000002</v>
      </c>
      <c r="M88" s="4"/>
      <c r="N88" s="4"/>
      <c r="O88" s="4"/>
      <c r="P88" s="4"/>
      <c r="Q88" s="4"/>
    </row>
    <row r="89" spans="1:19" x14ac:dyDescent="0.2">
      <c r="B89">
        <v>0.14413799999999999</v>
      </c>
      <c r="C89">
        <v>1.322092</v>
      </c>
      <c r="D89">
        <v>0.16022</v>
      </c>
      <c r="E89">
        <v>1.5957079999999999</v>
      </c>
      <c r="F89">
        <v>0.17771500000000001</v>
      </c>
      <c r="G89">
        <v>2.0444010000000001</v>
      </c>
      <c r="H89">
        <v>0.19617599999999999</v>
      </c>
      <c r="I89">
        <v>1.9252629999999999</v>
      </c>
      <c r="J89">
        <v>0.25504599999999999</v>
      </c>
      <c r="K89">
        <v>2.1884980000000001</v>
      </c>
      <c r="M89" s="4"/>
      <c r="N89" s="4"/>
      <c r="O89" s="4"/>
      <c r="P89" s="4"/>
      <c r="Q89" s="4"/>
    </row>
    <row r="90" spans="1:19" x14ac:dyDescent="0.2">
      <c r="B90">
        <v>0.14416599999999999</v>
      </c>
      <c r="C90">
        <v>1.318432</v>
      </c>
      <c r="D90">
        <v>0.160083</v>
      </c>
      <c r="E90">
        <v>1.6723399999999999</v>
      </c>
      <c r="F90">
        <v>0.17661399999999999</v>
      </c>
      <c r="G90">
        <v>1.737857</v>
      </c>
      <c r="H90">
        <v>0.19680400000000001</v>
      </c>
      <c r="I90">
        <v>2.1559170000000001</v>
      </c>
      <c r="J90">
        <v>0.21963099999999999</v>
      </c>
      <c r="K90">
        <v>2.3251650000000001</v>
      </c>
      <c r="M90" s="4"/>
      <c r="N90" s="4"/>
      <c r="O90" s="4"/>
      <c r="P90" s="4"/>
      <c r="Q90" s="4"/>
    </row>
    <row r="91" spans="1:19" x14ac:dyDescent="0.2">
      <c r="B91">
        <v>0.14433099999999999</v>
      </c>
      <c r="C91">
        <v>1.2107490000000001</v>
      </c>
      <c r="D91">
        <v>0.16025800000000001</v>
      </c>
      <c r="E91">
        <v>1.5059979999999999</v>
      </c>
      <c r="F91">
        <v>0.17722199999999999</v>
      </c>
      <c r="G91">
        <v>1.807461</v>
      </c>
      <c r="H91">
        <v>0.19591</v>
      </c>
      <c r="I91">
        <v>1.9003289999999999</v>
      </c>
      <c r="J91">
        <v>0.22432099999999999</v>
      </c>
      <c r="K91">
        <v>2.41168</v>
      </c>
      <c r="M91" s="4"/>
      <c r="N91" s="4"/>
      <c r="O91" s="4"/>
      <c r="P91" s="4"/>
      <c r="Q91" s="4"/>
    </row>
    <row r="92" spans="1:19" x14ac:dyDescent="0.2">
      <c r="B92">
        <v>0.14457300000000001</v>
      </c>
      <c r="C92">
        <v>1.44825</v>
      </c>
      <c r="D92">
        <v>0.15961</v>
      </c>
      <c r="E92">
        <v>1.5430710000000001</v>
      </c>
      <c r="F92">
        <v>0.176792</v>
      </c>
      <c r="G92">
        <v>1.8046420000000001</v>
      </c>
      <c r="H92">
        <v>0.196074</v>
      </c>
      <c r="I92">
        <v>2.3687309999999999</v>
      </c>
      <c r="J92">
        <v>0.21826499999999999</v>
      </c>
      <c r="K92">
        <v>2.3835389999999999</v>
      </c>
      <c r="M92" s="4"/>
      <c r="N92" s="4"/>
      <c r="O92" s="4"/>
      <c r="P92" s="4"/>
      <c r="Q92" s="4"/>
    </row>
    <row r="93" spans="1:19" x14ac:dyDescent="0.2">
      <c r="B93">
        <f>AVERAGE(B83:B92)</f>
        <v>0.14420750000000002</v>
      </c>
      <c r="C93">
        <f t="shared" ref="C93:K93" si="20">AVERAGE(C83:C92)</f>
        <v>1.3213674999999998</v>
      </c>
      <c r="D93">
        <f t="shared" si="20"/>
        <v>0.15981450000000003</v>
      </c>
      <c r="E93">
        <f t="shared" si="20"/>
        <v>1.5733423</v>
      </c>
      <c r="F93">
        <f t="shared" si="20"/>
        <v>0.17725700000000003</v>
      </c>
      <c r="G93">
        <f t="shared" si="20"/>
        <v>1.7943478000000002</v>
      </c>
      <c r="H93">
        <f t="shared" si="20"/>
        <v>0.19617309999999999</v>
      </c>
      <c r="I93">
        <f t="shared" si="20"/>
        <v>2.1688888999999998</v>
      </c>
      <c r="J93">
        <f>AVERAGE(J83:J92)</f>
        <v>0.25224839999999998</v>
      </c>
      <c r="K93">
        <f t="shared" si="20"/>
        <v>2.2878569999999998</v>
      </c>
      <c r="M93" s="4"/>
      <c r="N93" s="4"/>
      <c r="O93" s="4"/>
      <c r="P93" s="4"/>
      <c r="Q93" s="4"/>
    </row>
    <row r="94" spans="1:19" x14ac:dyDescent="0.2">
      <c r="C94">
        <f>(C93-B93)*2000</f>
        <v>2354.3199999999997</v>
      </c>
      <c r="E94">
        <f>(E93-D93)*2000</f>
        <v>2827.0556000000001</v>
      </c>
      <c r="G94">
        <f>(G93-F93)*2000</f>
        <v>3234.1816000000003</v>
      </c>
      <c r="I94">
        <f>(I93-H93)*2000</f>
        <v>3945.4315999999994</v>
      </c>
      <c r="K94">
        <f>(K93-J93)*2000</f>
        <v>4071.2171999999996</v>
      </c>
    </row>
    <row r="95" spans="1:19" x14ac:dyDescent="0.2">
      <c r="A95" t="s">
        <v>22</v>
      </c>
      <c r="B95">
        <v>1000000</v>
      </c>
      <c r="C95">
        <f>C94*(10^-20)/($B95*$B96*(10^-12))/6</f>
        <v>3.9238666666666659E-9</v>
      </c>
      <c r="E95">
        <f>E94*(10^-20)/($B95*$B96*(10^-12))/6</f>
        <v>4.7117593333333335E-9</v>
      </c>
      <c r="G95">
        <f>G94*(10^-20)/($B95*$B96*(10^-12))/6</f>
        <v>5.3903026666666664E-9</v>
      </c>
      <c r="I95">
        <f>I94*(10^-20)/($B95*$B96*(10^-12))/6</f>
        <v>6.5757193333333317E-9</v>
      </c>
      <c r="K95">
        <f>K94*(10^-20)/($B95*$B96*(10^-12))/6</f>
        <v>6.785361999999998E-9</v>
      </c>
      <c r="L95" t="s">
        <v>47</v>
      </c>
    </row>
    <row r="96" spans="1:19" x14ac:dyDescent="0.2">
      <c r="A96" t="s">
        <v>23</v>
      </c>
      <c r="B96">
        <v>1E-3</v>
      </c>
      <c r="C96">
        <f>1/(800*8.6173*10^-5)</f>
        <v>14.505703642672296</v>
      </c>
      <c r="E96">
        <f>1/(900*8.6173*10^-5)</f>
        <v>12.893958793486487</v>
      </c>
      <c r="G96">
        <f>1/(1000*8.6173*10^-5)</f>
        <v>11.604562914137839</v>
      </c>
      <c r="I96">
        <f>1/(1100*8.6173*10^-5)</f>
        <v>10.549602649216217</v>
      </c>
      <c r="K96">
        <f>1/(1200*8.6173*10^-5)</f>
        <v>9.6704690951148642</v>
      </c>
    </row>
    <row r="97" spans="1:19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9" x14ac:dyDescent="0.2">
      <c r="A98" t="s">
        <v>35</v>
      </c>
    </row>
    <row r="99" spans="1:19" x14ac:dyDescent="0.2">
      <c r="A99" t="s">
        <v>34</v>
      </c>
      <c r="G99" t="s">
        <v>24</v>
      </c>
      <c r="H99" t="s">
        <v>5</v>
      </c>
      <c r="N99">
        <v>600</v>
      </c>
      <c r="Q99">
        <v>800</v>
      </c>
    </row>
    <row r="100" spans="1:19" x14ac:dyDescent="0.2">
      <c r="A100" t="s">
        <v>17</v>
      </c>
      <c r="B100" t="s">
        <v>36</v>
      </c>
      <c r="C100">
        <v>-6003.2732420000002</v>
      </c>
      <c r="D100">
        <v>-6003.1185500000001</v>
      </c>
      <c r="E100" s="1">
        <v>-6003.0756110000002</v>
      </c>
      <c r="F100">
        <v>-6003.201924</v>
      </c>
      <c r="G100">
        <f>AVERAGE(C100:D100,F100:F100)</f>
        <v>-6003.1979053333334</v>
      </c>
      <c r="H100">
        <f>STDEV(C100:F100)/SQRT(COUNT(C100:F100))</f>
        <v>4.3975333927801522E-2</v>
      </c>
      <c r="N100" t="s">
        <v>94</v>
      </c>
      <c r="O100" t="s">
        <v>95</v>
      </c>
      <c r="P100" t="s">
        <v>96</v>
      </c>
      <c r="Q100" t="s">
        <v>94</v>
      </c>
      <c r="R100" t="s">
        <v>95</v>
      </c>
      <c r="S100" t="s">
        <v>96</v>
      </c>
    </row>
    <row r="101" spans="1:19" x14ac:dyDescent="0.2">
      <c r="B101" s="1" t="s">
        <v>37</v>
      </c>
      <c r="C101">
        <v>-6005.1935880000001</v>
      </c>
      <c r="D101">
        <v>-6004.7909970000001</v>
      </c>
      <c r="E101">
        <v>-6004.6316450000004</v>
      </c>
      <c r="F101">
        <v>-6004.9649840000002</v>
      </c>
      <c r="G101">
        <f>AVERAGE(C101:F101)</f>
        <v>-6004.8953034999995</v>
      </c>
      <c r="H101">
        <f t="shared" ref="H101:H109" si="21">STDEV(C101:F101)/SQRT(COUNT(C101:F101))</f>
        <v>0.1204936601322734</v>
      </c>
      <c r="I101">
        <f>G101-1441/1440*G100</f>
        <v>2.4714892675938245</v>
      </c>
      <c r="J101">
        <f>SUM(H100:H101)</f>
        <v>0.16446899406007492</v>
      </c>
      <c r="N101">
        <v>-2125.8557270000001</v>
      </c>
      <c r="O101">
        <v>-2127.4851279999998</v>
      </c>
      <c r="P101">
        <v>-2120.1393990000001</v>
      </c>
      <c r="Q101">
        <v>-2104.9447260000002</v>
      </c>
      <c r="R101">
        <v>-2106.5102609999999</v>
      </c>
      <c r="S101">
        <v>-2099.6891260000002</v>
      </c>
    </row>
    <row r="102" spans="1:19" x14ac:dyDescent="0.2">
      <c r="B102" s="1" t="s">
        <v>38</v>
      </c>
      <c r="C102">
        <v>-5978.7784430000002</v>
      </c>
      <c r="D102">
        <v>-5978.8981899999999</v>
      </c>
      <c r="E102">
        <v>-5978.9907759999996</v>
      </c>
      <c r="F102">
        <v>-5978.9868049999995</v>
      </c>
      <c r="G102">
        <f>AVERAGE(C102:D102,F102:F102)</f>
        <v>-5978.8878126666668</v>
      </c>
      <c r="H102">
        <f t="shared" si="21"/>
        <v>4.9849758525694808E-2</v>
      </c>
      <c r="N102">
        <v>-2126.0706289999998</v>
      </c>
      <c r="O102">
        <v>-2127.381668</v>
      </c>
      <c r="P102">
        <v>-2120.470863</v>
      </c>
      <c r="Q102">
        <v>-2104.8326750000001</v>
      </c>
      <c r="R102">
        <v>-2105.8910799999999</v>
      </c>
      <c r="S102">
        <v>-2099.7873939999999</v>
      </c>
    </row>
    <row r="103" spans="1:19" x14ac:dyDescent="0.2">
      <c r="B103" s="1" t="s">
        <v>39</v>
      </c>
      <c r="C103">
        <v>-5980.5181320000002</v>
      </c>
      <c r="D103">
        <v>-5980.5840829999997</v>
      </c>
      <c r="E103">
        <v>-5980.462004</v>
      </c>
      <c r="F103">
        <v>-5980.3072679999996</v>
      </c>
      <c r="G103">
        <f>AVERAGE(C103:F103)</f>
        <v>-5980.4678717500001</v>
      </c>
      <c r="H103">
        <f t="shared" si="21"/>
        <v>5.9061509152777365E-2</v>
      </c>
      <c r="I103">
        <f>G103-1441/1440*G102</f>
        <v>2.5719463421301043</v>
      </c>
      <c r="J103">
        <f>SUM(H102:H103)</f>
        <v>0.10891126767847217</v>
      </c>
      <c r="N103">
        <v>-2126.3005659999999</v>
      </c>
      <c r="O103">
        <v>-2127.1587220000001</v>
      </c>
      <c r="P103">
        <v>-2120.4899919999998</v>
      </c>
      <c r="Q103">
        <v>-2105.5798759999998</v>
      </c>
      <c r="R103">
        <v>-2106.5151529999998</v>
      </c>
      <c r="S103">
        <v>-2099.2371419999999</v>
      </c>
    </row>
    <row r="104" spans="1:19" x14ac:dyDescent="0.2">
      <c r="B104" s="1" t="s">
        <v>40</v>
      </c>
      <c r="C104">
        <v>-5952.1216700000004</v>
      </c>
      <c r="D104">
        <v>-5952.1519939999998</v>
      </c>
      <c r="E104">
        <v>-5951.9503489999997</v>
      </c>
      <c r="F104">
        <v>-5952.1751720000002</v>
      </c>
      <c r="G104">
        <f>AVERAGE(C104:F104)</f>
        <v>-5952.0997962499996</v>
      </c>
      <c r="H104">
        <f t="shared" si="21"/>
        <v>5.1005759695076307E-2</v>
      </c>
      <c r="N104">
        <v>-2125.8893419999999</v>
      </c>
      <c r="O104">
        <v>-2127.6293059999998</v>
      </c>
      <c r="P104">
        <v>-2120.050851</v>
      </c>
      <c r="Q104">
        <v>-2105.4297780000002</v>
      </c>
      <c r="R104">
        <v>-2106.4243470000001</v>
      </c>
      <c r="S104">
        <v>-2099.2100820000001</v>
      </c>
    </row>
    <row r="105" spans="1:19" x14ac:dyDescent="0.2">
      <c r="B105" s="1" t="s">
        <v>41</v>
      </c>
      <c r="C105">
        <v>-5952.849768</v>
      </c>
      <c r="D105">
        <v>-5953.3768099999998</v>
      </c>
      <c r="E105">
        <v>-5953.1217360000001</v>
      </c>
      <c r="F105">
        <v>-5953.5279819999996</v>
      </c>
      <c r="G105">
        <f>AVERAGE(C105:F105)</f>
        <v>-5953.2190739999996</v>
      </c>
      <c r="H105">
        <f t="shared" si="21"/>
        <v>0.14893130576422373</v>
      </c>
      <c r="I105">
        <f>G105-1441/1440*G104</f>
        <v>3.0141248862855718</v>
      </c>
      <c r="J105">
        <f>SUM(H104:H105)</f>
        <v>0.19993706545930004</v>
      </c>
      <c r="N105">
        <v>-2125.8921230000001</v>
      </c>
      <c r="O105">
        <v>-2127.435007</v>
      </c>
      <c r="P105">
        <v>-2120.2739969999998</v>
      </c>
      <c r="Q105">
        <v>-2105.042387</v>
      </c>
      <c r="R105">
        <v>-2106.1528589999998</v>
      </c>
      <c r="S105">
        <v>-2099.4199239999998</v>
      </c>
    </row>
    <row r="106" spans="1:19" x14ac:dyDescent="0.2">
      <c r="B106" s="1" t="s">
        <v>9</v>
      </c>
      <c r="C106">
        <v>-5920.739681</v>
      </c>
      <c r="D106">
        <v>-5920.8386309999996</v>
      </c>
      <c r="E106">
        <v>-5921.5107500000004</v>
      </c>
      <c r="F106">
        <v>-5920.1763380000002</v>
      </c>
      <c r="G106">
        <f>AVERAGE(C106:D106,F106:F106)</f>
        <v>-5920.584883333333</v>
      </c>
      <c r="H106">
        <f t="shared" si="21"/>
        <v>0.2735844322243472</v>
      </c>
      <c r="N106">
        <v>-2125.7861469999998</v>
      </c>
      <c r="O106">
        <v>-2127.5073149999998</v>
      </c>
      <c r="P106">
        <v>-2120.5944549999999</v>
      </c>
      <c r="Q106">
        <v>-2104.8672809999998</v>
      </c>
      <c r="R106">
        <v>-2106.0463909999999</v>
      </c>
      <c r="S106">
        <v>-2099.503839</v>
      </c>
    </row>
    <row r="107" spans="1:19" x14ac:dyDescent="0.2">
      <c r="B107" s="1" t="s">
        <v>10</v>
      </c>
      <c r="C107">
        <v>-5921.6084110000002</v>
      </c>
      <c r="D107">
        <v>-5921.7291409999998</v>
      </c>
      <c r="E107">
        <v>-5921.7227800000001</v>
      </c>
      <c r="F107">
        <v>-5921.0066809999998</v>
      </c>
      <c r="G107">
        <f>AVERAGE(C107:F107)</f>
        <v>-5921.51675325</v>
      </c>
      <c r="H107">
        <f>STDEV(C107:F107)/SQRT(COUNT(C107:F107))</f>
        <v>0.1722716898344194</v>
      </c>
      <c r="I107">
        <f>G107-1441/1440*G106</f>
        <v>3.1796473634258291</v>
      </c>
      <c r="J107">
        <f>SUM(H106:H107)</f>
        <v>0.44585612205876657</v>
      </c>
      <c r="N107">
        <v>-2125.9254740000001</v>
      </c>
      <c r="O107">
        <v>-2127.3781439999998</v>
      </c>
      <c r="P107">
        <v>-2120.1769720000002</v>
      </c>
      <c r="Q107">
        <v>-2105.318002</v>
      </c>
      <c r="R107">
        <v>-2105.2818689999999</v>
      </c>
      <c r="S107">
        <v>-2099.8365090000002</v>
      </c>
    </row>
    <row r="108" spans="1:19" x14ac:dyDescent="0.2">
      <c r="B108" s="1" t="s">
        <v>29</v>
      </c>
      <c r="C108">
        <v>-5883.5131140000003</v>
      </c>
      <c r="D108">
        <v>-5882.9323480000003</v>
      </c>
      <c r="E108">
        <v>-5882.2685439999996</v>
      </c>
      <c r="F108">
        <v>-5883.6542149999996</v>
      </c>
      <c r="G108">
        <f>AVERAGE(C108:F108)</f>
        <v>-5883.0920552499992</v>
      </c>
      <c r="H108">
        <f t="shared" si="21"/>
        <v>0.31583107827486367</v>
      </c>
      <c r="N108">
        <v>-2125.8391080000001</v>
      </c>
      <c r="O108">
        <v>-2127.6934609999998</v>
      </c>
      <c r="P108">
        <v>-2120.2205899999999</v>
      </c>
      <c r="Q108">
        <v>-2103.751929</v>
      </c>
      <c r="R108">
        <v>-2105.5578690000002</v>
      </c>
      <c r="S108">
        <v>-2099.1827589999998</v>
      </c>
    </row>
    <row r="109" spans="1:19" x14ac:dyDescent="0.2">
      <c r="B109" s="1" t="s">
        <v>26</v>
      </c>
      <c r="C109">
        <v>-5882.4784959999997</v>
      </c>
      <c r="D109">
        <v>-5884.0198360000004</v>
      </c>
      <c r="E109">
        <v>-5882.2605999999996</v>
      </c>
      <c r="F109">
        <v>-5883.3007870000001</v>
      </c>
      <c r="G109">
        <f>AVERAGE(C109:F109)</f>
        <v>-5883.0149297499993</v>
      </c>
      <c r="H109">
        <f t="shared" si="21"/>
        <v>0.40293976788747016</v>
      </c>
      <c r="I109">
        <f>G109-1441/1440*G108</f>
        <v>4.1626060939242961</v>
      </c>
      <c r="J109">
        <f>SUM(H108:H109)</f>
        <v>0.71877084616233389</v>
      </c>
      <c r="N109">
        <v>-2125.9266520000001</v>
      </c>
      <c r="O109">
        <v>-2127.331768</v>
      </c>
      <c r="P109">
        <v>-2120.2957970000002</v>
      </c>
      <c r="Q109">
        <v>-2105.831858</v>
      </c>
      <c r="R109">
        <v>-2106.1727289999999</v>
      </c>
      <c r="S109">
        <v>-2098.6807840000001</v>
      </c>
    </row>
    <row r="110" spans="1:19" x14ac:dyDescent="0.2">
      <c r="B110" s="1"/>
      <c r="N110">
        <v>-2125.9141439999999</v>
      </c>
      <c r="O110">
        <v>-2127.4651600000002</v>
      </c>
      <c r="P110">
        <v>-2120.4605769999998</v>
      </c>
      <c r="Q110">
        <v>-2105.268474</v>
      </c>
      <c r="R110">
        <v>-2105.859226</v>
      </c>
      <c r="S110">
        <v>-2098.8255720000002</v>
      </c>
    </row>
    <row r="111" spans="1:19" x14ac:dyDescent="0.2">
      <c r="B111" t="s">
        <v>42</v>
      </c>
      <c r="C111" t="s">
        <v>43</v>
      </c>
      <c r="D111" t="s">
        <v>44</v>
      </c>
      <c r="E111" t="s">
        <v>45</v>
      </c>
      <c r="F111" t="s">
        <v>46</v>
      </c>
      <c r="G111" t="s">
        <v>41</v>
      </c>
      <c r="H111" t="s">
        <v>18</v>
      </c>
      <c r="I111" t="s">
        <v>19</v>
      </c>
      <c r="J111" t="s">
        <v>33</v>
      </c>
      <c r="K111" t="s">
        <v>26</v>
      </c>
      <c r="N111">
        <f t="shared" ref="N111:S111" si="22">AVERAGE(N101:N110)</f>
        <v>-2125.9399911999999</v>
      </c>
      <c r="O111">
        <f t="shared" si="22"/>
        <v>-2127.4465679</v>
      </c>
      <c r="P111">
        <f t="shared" si="22"/>
        <v>-2120.3173493000004</v>
      </c>
      <c r="Q111">
        <f t="shared" si="22"/>
        <v>-2105.0866986000001</v>
      </c>
      <c r="R111">
        <f t="shared" si="22"/>
        <v>-2106.0411783999998</v>
      </c>
      <c r="S111">
        <f t="shared" si="22"/>
        <v>-2099.3373130999998</v>
      </c>
    </row>
    <row r="112" spans="1:19" x14ac:dyDescent="0.2">
      <c r="A112" t="s">
        <v>8</v>
      </c>
      <c r="B112">
        <v>7.7118000000000006E-2</v>
      </c>
      <c r="C112">
        <v>9.9864999999999995E-2</v>
      </c>
      <c r="D112">
        <v>9.511E-2</v>
      </c>
      <c r="E112">
        <v>0.151088</v>
      </c>
      <c r="F112">
        <v>0.118737</v>
      </c>
      <c r="G112">
        <v>0.343138</v>
      </c>
      <c r="H112">
        <v>0.15565899999999999</v>
      </c>
      <c r="I112">
        <v>0.686496</v>
      </c>
      <c r="J112">
        <v>0.21417800000000001</v>
      </c>
      <c r="K112">
        <v>1.326865</v>
      </c>
      <c r="N112">
        <f t="shared" ref="N112:S112" si="23">STDEV(N101:N110)/SQRT(COUNT(N101:N110))</f>
        <v>4.6420757046999661E-2</v>
      </c>
      <c r="O112">
        <f t="shared" si="23"/>
        <v>4.7718379219318381E-2</v>
      </c>
      <c r="P112">
        <f t="shared" si="23"/>
        <v>5.6250770482217834E-2</v>
      </c>
      <c r="Q112">
        <f t="shared" si="23"/>
        <v>0.18009673966930567</v>
      </c>
      <c r="R112">
        <f t="shared" si="23"/>
        <v>0.1285426352821038</v>
      </c>
      <c r="S112">
        <f t="shared" si="23"/>
        <v>0.12261572766542074</v>
      </c>
    </row>
    <row r="113" spans="1:27" x14ac:dyDescent="0.2">
      <c r="B113">
        <v>7.7202000000000007E-2</v>
      </c>
      <c r="C113">
        <v>0.114188</v>
      </c>
      <c r="D113">
        <v>9.5163999999999999E-2</v>
      </c>
      <c r="E113">
        <v>0.20321</v>
      </c>
      <c r="F113">
        <v>0.119074</v>
      </c>
      <c r="G113">
        <v>0.36201299999999997</v>
      </c>
      <c r="H113">
        <v>0.154469</v>
      </c>
      <c r="I113">
        <v>0.82291700000000001</v>
      </c>
      <c r="J113">
        <v>0.21491199999999999</v>
      </c>
      <c r="K113">
        <v>1.1895690000000001</v>
      </c>
      <c r="O113">
        <f>O111-(513/512)*N111</f>
        <v>2.6456498453126187</v>
      </c>
      <c r="P113">
        <f>P111-(511/512)*N111</f>
        <v>1.4704153546867929</v>
      </c>
      <c r="R113">
        <f>R111-(513/512)*Q111</f>
        <v>3.1570176582035856</v>
      </c>
      <c r="S113">
        <f>S111-(511/512)*Q111</f>
        <v>1.6378880417969413</v>
      </c>
    </row>
    <row r="114" spans="1:27" x14ac:dyDescent="0.2">
      <c r="B114">
        <v>7.6877000000000001E-2</v>
      </c>
      <c r="C114">
        <v>8.7484000000000006E-2</v>
      </c>
      <c r="D114">
        <v>9.4688999999999995E-2</v>
      </c>
      <c r="E114">
        <v>0.19639699999999999</v>
      </c>
      <c r="F114">
        <v>0.119369</v>
      </c>
      <c r="G114">
        <v>0.35385800000000001</v>
      </c>
      <c r="H114">
        <v>0.15385799999999999</v>
      </c>
      <c r="I114">
        <v>0.57751799999999998</v>
      </c>
      <c r="J114">
        <v>0.21809500000000001</v>
      </c>
      <c r="K114">
        <v>1.1828380000000001</v>
      </c>
      <c r="O114">
        <f>O112+N112</f>
        <v>9.4139136266318035E-2</v>
      </c>
      <c r="P114">
        <f>P112+N112</f>
        <v>0.10267152752921749</v>
      </c>
      <c r="R114">
        <f>R112+Q112</f>
        <v>0.30863937495140947</v>
      </c>
      <c r="S114">
        <f>S112+Q112</f>
        <v>0.3027124673347264</v>
      </c>
    </row>
    <row r="115" spans="1:27" x14ac:dyDescent="0.2">
      <c r="B115">
        <v>7.6963000000000004E-2</v>
      </c>
      <c r="C115">
        <v>0.13605900000000001</v>
      </c>
      <c r="D115">
        <v>9.4708000000000001E-2</v>
      </c>
      <c r="E115">
        <v>0.236039</v>
      </c>
      <c r="F115">
        <v>0.11899</v>
      </c>
      <c r="G115">
        <v>0.410999</v>
      </c>
      <c r="H115">
        <v>0.15484300000000001</v>
      </c>
      <c r="I115">
        <v>0.834928</v>
      </c>
      <c r="J115">
        <v>0.21501400000000001</v>
      </c>
      <c r="K115">
        <v>1.0508360000000001</v>
      </c>
    </row>
    <row r="116" spans="1:27" x14ac:dyDescent="0.2">
      <c r="B116">
        <f t="shared" ref="B116:K116" si="24">AVERAGE(B112:B115)</f>
        <v>7.7039999999999997E-2</v>
      </c>
      <c r="C116">
        <f t="shared" si="24"/>
        <v>0.109399</v>
      </c>
      <c r="D116">
        <f t="shared" si="24"/>
        <v>9.4917749999999995E-2</v>
      </c>
      <c r="E116">
        <f t="shared" si="24"/>
        <v>0.19668349999999998</v>
      </c>
      <c r="F116">
        <f t="shared" si="24"/>
        <v>0.1190425</v>
      </c>
      <c r="G116">
        <f t="shared" si="24"/>
        <v>0.367502</v>
      </c>
      <c r="H116">
        <f t="shared" si="24"/>
        <v>0.15470724999999999</v>
      </c>
      <c r="I116">
        <f t="shared" si="24"/>
        <v>0.73046475</v>
      </c>
      <c r="J116">
        <f t="shared" si="24"/>
        <v>0.21554975000000001</v>
      </c>
      <c r="K116">
        <f t="shared" si="24"/>
        <v>1.1875270000000002</v>
      </c>
    </row>
    <row r="117" spans="1:27" x14ac:dyDescent="0.2">
      <c r="C117">
        <f>(C116-B116)*1440</f>
        <v>46.596959999999996</v>
      </c>
      <c r="E117">
        <f>(E116-D116)*1440</f>
        <v>146.54267999999999</v>
      </c>
      <c r="G117">
        <f>(G116-F116)*1440</f>
        <v>357.78167999999999</v>
      </c>
      <c r="I117">
        <f>(I116-H116)*1440</f>
        <v>829.09080000000006</v>
      </c>
      <c r="K117">
        <f>(K116-J116)*1440</f>
        <v>1399.6472400000002</v>
      </c>
    </row>
    <row r="118" spans="1:27" x14ac:dyDescent="0.2">
      <c r="A118" t="s">
        <v>22</v>
      </c>
      <c r="B118">
        <v>1000000</v>
      </c>
      <c r="C118">
        <f>C117*(10^-20)/($B118*$B119*(10^-12))</f>
        <v>4.6596959999999997E-10</v>
      </c>
      <c r="E118">
        <f>E117*(10^-20)/($B118*$B119*(10^-12))</f>
        <v>1.4654267999999998E-9</v>
      </c>
      <c r="G118">
        <f>G117*(10^-20)/($B118*$B119*(10^-12))</f>
        <v>3.5778167999999993E-9</v>
      </c>
      <c r="I118">
        <f>I117*(10^-20)/($B118*$B119*(10^-12))</f>
        <v>8.290908E-9</v>
      </c>
      <c r="K118">
        <f>K117*(10^-20)/($B118*$B119*(10^-12))</f>
        <v>1.39964724E-8</v>
      </c>
      <c r="L118" s="8" t="s">
        <v>47</v>
      </c>
    </row>
    <row r="119" spans="1:27" x14ac:dyDescent="0.2">
      <c r="A119" t="s">
        <v>23</v>
      </c>
      <c r="B119">
        <v>1E-3</v>
      </c>
      <c r="C119">
        <f>1/(800*8.6173*10^-5)</f>
        <v>14.505703642672296</v>
      </c>
      <c r="E119">
        <f>1/(900*8.6173*10^-5)</f>
        <v>12.893958793486487</v>
      </c>
      <c r="G119">
        <f>1/(1000*8.6173*10^-5)</f>
        <v>11.604562914137839</v>
      </c>
      <c r="I119">
        <f>1/(1100*8.6173*10^-5)</f>
        <v>10.549602649216217</v>
      </c>
      <c r="K119">
        <f>1/(1200*8.6173*10^-5)</f>
        <v>9.6704690951148642</v>
      </c>
    </row>
    <row r="120" spans="1:2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2" spans="1:27" x14ac:dyDescent="0.2">
      <c r="B122" t="s">
        <v>34</v>
      </c>
    </row>
    <row r="123" spans="1:27" x14ac:dyDescent="0.2">
      <c r="A123" t="s">
        <v>69</v>
      </c>
      <c r="B123">
        <v>800</v>
      </c>
      <c r="D123">
        <v>900</v>
      </c>
      <c r="F123">
        <v>1000</v>
      </c>
      <c r="H123">
        <v>1100</v>
      </c>
      <c r="J123">
        <v>1200</v>
      </c>
    </row>
    <row r="124" spans="1:27" x14ac:dyDescent="0.2">
      <c r="B124" t="s">
        <v>70</v>
      </c>
      <c r="C124" t="s">
        <v>8</v>
      </c>
      <c r="D124" t="s">
        <v>70</v>
      </c>
      <c r="E124" t="s">
        <v>8</v>
      </c>
      <c r="F124" t="s">
        <v>70</v>
      </c>
      <c r="G124" t="s">
        <v>8</v>
      </c>
      <c r="H124" t="s">
        <v>70</v>
      </c>
      <c r="I124" t="s">
        <v>8</v>
      </c>
      <c r="J124" t="s">
        <v>70</v>
      </c>
      <c r="K124" t="s">
        <v>8</v>
      </c>
    </row>
    <row r="125" spans="1:27" x14ac:dyDescent="0.2">
      <c r="B125">
        <v>-2802.6760680000002</v>
      </c>
      <c r="C125">
        <v>1.1148149999999999</v>
      </c>
      <c r="D125">
        <v>-2793.7441899999999</v>
      </c>
      <c r="E125">
        <v>2.5681280000000002</v>
      </c>
      <c r="F125">
        <v>-2784.3255399999998</v>
      </c>
      <c r="G125">
        <v>4.2277529999999999</v>
      </c>
      <c r="H125">
        <v>-2773.7952789999999</v>
      </c>
      <c r="I125">
        <v>5.8003590000000003</v>
      </c>
      <c r="J125">
        <v>-2762.6683069999999</v>
      </c>
      <c r="K125">
        <v>8.4073460000000004</v>
      </c>
    </row>
    <row r="126" spans="1:27" x14ac:dyDescent="0.2">
      <c r="B126">
        <v>-2803.129496</v>
      </c>
      <c r="C126">
        <v>1.2137100000000001</v>
      </c>
      <c r="D126">
        <v>-2793.3925899999999</v>
      </c>
      <c r="E126">
        <v>1.9999340000000001</v>
      </c>
      <c r="F126">
        <v>-2784.1881429999999</v>
      </c>
      <c r="G126">
        <v>4.4048350000000003</v>
      </c>
      <c r="H126">
        <v>-2774.1857479999999</v>
      </c>
      <c r="I126">
        <v>5.5456089999999998</v>
      </c>
      <c r="J126">
        <v>-2763.209163</v>
      </c>
      <c r="K126">
        <v>7.2375530000000001</v>
      </c>
    </row>
    <row r="127" spans="1:27" x14ac:dyDescent="0.2">
      <c r="B127">
        <v>-2802.6208160000001</v>
      </c>
      <c r="C127">
        <v>1.2562800000000001</v>
      </c>
      <c r="D127">
        <v>-2793.5835590000002</v>
      </c>
      <c r="E127">
        <v>2.4563609999999998</v>
      </c>
      <c r="F127">
        <v>-2783.8958280000002</v>
      </c>
      <c r="G127">
        <v>4.373507</v>
      </c>
      <c r="H127">
        <v>-2773.704287</v>
      </c>
      <c r="I127">
        <v>6.1743730000000001</v>
      </c>
      <c r="J127">
        <v>-2762.875078</v>
      </c>
      <c r="K127">
        <v>8.0390809999999995</v>
      </c>
    </row>
    <row r="128" spans="1:27" x14ac:dyDescent="0.2">
      <c r="B128">
        <v>-2802.6488210000002</v>
      </c>
      <c r="C128">
        <v>1.2886979999999999</v>
      </c>
      <c r="D128">
        <v>-2793.6766469999998</v>
      </c>
      <c r="E128">
        <v>2.3704100000000001</v>
      </c>
      <c r="F128">
        <v>-2783.9120400000002</v>
      </c>
      <c r="G128">
        <v>4.1943830000000002</v>
      </c>
      <c r="H128">
        <v>-2773.3158979999998</v>
      </c>
      <c r="I128">
        <v>5.9256589999999996</v>
      </c>
      <c r="J128">
        <v>-2763.3559559999999</v>
      </c>
      <c r="K128">
        <v>7.2258889999999996</v>
      </c>
      <c r="M128" t="s">
        <v>69</v>
      </c>
      <c r="T128" t="s">
        <v>78</v>
      </c>
      <c r="AA128" t="s">
        <v>79</v>
      </c>
    </row>
    <row r="129" spans="1:31" x14ac:dyDescent="0.2">
      <c r="B129">
        <v>-2802.4487490000001</v>
      </c>
      <c r="C129">
        <v>1.325534</v>
      </c>
      <c r="D129">
        <v>-2793.6583169999999</v>
      </c>
      <c r="E129">
        <v>2.4298120000000001</v>
      </c>
      <c r="F129">
        <v>-2783.7286640000002</v>
      </c>
      <c r="G129">
        <v>4.1361220000000003</v>
      </c>
      <c r="H129">
        <v>-2773.4512970000001</v>
      </c>
      <c r="I129">
        <v>5.1284260000000002</v>
      </c>
      <c r="J129">
        <v>-2763.2710910000001</v>
      </c>
      <c r="K129">
        <v>6.9157190000000002</v>
      </c>
    </row>
    <row r="130" spans="1:31" x14ac:dyDescent="0.2">
      <c r="B130">
        <v>-2802.3762510000001</v>
      </c>
      <c r="C130">
        <v>1.5555950000000001</v>
      </c>
      <c r="D130">
        <v>-2793.522316</v>
      </c>
      <c r="E130">
        <v>2.4023560000000002</v>
      </c>
      <c r="F130">
        <v>-2784.0607150000001</v>
      </c>
      <c r="G130">
        <v>3.8856470000000001</v>
      </c>
      <c r="H130">
        <v>-2773.6688250000002</v>
      </c>
      <c r="I130">
        <v>5.6151119999999999</v>
      </c>
      <c r="J130">
        <v>-2763.0417849999999</v>
      </c>
      <c r="K130">
        <v>7.6213990000000003</v>
      </c>
      <c r="M130" t="s">
        <v>34</v>
      </c>
      <c r="N130">
        <v>800</v>
      </c>
      <c r="O130">
        <v>900</v>
      </c>
      <c r="P130">
        <v>1000</v>
      </c>
      <c r="Q130">
        <v>1100</v>
      </c>
      <c r="R130">
        <v>1200</v>
      </c>
      <c r="T130" t="s">
        <v>34</v>
      </c>
      <c r="U130">
        <f t="shared" ref="U130" si="25">U131/N131</f>
        <v>5.8466043679712474</v>
      </c>
      <c r="V130">
        <f t="shared" ref="V130" si="26">V131/O131</f>
        <v>3.6969196971845038</v>
      </c>
      <c r="W130">
        <f t="shared" ref="W130" si="27">W131/P131</f>
        <v>2.3882159673386814</v>
      </c>
      <c r="X130">
        <f t="shared" ref="X130" si="28">X131/Q131</f>
        <v>2.095640400040605</v>
      </c>
      <c r="Y130">
        <f>Y131/R131</f>
        <v>1.607864348198577</v>
      </c>
      <c r="AA130">
        <v>14.505703642672296</v>
      </c>
      <c r="AB130">
        <v>12.893958793486487</v>
      </c>
      <c r="AC130">
        <v>11.604562914137839</v>
      </c>
      <c r="AD130">
        <v>10.549602649216217</v>
      </c>
      <c r="AE130">
        <v>9.6704690951148642</v>
      </c>
    </row>
    <row r="131" spans="1:31" x14ac:dyDescent="0.2">
      <c r="B131">
        <v>-2802.6362079999999</v>
      </c>
      <c r="C131">
        <v>1.5000089999999999</v>
      </c>
      <c r="D131">
        <v>-2793.6732929999998</v>
      </c>
      <c r="E131">
        <v>2.3986529999999999</v>
      </c>
      <c r="F131">
        <v>-2784.0624939999998</v>
      </c>
      <c r="G131">
        <v>3.6570879999999999</v>
      </c>
      <c r="H131">
        <v>-2773.9023809999999</v>
      </c>
      <c r="I131">
        <v>5.522958</v>
      </c>
      <c r="J131">
        <v>-2762.985721</v>
      </c>
      <c r="K131">
        <v>7.2975630000000002</v>
      </c>
      <c r="M131" t="s">
        <v>74</v>
      </c>
      <c r="N131">
        <f>C136</f>
        <v>6.7113599958333329E-10</v>
      </c>
      <c r="O131">
        <f>E136</f>
        <v>1.274509515833333E-9</v>
      </c>
      <c r="P131">
        <f>G136</f>
        <v>2.2570415491666664E-9</v>
      </c>
      <c r="Q131">
        <f>I136</f>
        <v>3.1378090120833332E-9</v>
      </c>
      <c r="R131">
        <f>K136</f>
        <v>4.2201084983333317E-9</v>
      </c>
      <c r="T131" t="s">
        <v>74</v>
      </c>
      <c r="U131">
        <v>3.9238666666666659E-9</v>
      </c>
      <c r="V131">
        <v>4.7117593333333335E-9</v>
      </c>
      <c r="W131">
        <v>5.3903026666666664E-9</v>
      </c>
      <c r="X131">
        <v>6.5757193333333317E-9</v>
      </c>
      <c r="Y131">
        <v>6.785361999999998E-9</v>
      </c>
      <c r="AA131">
        <v>800</v>
      </c>
      <c r="AB131">
        <v>900</v>
      </c>
      <c r="AC131">
        <v>1000</v>
      </c>
      <c r="AD131">
        <v>1100</v>
      </c>
      <c r="AE131">
        <v>1200</v>
      </c>
    </row>
    <row r="132" spans="1:31" x14ac:dyDescent="0.2">
      <c r="B132">
        <v>-2802.7331899999999</v>
      </c>
      <c r="C132">
        <v>1.201819</v>
      </c>
      <c r="D132">
        <v>-2793.4710220000002</v>
      </c>
      <c r="E132" s="1">
        <v>2.2950759999999999</v>
      </c>
      <c r="F132">
        <v>-2784.0846339999998</v>
      </c>
      <c r="G132">
        <v>4.1310260000000003</v>
      </c>
      <c r="H132">
        <v>-2774.2487660000002</v>
      </c>
      <c r="I132">
        <v>5.6886289999999997</v>
      </c>
      <c r="J132">
        <v>-2763.1336240000001</v>
      </c>
      <c r="K132">
        <v>8.4154420000000005</v>
      </c>
      <c r="M132" t="s">
        <v>75</v>
      </c>
      <c r="N132">
        <f>B137</f>
        <v>2.114141674250277</v>
      </c>
      <c r="O132">
        <f>D137</f>
        <v>1.9634503312504421</v>
      </c>
      <c r="P132">
        <f>F137</f>
        <v>2.0285696470009498</v>
      </c>
      <c r="Q132">
        <f>H137</f>
        <v>2.2931386730001577</v>
      </c>
      <c r="R132">
        <f>J137</f>
        <v>2.3600363260006816</v>
      </c>
      <c r="T132" t="s">
        <v>75</v>
      </c>
      <c r="U132">
        <v>0.8855425240490149</v>
      </c>
      <c r="V132">
        <v>1.0658453162504884</v>
      </c>
      <c r="W132">
        <v>0.96565356620249077</v>
      </c>
      <c r="X132">
        <v>1.0552996658007032</v>
      </c>
      <c r="Y132">
        <v>1.5852713195999968</v>
      </c>
      <c r="Z132" t="s">
        <v>75</v>
      </c>
      <c r="AA132">
        <f>N132+U132</f>
        <v>2.9996841982992919</v>
      </c>
      <c r="AB132">
        <f t="shared" ref="AB132:AE132" si="29">O132+V132</f>
        <v>3.0292956475009305</v>
      </c>
      <c r="AC132">
        <f t="shared" si="29"/>
        <v>2.9942232132034405</v>
      </c>
      <c r="AD132">
        <f t="shared" si="29"/>
        <v>3.3484383388008609</v>
      </c>
      <c r="AE132">
        <f t="shared" si="29"/>
        <v>3.9453076456006784</v>
      </c>
    </row>
    <row r="133" spans="1:31" x14ac:dyDescent="0.2">
      <c r="B133">
        <v>-2802.7248719999998</v>
      </c>
      <c r="C133">
        <v>1.344797</v>
      </c>
      <c r="D133">
        <v>-2793.892445</v>
      </c>
      <c r="E133">
        <v>2.47695</v>
      </c>
      <c r="F133">
        <v>-2783.671742</v>
      </c>
      <c r="G133">
        <v>3.9984929999999999</v>
      </c>
      <c r="H133">
        <v>-2773.5657940000001</v>
      </c>
      <c r="I133">
        <v>5.4637200000000004</v>
      </c>
      <c r="J133">
        <v>-2762.9403269999998</v>
      </c>
      <c r="K133">
        <v>7.3587119999999997</v>
      </c>
      <c r="M133" t="s">
        <v>72</v>
      </c>
      <c r="N133">
        <v>6.3250762308794797E-2</v>
      </c>
      <c r="O133">
        <v>4.5519942175497152E-2</v>
      </c>
      <c r="P133">
        <v>6.3448664042122474E-2</v>
      </c>
      <c r="Q133">
        <v>9.4769768242420657E-2</v>
      </c>
      <c r="R133">
        <v>6.4546707005638651E-2</v>
      </c>
      <c r="T133" t="s">
        <v>72</v>
      </c>
      <c r="U133">
        <v>0.12244006807979527</v>
      </c>
      <c r="V133">
        <v>0.19349451697649928</v>
      </c>
      <c r="W133">
        <v>0.22005594381083976</v>
      </c>
      <c r="X133">
        <v>0.28882154273747707</v>
      </c>
      <c r="Y133">
        <v>0.32327801023694414</v>
      </c>
      <c r="Z133" t="s">
        <v>72</v>
      </c>
      <c r="AA133">
        <f>N133+U133</f>
        <v>0.18569083038859008</v>
      </c>
      <c r="AB133">
        <f t="shared" ref="AB133:AE133" si="30">O133+V133-O135</f>
        <v>6.6189476960901661E-2</v>
      </c>
      <c r="AC133">
        <f t="shared" si="30"/>
        <v>9.5116587517368734E-2</v>
      </c>
      <c r="AD133">
        <f t="shared" si="30"/>
        <v>0.1394852487506501</v>
      </c>
      <c r="AE133">
        <f t="shared" si="30"/>
        <v>0.11950586716920747</v>
      </c>
    </row>
    <row r="134" spans="1:31" x14ac:dyDescent="0.2">
      <c r="B134">
        <v>-2802.6105520000001</v>
      </c>
      <c r="C134">
        <v>1.397945</v>
      </c>
      <c r="D134">
        <v>-2793.6958589999999</v>
      </c>
      <c r="E134">
        <v>2.5276390000000002</v>
      </c>
      <c r="F134">
        <v>-2784.078927</v>
      </c>
      <c r="G134">
        <v>4.3031300000000003</v>
      </c>
      <c r="H134">
        <v>-2773.9264440000002</v>
      </c>
      <c r="I134">
        <v>6.0658029999999998</v>
      </c>
      <c r="J134">
        <v>-2763.1461939999999</v>
      </c>
      <c r="K134">
        <v>7.9326879999999997</v>
      </c>
      <c r="M134" t="s">
        <v>76</v>
      </c>
      <c r="N134">
        <v>14.505703642672296</v>
      </c>
      <c r="O134">
        <v>12.893958793486487</v>
      </c>
      <c r="P134">
        <v>11.604562914137839</v>
      </c>
      <c r="Q134">
        <v>10.549602649216217</v>
      </c>
      <c r="R134">
        <v>9.6704690951148642</v>
      </c>
      <c r="T134" t="s">
        <v>77</v>
      </c>
      <c r="U134">
        <v>14.505703642672296</v>
      </c>
      <c r="V134">
        <v>12.893958793486487</v>
      </c>
      <c r="W134">
        <v>11.604562914137839</v>
      </c>
      <c r="X134">
        <v>10.549602649216217</v>
      </c>
      <c r="Y134">
        <v>9.6704690951148642</v>
      </c>
    </row>
    <row r="135" spans="1:31" x14ac:dyDescent="0.2">
      <c r="A135" t="s">
        <v>71</v>
      </c>
      <c r="B135">
        <f t="shared" ref="B135:J135" si="31">AVERAGE(B125:B134)</f>
        <v>-2802.6605023000002</v>
      </c>
      <c r="C135">
        <f t="shared" si="31"/>
        <v>1.3199202000000001</v>
      </c>
      <c r="D135">
        <f t="shared" si="31"/>
        <v>-2793.6310238000001</v>
      </c>
      <c r="E135">
        <f t="shared" si="31"/>
        <v>2.3925318999999998</v>
      </c>
      <c r="F135">
        <f t="shared" si="31"/>
        <v>-2784.0008726999995</v>
      </c>
      <c r="G135">
        <f t="shared" si="31"/>
        <v>4.1311984000000006</v>
      </c>
      <c r="H135">
        <f t="shared" si="31"/>
        <v>-2773.7764719000002</v>
      </c>
      <c r="I135">
        <f t="shared" si="31"/>
        <v>5.6930648000000001</v>
      </c>
      <c r="J135">
        <f t="shared" si="31"/>
        <v>-2763.0627245999999</v>
      </c>
      <c r="K135">
        <f>AVERAGE(K125:K134)</f>
        <v>7.6451391999999982</v>
      </c>
      <c r="M135" t="s">
        <v>81</v>
      </c>
      <c r="N135">
        <f>N133+N71</f>
        <v>0.13985679299891568</v>
      </c>
      <c r="O135">
        <f>O133+N73</f>
        <v>0.17282498219109477</v>
      </c>
      <c r="P135">
        <f>P133+N75</f>
        <v>0.18838802033559349</v>
      </c>
      <c r="Q135">
        <f>Q133+N77</f>
        <v>0.24410606222924763</v>
      </c>
      <c r="R135">
        <f>R133+N79</f>
        <v>0.2683188500733753</v>
      </c>
      <c r="Z135" t="s">
        <v>80</v>
      </c>
      <c r="AA135">
        <f>EXP(-N132*N134)*N131+EXP(-U132*U134)*U131</f>
        <v>1.0351906508123575E-14</v>
      </c>
      <c r="AB135">
        <f>EXP(-O132*O134)*O131+EXP(-V132*V134)*V131</f>
        <v>5.0662904608350121E-15</v>
      </c>
      <c r="AC135">
        <f>EXP(-P132*P134)*P131+EXP(-W132*W134)*W131</f>
        <v>7.3268177446624664E-14</v>
      </c>
      <c r="AD135">
        <f>EXP(-Q132*Q134)*Q131+EXP(-X132*X134)*X131</f>
        <v>9.6149416309329151E-14</v>
      </c>
      <c r="AE135">
        <f>EXP(-R132*R134)*R131+EXP(-Y132*Y134)*Y131</f>
        <v>1.4922834607587799E-15</v>
      </c>
    </row>
    <row r="136" spans="1:31" x14ac:dyDescent="0.2">
      <c r="A136" t="s">
        <v>48</v>
      </c>
      <c r="B136">
        <f>STDEV(B125:B134)/SQRT(COUNT(B125:B134))</f>
        <v>6.3250762308794797E-2</v>
      </c>
      <c r="C136">
        <f>(C135-B93)*685*(10^-20)/(0.001*(2*10^6)*(10^-12))/6</f>
        <v>6.7113599958333329E-10</v>
      </c>
      <c r="D136">
        <f>STDEV(D125:D134)/SQRT(COUNT(D125:D134))</f>
        <v>4.5519942175497152E-2</v>
      </c>
      <c r="E136">
        <f>(E135-D93)*685*(10^-20)/(0.001*(2*10^6)*(10^-12))/6</f>
        <v>1.274509515833333E-9</v>
      </c>
      <c r="F136">
        <f>STDEV(F125:F134)/SQRT(COUNT(F125:F134))</f>
        <v>6.3448664042122474E-2</v>
      </c>
      <c r="G136">
        <f>(G135-F93)*685*(10^-20)/(0.001*(2*10^6)*(10^-12))/6</f>
        <v>2.2570415491666664E-9</v>
      </c>
      <c r="H136">
        <f>STDEV(H125:H134)/SQRT(COUNT(H125:H134))</f>
        <v>9.4769768242420657E-2</v>
      </c>
      <c r="I136">
        <f>(I135-H93)*685*(10^-20)/(0.001*(2*10^6)*(10^-12))/6</f>
        <v>3.1378090120833332E-9</v>
      </c>
      <c r="J136">
        <f>STDEV(J125:J134)/SQRT(COUNT(J125:J134))</f>
        <v>6.4546707005638651E-2</v>
      </c>
      <c r="K136">
        <f>(K135-J93)*685*(10^-20)/(0.001*(2*10^6)*(10^-12))/6</f>
        <v>4.2201084983333317E-9</v>
      </c>
    </row>
    <row r="137" spans="1:31" x14ac:dyDescent="0.2">
      <c r="B137">
        <f>B135-685/2000*M71</f>
        <v>2.114141674250277</v>
      </c>
      <c r="D137">
        <f>D135-685/2000*M73</f>
        <v>1.9634503312504421</v>
      </c>
      <c r="F137">
        <f>F135-685/2000*M75</f>
        <v>2.0285696470009498</v>
      </c>
      <c r="H137">
        <f>H135-685/2000*M77</f>
        <v>2.2931386730001577</v>
      </c>
      <c r="J137">
        <f>J135-685/2000*M79</f>
        <v>2.3600363260006816</v>
      </c>
    </row>
    <row r="138" spans="1:31" x14ac:dyDescent="0.2">
      <c r="A138" t="s">
        <v>72</v>
      </c>
      <c r="B138">
        <f>B136+N71</f>
        <v>0.13985679299891568</v>
      </c>
      <c r="D138">
        <f>D136+N73</f>
        <v>0.17282498219109477</v>
      </c>
      <c r="F138">
        <f>F136+N75</f>
        <v>0.18838802033559349</v>
      </c>
      <c r="H138">
        <f>H136+N77</f>
        <v>0.24410606222924763</v>
      </c>
      <c r="J138">
        <f>J136+N79</f>
        <v>0.2683188500733753</v>
      </c>
      <c r="M138" t="s">
        <v>25</v>
      </c>
      <c r="T138" t="s">
        <v>25</v>
      </c>
      <c r="U138">
        <f t="shared" ref="U138" si="32">U139/N139</f>
        <v>6.5966151331987888</v>
      </c>
      <c r="V138">
        <f t="shared" ref="V138" si="33">V139/O139</f>
        <v>4.4698659645518601</v>
      </c>
      <c r="W138">
        <f t="shared" ref="W138" si="34">W139/P139</f>
        <v>2.9788744532737494</v>
      </c>
      <c r="X138">
        <f t="shared" ref="X138" si="35">X139/Q139</f>
        <v>2.4047749347962473</v>
      </c>
      <c r="Y138">
        <f>Y139/R139</f>
        <v>1.9472361149211364</v>
      </c>
    </row>
    <row r="139" spans="1:31" x14ac:dyDescent="0.2">
      <c r="A139" t="s">
        <v>73</v>
      </c>
      <c r="M139" t="s">
        <v>74</v>
      </c>
      <c r="N139">
        <f>C153</f>
        <v>8.230231045833333E-10</v>
      </c>
      <c r="O139">
        <f>E153</f>
        <v>1.3898021512500001E-9</v>
      </c>
      <c r="P139">
        <f>G153</f>
        <v>2.2363049437499996E-9</v>
      </c>
      <c r="Q139">
        <f>I153</f>
        <v>3.185413829166666E-9</v>
      </c>
      <c r="R139">
        <f>K153</f>
        <v>4.4258577241666659E-9</v>
      </c>
      <c r="T139" t="s">
        <v>74</v>
      </c>
      <c r="U139">
        <v>5.4291666666666657E-9</v>
      </c>
      <c r="V139">
        <v>6.2122293333333322E-9</v>
      </c>
      <c r="W139">
        <v>6.6616716666666636E-9</v>
      </c>
      <c r="X139">
        <v>7.660203333333333E-9</v>
      </c>
      <c r="Y139">
        <v>8.6181900000000008E-9</v>
      </c>
    </row>
    <row r="140" spans="1:31" x14ac:dyDescent="0.2">
      <c r="B140">
        <v>800</v>
      </c>
      <c r="D140">
        <v>900</v>
      </c>
      <c r="F140">
        <v>1000</v>
      </c>
      <c r="H140">
        <v>1100</v>
      </c>
      <c r="J140">
        <v>1200</v>
      </c>
      <c r="M140" t="s">
        <v>75</v>
      </c>
      <c r="N140">
        <f>B154</f>
        <v>0.96673965950049023</v>
      </c>
      <c r="O140">
        <f>D154</f>
        <v>1.1681207352507954</v>
      </c>
      <c r="P140">
        <f>F154</f>
        <v>1.2348185877503965</v>
      </c>
      <c r="Q140">
        <f>H154</f>
        <v>1.3227565670003969</v>
      </c>
      <c r="R140">
        <f>J154</f>
        <v>1.303817452999283</v>
      </c>
      <c r="T140" t="s">
        <v>75</v>
      </c>
      <c r="U140">
        <v>1.9987906287005899</v>
      </c>
      <c r="V140">
        <v>1.7965684946520923</v>
      </c>
      <c r="W140">
        <v>2.2342111811485665</v>
      </c>
      <c r="X140">
        <v>2.3732181581981422</v>
      </c>
      <c r="Y140">
        <v>2.1745410137991712</v>
      </c>
      <c r="AA140">
        <f>N140+U140</f>
        <v>2.9655302882010801</v>
      </c>
      <c r="AB140">
        <f t="shared" ref="AB140" si="36">O140+V140</f>
        <v>2.9646892299028877</v>
      </c>
      <c r="AC140">
        <f t="shared" ref="AC140" si="37">P140+W140</f>
        <v>3.4690297688989631</v>
      </c>
      <c r="AD140">
        <f t="shared" ref="AD140" si="38">Q140+X140</f>
        <v>3.6959747251985391</v>
      </c>
      <c r="AE140">
        <f t="shared" ref="AE140" si="39">R140+Y140</f>
        <v>3.4783584667984542</v>
      </c>
    </row>
    <row r="141" spans="1:31" x14ac:dyDescent="0.2">
      <c r="A141" t="s">
        <v>25</v>
      </c>
      <c r="B141" t="s">
        <v>70</v>
      </c>
      <c r="C141" t="s">
        <v>8</v>
      </c>
      <c r="D141" t="s">
        <v>70</v>
      </c>
      <c r="E141" t="s">
        <v>8</v>
      </c>
      <c r="F141" t="s">
        <v>70</v>
      </c>
      <c r="G141" t="s">
        <v>8</v>
      </c>
      <c r="H141" t="s">
        <v>70</v>
      </c>
      <c r="I141" t="s">
        <v>8</v>
      </c>
      <c r="J141" t="s">
        <v>70</v>
      </c>
      <c r="K141" t="s">
        <v>8</v>
      </c>
      <c r="M141" t="s">
        <v>72</v>
      </c>
      <c r="N141">
        <v>7.535773913234077E-2</v>
      </c>
      <c r="O141">
        <v>7.2250503668703114E-2</v>
      </c>
      <c r="P141">
        <v>8.7577050299137149E-2</v>
      </c>
      <c r="Q141">
        <v>8.266522717928057E-2</v>
      </c>
      <c r="R141">
        <v>9.2597158060301415E-2</v>
      </c>
      <c r="T141" t="s">
        <v>72</v>
      </c>
      <c r="U141">
        <v>0.14687898829412091</v>
      </c>
      <c r="V141">
        <v>0.19307031034113642</v>
      </c>
      <c r="W141">
        <v>0.20061308412188056</v>
      </c>
      <c r="X141">
        <v>0.29125060312455553</v>
      </c>
      <c r="Y141">
        <v>0.39390283586952268</v>
      </c>
      <c r="AA141">
        <f>N141+U141</f>
        <v>0.22223672742646167</v>
      </c>
      <c r="AB141">
        <f t="shared" ref="AB141" si="40">O141+V141-O143</f>
        <v>0.10084042018591494</v>
      </c>
      <c r="AC141">
        <f t="shared" ref="AC141" si="41">P141+W141-P143</f>
        <v>6.3240787009195332E-2</v>
      </c>
      <c r="AD141">
        <f t="shared" ref="AD141" si="42">Q141+X141-Q143</f>
        <v>0.1367186261666028</v>
      </c>
      <c r="AE141">
        <f t="shared" ref="AE141" si="43">R141+Y141-R143</f>
        <v>0.26910957722746193</v>
      </c>
    </row>
    <row r="142" spans="1:31" x14ac:dyDescent="0.2">
      <c r="B142">
        <v>-3546.9976150000002</v>
      </c>
      <c r="C142">
        <v>1.8688389999999999</v>
      </c>
      <c r="D142">
        <v>-3537.5158249999999</v>
      </c>
      <c r="E142">
        <v>2.5741200000000002</v>
      </c>
      <c r="F142">
        <v>-3526.8778710000001</v>
      </c>
      <c r="G142">
        <v>4.5542629999999997</v>
      </c>
      <c r="H142">
        <v>-3516.5150619999999</v>
      </c>
      <c r="I142">
        <v>5.999714</v>
      </c>
      <c r="J142">
        <v>-3505.6208529999999</v>
      </c>
      <c r="K142">
        <v>8.1622090000000007</v>
      </c>
      <c r="M142" t="s">
        <v>76</v>
      </c>
      <c r="N142">
        <v>14.505703642672296</v>
      </c>
      <c r="O142">
        <v>12.893958793486487</v>
      </c>
      <c r="P142">
        <v>11.604562914137839</v>
      </c>
      <c r="Q142">
        <v>10.549602649216217</v>
      </c>
      <c r="R142">
        <v>9.6704690951148642</v>
      </c>
      <c r="T142" t="s">
        <v>77</v>
      </c>
      <c r="U142">
        <v>14.505703642672296</v>
      </c>
      <c r="V142">
        <v>12.893958793486487</v>
      </c>
      <c r="W142">
        <v>11.604562914137839</v>
      </c>
      <c r="X142">
        <v>10.549602649216217</v>
      </c>
      <c r="Y142">
        <v>9.6704690951148642</v>
      </c>
    </row>
    <row r="143" spans="1:31" x14ac:dyDescent="0.2">
      <c r="B143">
        <v>-3547.3431420000002</v>
      </c>
      <c r="C143">
        <v>1.571936</v>
      </c>
      <c r="D143">
        <v>-3537.7245210000001</v>
      </c>
      <c r="E143">
        <v>2.4273920000000002</v>
      </c>
      <c r="F143">
        <v>-3527.16759</v>
      </c>
      <c r="G143">
        <v>4.1588329999999996</v>
      </c>
      <c r="H143">
        <v>-3516.0091400000001</v>
      </c>
      <c r="I143">
        <v>5.4419570000000004</v>
      </c>
      <c r="J143">
        <v>-3505.008844</v>
      </c>
      <c r="K143">
        <v>8.0278559999999999</v>
      </c>
      <c r="N143">
        <f>N141+N43</f>
        <v>0.12899313081649377</v>
      </c>
      <c r="O143">
        <f>O141+N45</f>
        <v>0.1644803938239246</v>
      </c>
      <c r="P143">
        <f>P141+N47</f>
        <v>0.22494934741182238</v>
      </c>
      <c r="Q143">
        <f>Q141+N49</f>
        <v>0.23719720413723333</v>
      </c>
      <c r="R143">
        <f>R141+N51</f>
        <v>0.2173904167023622</v>
      </c>
      <c r="Z143" t="s">
        <v>80</v>
      </c>
      <c r="AA143">
        <f>EXP(-N140*N142)*N139+EXP(-U140*U142)*U139</f>
        <v>6.6864809788169476E-16</v>
      </c>
      <c r="AB143">
        <f t="shared" ref="AB143:AE143" si="44">EXP(-O140*O142)*O139+EXP(-V140*V142)*V139</f>
        <v>4.0024552409265077E-16</v>
      </c>
      <c r="AC143">
        <f t="shared" si="44"/>
        <v>1.3375410169635003E-15</v>
      </c>
      <c r="AD143">
        <f t="shared" si="44"/>
        <v>2.7720124942039555E-15</v>
      </c>
      <c r="AE143">
        <f t="shared" si="44"/>
        <v>1.4803701414117811E-14</v>
      </c>
    </row>
    <row r="144" spans="1:31" x14ac:dyDescent="0.2">
      <c r="B144">
        <v>-3547.0284029999998</v>
      </c>
      <c r="C144">
        <v>1.8209550000000001</v>
      </c>
      <c r="D144">
        <v>-3537.0848249999999</v>
      </c>
      <c r="E144">
        <v>2.8032469999999998</v>
      </c>
      <c r="F144">
        <v>-3527.6482740000001</v>
      </c>
      <c r="G144">
        <v>4.1776030000000004</v>
      </c>
      <c r="H144">
        <v>-3515.9647319999999</v>
      </c>
      <c r="I144">
        <v>5.7151620000000003</v>
      </c>
      <c r="J144">
        <v>-3504.7705620000002</v>
      </c>
      <c r="K144">
        <v>7.3560489999999996</v>
      </c>
    </row>
    <row r="145" spans="1:35" x14ac:dyDescent="0.2">
      <c r="B145">
        <v>-3547.5254239999999</v>
      </c>
      <c r="C145">
        <v>1.429179</v>
      </c>
      <c r="D145">
        <v>-3537.4162609999998</v>
      </c>
      <c r="E145">
        <v>2.7898179999999999</v>
      </c>
      <c r="F145">
        <v>-3526.7327959999998</v>
      </c>
      <c r="G145">
        <v>3.6019369999999999</v>
      </c>
      <c r="H145">
        <v>-3516.343496</v>
      </c>
      <c r="I145">
        <v>6.348821</v>
      </c>
      <c r="J145">
        <v>-3504.6590759999999</v>
      </c>
      <c r="K145">
        <v>8.4749689999999998</v>
      </c>
    </row>
    <row r="146" spans="1:35" x14ac:dyDescent="0.2">
      <c r="B146">
        <v>-3547.0846419999998</v>
      </c>
      <c r="C146">
        <v>1.772594</v>
      </c>
      <c r="D146">
        <v>-3537.3226220000001</v>
      </c>
      <c r="E146">
        <v>2.6259929999999998</v>
      </c>
      <c r="F146">
        <v>-3527.4127960000001</v>
      </c>
      <c r="G146">
        <v>4.2251159999999999</v>
      </c>
      <c r="H146">
        <v>-3516.5895300000002</v>
      </c>
      <c r="I146">
        <v>5.6575699999999998</v>
      </c>
      <c r="J146">
        <v>-3505.1872490000001</v>
      </c>
      <c r="K146">
        <v>8.768929</v>
      </c>
      <c r="M146" t="s">
        <v>15</v>
      </c>
      <c r="T146" t="s">
        <v>15</v>
      </c>
      <c r="U146">
        <f t="shared" ref="U146:X146" si="45">U147/N147</f>
        <v>3.0090192381126282</v>
      </c>
      <c r="V146">
        <f t="shared" si="45"/>
        <v>3.1678730536235182</v>
      </c>
      <c r="W146">
        <f t="shared" si="45"/>
        <v>2.7444807363552406</v>
      </c>
      <c r="X146">
        <f t="shared" si="45"/>
        <v>2.4182435185216917</v>
      </c>
      <c r="Y146">
        <f>Y147/R147</f>
        <v>2.217863752936819</v>
      </c>
    </row>
    <row r="147" spans="1:35" x14ac:dyDescent="0.2">
      <c r="B147">
        <v>-3547.2128889999999</v>
      </c>
      <c r="C147">
        <v>1.620177</v>
      </c>
      <c r="D147">
        <v>-3537.297294</v>
      </c>
      <c r="E147">
        <v>2.657848</v>
      </c>
      <c r="F147">
        <v>-3527.2165300000001</v>
      </c>
      <c r="G147">
        <v>4.182328</v>
      </c>
      <c r="H147">
        <v>-3515.9621299999999</v>
      </c>
      <c r="I147">
        <v>6.3655189999999999</v>
      </c>
      <c r="J147">
        <v>-3505.0466740000002</v>
      </c>
      <c r="K147">
        <v>7.3223140000000004</v>
      </c>
      <c r="M147" t="s">
        <v>74</v>
      </c>
      <c r="N147">
        <f>C170</f>
        <v>5.8082668416666647E-10</v>
      </c>
      <c r="O147">
        <f>E170</f>
        <v>9.0481010666666652E-10</v>
      </c>
      <c r="P147">
        <f>G170</f>
        <v>1.3684112566666663E-9</v>
      </c>
      <c r="Q147">
        <f>I170</f>
        <v>1.9094691241666666E-9</v>
      </c>
      <c r="R147">
        <f>K170</f>
        <v>2.517116298333333E-9</v>
      </c>
      <c r="T147" t="s">
        <v>74</v>
      </c>
      <c r="U147">
        <v>1.747718666666667E-9</v>
      </c>
      <c r="V147">
        <v>2.8663235555555542E-9</v>
      </c>
      <c r="W147">
        <v>3.7555783333333325E-9</v>
      </c>
      <c r="X147">
        <v>4.6175613333333326E-9</v>
      </c>
      <c r="Y147">
        <v>5.5826209999999994E-9</v>
      </c>
    </row>
    <row r="148" spans="1:35" x14ac:dyDescent="0.2">
      <c r="B148">
        <v>-3546.90625</v>
      </c>
      <c r="C148">
        <v>1.736157</v>
      </c>
      <c r="D148">
        <v>-3537.2177900000002</v>
      </c>
      <c r="E148">
        <v>2.6819609999999998</v>
      </c>
      <c r="F148">
        <v>-3526.889126</v>
      </c>
      <c r="G148">
        <v>3.9153769999999999</v>
      </c>
      <c r="H148">
        <v>-3516.154125</v>
      </c>
      <c r="I148">
        <v>6.2656710000000002</v>
      </c>
      <c r="J148">
        <v>-3505.2367039999999</v>
      </c>
      <c r="K148">
        <v>7.5950920000000002</v>
      </c>
      <c r="M148" t="s">
        <v>75</v>
      </c>
      <c r="N148">
        <f>B171</f>
        <v>1.4670044907502415</v>
      </c>
      <c r="O148">
        <f>D171</f>
        <v>1.4421761725006945</v>
      </c>
      <c r="P148">
        <f>F171</f>
        <v>1.57315999750017</v>
      </c>
      <c r="Q148">
        <f>H171</f>
        <v>1.5330646482489101</v>
      </c>
      <c r="R148">
        <f>J171</f>
        <v>1.6102593200012052</v>
      </c>
      <c r="T148" t="s">
        <v>75</v>
      </c>
      <c r="U148">
        <v>0.63242428494959313</v>
      </c>
      <c r="V148">
        <v>0.9444329985017248</v>
      </c>
      <c r="W148">
        <v>1.0316193034996104</v>
      </c>
      <c r="X148">
        <v>1.3111217644473072</v>
      </c>
      <c r="Y148">
        <v>1.4002098320015648</v>
      </c>
      <c r="AA148">
        <f>N148+U148</f>
        <v>2.0994287756998347</v>
      </c>
      <c r="AB148">
        <f t="shared" ref="AB148:AB149" si="46">O148+V148</f>
        <v>2.3866091710024193</v>
      </c>
      <c r="AC148">
        <f t="shared" ref="AC148:AC149" si="47">P148+W148</f>
        <v>2.6047793009997804</v>
      </c>
      <c r="AD148">
        <f t="shared" ref="AD148:AD149" si="48">Q148+X148</f>
        <v>2.8441864126962173</v>
      </c>
      <c r="AE148">
        <f t="shared" ref="AE148" si="49">R148+Y148</f>
        <v>3.01046915200277</v>
      </c>
    </row>
    <row r="149" spans="1:35" x14ac:dyDescent="0.2">
      <c r="B149">
        <v>-3547.2408810000002</v>
      </c>
      <c r="C149">
        <v>1.7002489999999999</v>
      </c>
      <c r="D149">
        <v>-3537.2248500000001</v>
      </c>
      <c r="E149">
        <v>2.8197350000000001</v>
      </c>
      <c r="F149">
        <v>-3526.904434</v>
      </c>
      <c r="G149">
        <v>3.865059</v>
      </c>
      <c r="H149">
        <v>-3516.5993020000001</v>
      </c>
      <c r="I149">
        <v>5.6381899999999998</v>
      </c>
      <c r="J149">
        <v>-3504.861551</v>
      </c>
      <c r="K149">
        <v>8.3790750000000003</v>
      </c>
      <c r="M149" t="s">
        <v>72</v>
      </c>
      <c r="N149">
        <v>3.8732500930471474E-2</v>
      </c>
      <c r="O149">
        <v>5.1665904570085443E-2</v>
      </c>
      <c r="P149">
        <v>7.0165261504591778E-2</v>
      </c>
      <c r="Q149">
        <v>5.8808413178221268E-2</v>
      </c>
      <c r="R149">
        <v>6.2775038942253031E-2</v>
      </c>
      <c r="T149" t="s">
        <v>72</v>
      </c>
      <c r="U149">
        <v>0.15442038084921</v>
      </c>
      <c r="V149">
        <v>0.13831140207440226</v>
      </c>
      <c r="W149">
        <v>0.18652631257390678</v>
      </c>
      <c r="X149">
        <v>0.19273010810225571</v>
      </c>
      <c r="Y149">
        <v>0.30026483837155415</v>
      </c>
      <c r="AA149">
        <f t="shared" ref="AA149" si="50">N149+U149</f>
        <v>0.19315288177968148</v>
      </c>
      <c r="AB149">
        <f t="shared" si="46"/>
        <v>0.1899773066444877</v>
      </c>
      <c r="AC149">
        <f t="shared" si="47"/>
        <v>0.25669157407849857</v>
      </c>
      <c r="AD149">
        <f t="shared" si="48"/>
        <v>0.25153852128047699</v>
      </c>
      <c r="AE149">
        <f>R149+Y149</f>
        <v>0.36303987731380716</v>
      </c>
    </row>
    <row r="150" spans="1:35" x14ac:dyDescent="0.2">
      <c r="B150">
        <v>-3547.6579259999999</v>
      </c>
      <c r="C150">
        <v>1.550459</v>
      </c>
      <c r="D150">
        <v>-3536.9743480000002</v>
      </c>
      <c r="E150">
        <v>2.5874299999999999</v>
      </c>
      <c r="F150">
        <v>-3527.0228320000001</v>
      </c>
      <c r="G150">
        <v>4.7722239999999996</v>
      </c>
      <c r="H150">
        <v>-3516.4674409999998</v>
      </c>
      <c r="I150">
        <v>5.4564779999999997</v>
      </c>
      <c r="J150">
        <v>-3504.6818509999998</v>
      </c>
      <c r="K150">
        <v>8.0286279999999994</v>
      </c>
      <c r="M150" t="s">
        <v>76</v>
      </c>
      <c r="N150">
        <v>14.505703642672296</v>
      </c>
      <c r="O150">
        <v>12.893958793486487</v>
      </c>
      <c r="P150">
        <v>11.604562914137839</v>
      </c>
      <c r="Q150">
        <v>10.549602649216217</v>
      </c>
      <c r="R150">
        <v>9.6704690951148642</v>
      </c>
      <c r="T150" t="s">
        <v>77</v>
      </c>
      <c r="U150">
        <v>14.505703642672296</v>
      </c>
      <c r="V150">
        <v>12.893958793486487</v>
      </c>
      <c r="W150">
        <v>11.604562914137839</v>
      </c>
      <c r="X150">
        <v>10.549602649216217</v>
      </c>
      <c r="Y150">
        <v>9.6704690951148642</v>
      </c>
    </row>
    <row r="151" spans="1:35" x14ac:dyDescent="0.2">
      <c r="B151">
        <v>-3547.130713</v>
      </c>
      <c r="C151">
        <v>1.7525759999999999</v>
      </c>
      <c r="D151">
        <v>-3537.04016</v>
      </c>
      <c r="E151">
        <v>2.754203</v>
      </c>
      <c r="F151">
        <v>-3527.064946</v>
      </c>
      <c r="G151">
        <v>4.1033499999999998</v>
      </c>
      <c r="H151">
        <v>-3516.4837849999999</v>
      </c>
      <c r="I151">
        <v>5.3379099999999999</v>
      </c>
      <c r="J151">
        <v>-3504.9397159999999</v>
      </c>
      <c r="K151">
        <v>7.9387980000000002</v>
      </c>
      <c r="N151">
        <f>N149+N12</f>
        <v>0.12014429281477743</v>
      </c>
      <c r="O151">
        <f>O149+N14</f>
        <v>0.13295011350003486</v>
      </c>
      <c r="P151">
        <f>P149+N16</f>
        <v>0.14915508667293015</v>
      </c>
      <c r="Q151">
        <f>Q149+N18</f>
        <v>0.16033277339640087</v>
      </c>
      <c r="R151">
        <f>R149+N20</f>
        <v>0.21457809586448073</v>
      </c>
      <c r="Z151" t="s">
        <v>80</v>
      </c>
      <c r="AA151">
        <f>EXP(-N148*N150)*N147+EXP(-U148*U150)*U147</f>
        <v>1.8128392683170832E-13</v>
      </c>
      <c r="AB151">
        <f t="shared" ref="AB151:AE151" si="51">EXP(-O148*O150)*O147+EXP(-V148*V150)*V147</f>
        <v>1.4754906693246108E-14</v>
      </c>
      <c r="AC151">
        <f t="shared" si="51"/>
        <v>2.3758518855890858E-14</v>
      </c>
      <c r="AD151">
        <f t="shared" si="51"/>
        <v>4.7235966095230203E-15</v>
      </c>
      <c r="AE151">
        <f t="shared" si="51"/>
        <v>7.7829991022367384E-15</v>
      </c>
    </row>
    <row r="152" spans="1:35" x14ac:dyDescent="0.2">
      <c r="A152" t="s">
        <v>71</v>
      </c>
      <c r="B152">
        <f t="shared" ref="B152:K152" si="52">AVERAGE(B142:B151)</f>
        <v>-3547.2127885</v>
      </c>
      <c r="C152">
        <f t="shared" si="52"/>
        <v>1.6823121000000001</v>
      </c>
      <c r="D152">
        <f t="shared" si="52"/>
        <v>-3537.2818496</v>
      </c>
      <c r="E152">
        <f t="shared" si="52"/>
        <v>2.6721747000000002</v>
      </c>
      <c r="F152">
        <f t="shared" si="52"/>
        <v>-3527.0937194999997</v>
      </c>
      <c r="G152">
        <f t="shared" si="52"/>
        <v>4.1556090000000001</v>
      </c>
      <c r="H152">
        <f t="shared" si="52"/>
        <v>-3516.3088742999998</v>
      </c>
      <c r="I152">
        <f t="shared" si="52"/>
        <v>5.8226991999999997</v>
      </c>
      <c r="J152">
        <f t="shared" si="52"/>
        <v>-3505.0013080000003</v>
      </c>
      <c r="K152">
        <f t="shared" si="52"/>
        <v>8.0053918999999993</v>
      </c>
    </row>
    <row r="153" spans="1:35" x14ac:dyDescent="0.2">
      <c r="A153" t="s">
        <v>48</v>
      </c>
      <c r="B153">
        <f>STDEV(B142:B151)/SQRT(COUNT(B142:B151))</f>
        <v>7.535773913234077E-2</v>
      </c>
      <c r="C153">
        <f>(C152-B65)*685*(10^-20)/(0.001*(2*10^6)*(10^-12))/6</f>
        <v>8.230231045833333E-10</v>
      </c>
      <c r="D153">
        <f>STDEV(D142:D151)/SQRT(COUNT(D142:D151))</f>
        <v>7.2250503668703114E-2</v>
      </c>
      <c r="E153">
        <f>(E152-D65)*685*(10^-20)/(0.001*(2*10^6)*(10^-12))/6</f>
        <v>1.3898021512500001E-9</v>
      </c>
      <c r="F153">
        <f>STDEV(F142:F151)/SQRT(COUNT(F142:F151))</f>
        <v>8.7577050299137149E-2</v>
      </c>
      <c r="G153">
        <f>(G152-F65)*685*(10^-20)/(0.001*(2*10^6)*(10^-12))/6</f>
        <v>2.2363049437499996E-9</v>
      </c>
      <c r="H153">
        <f>STDEV(H142:H151)/SQRT(COUNT(H142:H151))</f>
        <v>8.266522717928057E-2</v>
      </c>
      <c r="I153">
        <f>(I152-H65)*685*(10^-20)/(0.001*(2*10^6)*(10^-12))/6</f>
        <v>3.185413829166666E-9</v>
      </c>
      <c r="J153">
        <f>STDEV(J142:J151)/SQRT(COUNT(J142:J151))</f>
        <v>9.2597158060301415E-2</v>
      </c>
      <c r="K153">
        <f>(K152-J65)*685*(10^-20)/(0.001*(2*10^6)*(10^-12))/6</f>
        <v>4.4258577241666659E-9</v>
      </c>
    </row>
    <row r="154" spans="1:35" x14ac:dyDescent="0.2">
      <c r="B154">
        <f>B152-685/2000*M43</f>
        <v>0.96673965950049023</v>
      </c>
      <c r="D154">
        <f>D152-685/2000*M45</f>
        <v>1.1681207352507954</v>
      </c>
      <c r="F154">
        <f>F152-685/2000*M47</f>
        <v>1.2348185877503965</v>
      </c>
      <c r="H154">
        <f>H152-685/2000*M49</f>
        <v>1.3227565670003969</v>
      </c>
      <c r="J154">
        <f>J152-685/2000*M51</f>
        <v>1.303817452999283</v>
      </c>
    </row>
    <row r="155" spans="1:35" x14ac:dyDescent="0.2">
      <c r="A155" t="s">
        <v>72</v>
      </c>
      <c r="B155">
        <f>B153+N43</f>
        <v>0.12899313081649377</v>
      </c>
      <c r="D155">
        <f>D153+N45</f>
        <v>0.1644803938239246</v>
      </c>
      <c r="F155">
        <f>F153+N47</f>
        <v>0.22494934741182238</v>
      </c>
      <c r="H155">
        <f>H153+N49</f>
        <v>0.23719720413723333</v>
      </c>
      <c r="J155">
        <f>J153+N51</f>
        <v>0.2173904167023622</v>
      </c>
    </row>
    <row r="156" spans="1:35" x14ac:dyDescent="0.2">
      <c r="Z156" t="s">
        <v>34</v>
      </c>
    </row>
    <row r="157" spans="1:35" x14ac:dyDescent="0.2">
      <c r="B157">
        <v>800</v>
      </c>
      <c r="D157">
        <v>900</v>
      </c>
      <c r="F157">
        <v>1000</v>
      </c>
      <c r="H157">
        <v>1100</v>
      </c>
      <c r="J157">
        <v>1200</v>
      </c>
      <c r="N157">
        <v>800</v>
      </c>
      <c r="P157">
        <v>900</v>
      </c>
      <c r="R157">
        <v>1000</v>
      </c>
      <c r="T157">
        <v>1100</v>
      </c>
      <c r="V157">
        <v>1200</v>
      </c>
      <c r="Y157" t="s">
        <v>69</v>
      </c>
      <c r="Z157">
        <v>800</v>
      </c>
      <c r="AB157">
        <v>900</v>
      </c>
      <c r="AD157">
        <v>1000</v>
      </c>
      <c r="AF157">
        <v>1100</v>
      </c>
      <c r="AH157">
        <v>1200</v>
      </c>
    </row>
    <row r="158" spans="1:35" x14ac:dyDescent="0.2">
      <c r="A158" t="s">
        <v>15</v>
      </c>
      <c r="B158" t="s">
        <v>70</v>
      </c>
      <c r="C158" t="s">
        <v>8</v>
      </c>
      <c r="D158" t="s">
        <v>70</v>
      </c>
      <c r="E158" t="s">
        <v>8</v>
      </c>
      <c r="F158" t="s">
        <v>70</v>
      </c>
      <c r="G158" t="s">
        <v>8</v>
      </c>
      <c r="H158" t="s">
        <v>70</v>
      </c>
      <c r="I158" t="s">
        <v>8</v>
      </c>
      <c r="J158" t="s">
        <v>70</v>
      </c>
      <c r="K158" t="s">
        <v>8</v>
      </c>
      <c r="M158" t="s">
        <v>25</v>
      </c>
      <c r="N158" t="s">
        <v>70</v>
      </c>
      <c r="O158" t="s">
        <v>8</v>
      </c>
      <c r="P158" t="s">
        <v>70</v>
      </c>
      <c r="Q158" t="s">
        <v>8</v>
      </c>
      <c r="R158" t="s">
        <v>70</v>
      </c>
      <c r="S158" t="s">
        <v>8</v>
      </c>
      <c r="T158" t="s">
        <v>70</v>
      </c>
      <c r="U158" t="s">
        <v>8</v>
      </c>
      <c r="V158" t="s">
        <v>70</v>
      </c>
      <c r="W158" t="s">
        <v>8</v>
      </c>
      <c r="Z158" t="s">
        <v>70</v>
      </c>
      <c r="AA158" t="s">
        <v>8</v>
      </c>
      <c r="AB158" t="s">
        <v>70</v>
      </c>
      <c r="AC158" t="s">
        <v>8</v>
      </c>
      <c r="AD158" t="s">
        <v>70</v>
      </c>
      <c r="AE158" t="s">
        <v>8</v>
      </c>
      <c r="AF158" t="s">
        <v>70</v>
      </c>
      <c r="AG158" t="s">
        <v>8</v>
      </c>
      <c r="AH158" t="s">
        <v>70</v>
      </c>
      <c r="AI158" t="s">
        <v>8</v>
      </c>
    </row>
    <row r="159" spans="1:35" x14ac:dyDescent="0.2">
      <c r="A159" t="s">
        <v>91</v>
      </c>
      <c r="B159">
        <v>-3640.2858059999999</v>
      </c>
      <c r="C159">
        <v>0.66955299999999995</v>
      </c>
      <c r="D159">
        <v>-3631.9117339999998</v>
      </c>
      <c r="E159">
        <v>1.0075449999999999</v>
      </c>
      <c r="F159">
        <v>-3622.844114</v>
      </c>
      <c r="G159">
        <v>1.36382</v>
      </c>
      <c r="H159">
        <v>-3613.8635260000001</v>
      </c>
      <c r="I159">
        <v>1.7321740000000001</v>
      </c>
      <c r="J159">
        <v>-3603.6294029999999</v>
      </c>
      <c r="K159">
        <v>2.4437329999999999</v>
      </c>
      <c r="M159" t="s">
        <v>91</v>
      </c>
      <c r="N159">
        <v>-3546.9976150000002</v>
      </c>
      <c r="O159">
        <v>1.8688389999999999</v>
      </c>
      <c r="P159">
        <v>-3537.5158249999999</v>
      </c>
      <c r="Q159">
        <v>2.5741200000000002</v>
      </c>
      <c r="R159">
        <v>-3526.8778710000001</v>
      </c>
      <c r="S159">
        <v>4.5542629999999997</v>
      </c>
      <c r="T159">
        <v>-3516.5150619999999</v>
      </c>
      <c r="U159">
        <v>5.999714</v>
      </c>
      <c r="V159">
        <v>-3505.6208529999999</v>
      </c>
      <c r="W159">
        <v>8.1622090000000007</v>
      </c>
      <c r="Z159">
        <v>-2802.6760680000002</v>
      </c>
      <c r="AA159">
        <v>1.1148149999999999</v>
      </c>
      <c r="AB159">
        <v>-2793.7441899999999</v>
      </c>
      <c r="AC159">
        <v>2.5681280000000002</v>
      </c>
      <c r="AD159">
        <v>-2784.3255399999998</v>
      </c>
      <c r="AE159">
        <v>4.2277529999999999</v>
      </c>
      <c r="AF159">
        <v>-2773.7952789999999</v>
      </c>
      <c r="AG159">
        <v>5.8003590000000003</v>
      </c>
      <c r="AH159">
        <v>-2762.6683069999999</v>
      </c>
      <c r="AI159">
        <v>8.4073460000000004</v>
      </c>
    </row>
    <row r="160" spans="1:35" x14ac:dyDescent="0.2">
      <c r="B160">
        <v>-3640.0624779999998</v>
      </c>
      <c r="C160">
        <v>0.71801000000000004</v>
      </c>
      <c r="D160">
        <v>-3632.0206800000001</v>
      </c>
      <c r="E160">
        <v>0.92534300000000003</v>
      </c>
      <c r="F160">
        <v>-3622.7878609999998</v>
      </c>
      <c r="G160">
        <v>1.4411689999999999</v>
      </c>
      <c r="H160">
        <v>-3613.3653239999999</v>
      </c>
      <c r="I160">
        <v>1.7025589999999999</v>
      </c>
      <c r="J160">
        <v>-3603.5380829999999</v>
      </c>
      <c r="K160">
        <v>2.477236</v>
      </c>
      <c r="N160">
        <v>-3547.3431420000002</v>
      </c>
      <c r="O160">
        <v>1.571936</v>
      </c>
      <c r="P160">
        <v>-3537.7245210000001</v>
      </c>
      <c r="Q160">
        <v>2.4273920000000002</v>
      </c>
      <c r="R160">
        <v>-3527.16759</v>
      </c>
      <c r="S160">
        <v>4.1588329999999996</v>
      </c>
      <c r="T160">
        <v>-3516.0091400000001</v>
      </c>
      <c r="U160">
        <v>5.4419570000000004</v>
      </c>
      <c r="V160">
        <v>-3505.008844</v>
      </c>
      <c r="W160">
        <v>8.0278559999999999</v>
      </c>
      <c r="Z160">
        <v>-2803.129496</v>
      </c>
      <c r="AA160">
        <v>1.2137100000000001</v>
      </c>
      <c r="AB160">
        <v>-2793.3925899999999</v>
      </c>
      <c r="AC160">
        <v>1.9999340000000001</v>
      </c>
      <c r="AD160">
        <v>-2784.1881429999999</v>
      </c>
      <c r="AE160">
        <v>4.4048350000000003</v>
      </c>
      <c r="AF160">
        <v>-2774.1857479999999</v>
      </c>
      <c r="AG160">
        <v>5.5456089999999998</v>
      </c>
      <c r="AH160">
        <v>-2763.209163</v>
      </c>
      <c r="AI160">
        <v>7.2375530000000001</v>
      </c>
    </row>
    <row r="161" spans="1:36" x14ac:dyDescent="0.2">
      <c r="B161">
        <v>-3640.2691789999999</v>
      </c>
      <c r="C161">
        <v>0.696075</v>
      </c>
      <c r="D161">
        <v>-3631.656821</v>
      </c>
      <c r="E161">
        <v>1.0540449999999999</v>
      </c>
      <c r="F161">
        <v>-3622.9827359999999</v>
      </c>
      <c r="G161">
        <v>1.4077409999999999</v>
      </c>
      <c r="H161">
        <v>-3613.319673</v>
      </c>
      <c r="I161">
        <v>1.916153</v>
      </c>
      <c r="J161">
        <v>-3603.3846450000001</v>
      </c>
      <c r="K161">
        <v>2.1391960000000001</v>
      </c>
      <c r="N161">
        <v>-3547.0284029999998</v>
      </c>
      <c r="O161">
        <v>1.8209550000000001</v>
      </c>
      <c r="P161">
        <v>-3537.0848249999999</v>
      </c>
      <c r="Q161">
        <v>2.8032469999999998</v>
      </c>
      <c r="R161">
        <v>-3527.6482740000001</v>
      </c>
      <c r="S161">
        <v>4.1776030000000004</v>
      </c>
      <c r="T161">
        <v>-3515.9647319999999</v>
      </c>
      <c r="U161">
        <v>5.7151620000000003</v>
      </c>
      <c r="V161">
        <v>-3504.7705620000002</v>
      </c>
      <c r="W161">
        <v>7.3560489999999996</v>
      </c>
      <c r="Z161">
        <v>-2802.6208160000001</v>
      </c>
      <c r="AA161">
        <v>1.2562800000000001</v>
      </c>
      <c r="AB161">
        <v>-2793.5835590000002</v>
      </c>
      <c r="AC161">
        <v>2.4563609999999998</v>
      </c>
      <c r="AD161">
        <v>-2783.8958280000002</v>
      </c>
      <c r="AE161">
        <v>4.373507</v>
      </c>
      <c r="AF161">
        <v>-2773.704287</v>
      </c>
      <c r="AG161">
        <v>6.1743730000000001</v>
      </c>
      <c r="AH161">
        <v>-2762.875078</v>
      </c>
      <c r="AI161">
        <v>8.0390809999999995</v>
      </c>
    </row>
    <row r="162" spans="1:36" x14ac:dyDescent="0.2">
      <c r="B162">
        <v>-3640.2931210000002</v>
      </c>
      <c r="C162">
        <v>0.52057100000000001</v>
      </c>
      <c r="D162">
        <v>-3631.6672859999999</v>
      </c>
      <c r="E162">
        <v>0.86801499999999998</v>
      </c>
      <c r="F162">
        <v>-3622.898377</v>
      </c>
      <c r="G162">
        <v>1.4614510000000001</v>
      </c>
      <c r="H162">
        <v>-3613.429975</v>
      </c>
      <c r="I162">
        <v>1.863699</v>
      </c>
      <c r="J162">
        <v>-3603.4808269999999</v>
      </c>
      <c r="K162">
        <v>2.220926</v>
      </c>
      <c r="N162">
        <v>-3547.5254239999999</v>
      </c>
      <c r="O162">
        <v>1.429179</v>
      </c>
      <c r="P162">
        <v>-3537.4162609999998</v>
      </c>
      <c r="Q162">
        <v>2.7898179999999999</v>
      </c>
      <c r="R162">
        <v>-3526.7327959999998</v>
      </c>
      <c r="S162">
        <v>3.6019369999999999</v>
      </c>
      <c r="T162">
        <v>-3516.343496</v>
      </c>
      <c r="U162">
        <v>6.348821</v>
      </c>
      <c r="V162">
        <v>-3504.6590759999999</v>
      </c>
      <c r="W162">
        <v>8.4749689999999998</v>
      </c>
      <c r="Z162">
        <v>-2802.6488210000002</v>
      </c>
      <c r="AA162">
        <v>1.2886979999999999</v>
      </c>
      <c r="AB162">
        <v>-2793.6766469999998</v>
      </c>
      <c r="AC162">
        <v>2.3704100000000001</v>
      </c>
      <c r="AD162">
        <v>-2783.9120400000002</v>
      </c>
      <c r="AE162">
        <v>4.1943830000000002</v>
      </c>
      <c r="AF162">
        <v>-2773.3158979999998</v>
      </c>
      <c r="AG162">
        <v>5.9256589999999996</v>
      </c>
      <c r="AH162">
        <v>-2763.3559559999999</v>
      </c>
      <c r="AI162">
        <v>7.2258889999999996</v>
      </c>
    </row>
    <row r="163" spans="1:36" x14ac:dyDescent="0.2">
      <c r="B163">
        <v>-3640.3944019999999</v>
      </c>
      <c r="C163">
        <v>0.52800999999999998</v>
      </c>
      <c r="D163">
        <v>-3631.7086079999999</v>
      </c>
      <c r="E163">
        <v>0.91412700000000002</v>
      </c>
      <c r="F163">
        <v>-3622.4462899999999</v>
      </c>
      <c r="G163">
        <v>1.370395</v>
      </c>
      <c r="H163">
        <v>-3613.6792300000002</v>
      </c>
      <c r="I163">
        <v>1.9433469999999999</v>
      </c>
      <c r="J163">
        <v>-3603.3875379999999</v>
      </c>
      <c r="K163">
        <v>2.3695010000000001</v>
      </c>
      <c r="N163">
        <v>-3547.0846419999998</v>
      </c>
      <c r="O163">
        <v>1.772594</v>
      </c>
      <c r="P163">
        <v>-3537.3226220000001</v>
      </c>
      <c r="Q163">
        <v>2.6259929999999998</v>
      </c>
      <c r="R163">
        <v>-3527.4127960000001</v>
      </c>
      <c r="S163">
        <v>4.2251159999999999</v>
      </c>
      <c r="T163">
        <v>-3516.5895300000002</v>
      </c>
      <c r="U163">
        <v>5.6575699999999998</v>
      </c>
      <c r="V163">
        <v>-3505.1872490000001</v>
      </c>
      <c r="W163">
        <v>8.768929</v>
      </c>
      <c r="Z163">
        <v>-2802.4487490000001</v>
      </c>
      <c r="AA163">
        <v>1.325534</v>
      </c>
      <c r="AB163">
        <v>-2793.6583169999999</v>
      </c>
      <c r="AC163">
        <v>2.4298120000000001</v>
      </c>
      <c r="AD163">
        <v>-2783.7286640000002</v>
      </c>
      <c r="AE163">
        <v>4.1361220000000003</v>
      </c>
      <c r="AF163">
        <v>-2773.4512970000001</v>
      </c>
      <c r="AG163">
        <v>5.1284260000000002</v>
      </c>
      <c r="AH163">
        <v>-2763.2710910000001</v>
      </c>
      <c r="AI163">
        <v>6.9157190000000002</v>
      </c>
    </row>
    <row r="164" spans="1:36" x14ac:dyDescent="0.2">
      <c r="B164">
        <v>-3640.1779529999999</v>
      </c>
      <c r="C164">
        <v>0.91974100000000003</v>
      </c>
      <c r="D164">
        <v>-3631.547043</v>
      </c>
      <c r="E164">
        <v>1.155942</v>
      </c>
      <c r="F164">
        <v>-3622.3610859999999</v>
      </c>
      <c r="G164">
        <v>1.229714</v>
      </c>
      <c r="H164">
        <v>-3613.4478960000001</v>
      </c>
      <c r="I164">
        <v>1.6828540000000001</v>
      </c>
      <c r="J164">
        <v>-3603.100457</v>
      </c>
      <c r="K164">
        <v>2.7827679999999999</v>
      </c>
      <c r="N164">
        <v>-3547.2128889999999</v>
      </c>
      <c r="O164">
        <v>1.620177</v>
      </c>
      <c r="P164">
        <v>-3537.297294</v>
      </c>
      <c r="Q164">
        <v>2.657848</v>
      </c>
      <c r="R164">
        <v>-3527.2165300000001</v>
      </c>
      <c r="S164">
        <v>4.182328</v>
      </c>
      <c r="T164">
        <v>-3515.9621299999999</v>
      </c>
      <c r="U164">
        <v>6.3655189999999999</v>
      </c>
      <c r="V164">
        <v>-3505.0466740000002</v>
      </c>
      <c r="W164">
        <v>7.3223140000000004</v>
      </c>
      <c r="Z164">
        <v>-2802.3762510000001</v>
      </c>
      <c r="AA164">
        <v>1.5555950000000001</v>
      </c>
      <c r="AB164">
        <v>-2793.522316</v>
      </c>
      <c r="AC164">
        <v>2.4023560000000002</v>
      </c>
      <c r="AD164">
        <v>-2784.0607150000001</v>
      </c>
      <c r="AE164">
        <v>3.8856470000000001</v>
      </c>
      <c r="AF164">
        <v>-2773.6688250000002</v>
      </c>
      <c r="AG164">
        <v>5.6151119999999999</v>
      </c>
      <c r="AH164">
        <v>-2763.0417849999999</v>
      </c>
      <c r="AI164">
        <v>7.6213990000000003</v>
      </c>
    </row>
    <row r="165" spans="1:36" x14ac:dyDescent="0.2">
      <c r="B165">
        <v>-3640.102402</v>
      </c>
      <c r="C165">
        <v>0.70584199999999997</v>
      </c>
      <c r="D165">
        <v>-3631.7945719999998</v>
      </c>
      <c r="E165">
        <v>0.973244</v>
      </c>
      <c r="F165">
        <v>-3622.9687520000002</v>
      </c>
      <c r="G165">
        <v>1.436194</v>
      </c>
      <c r="H165">
        <v>-3613.350508</v>
      </c>
      <c r="I165">
        <v>1.977943</v>
      </c>
      <c r="J165">
        <v>-3603.3710000000001</v>
      </c>
      <c r="K165">
        <v>2.5110749999999999</v>
      </c>
      <c r="N165">
        <v>-3546.90625</v>
      </c>
      <c r="O165">
        <v>1.736157</v>
      </c>
      <c r="P165">
        <v>-3537.2177900000002</v>
      </c>
      <c r="Q165">
        <v>2.6819609999999998</v>
      </c>
      <c r="R165">
        <v>-3526.889126</v>
      </c>
      <c r="S165">
        <v>3.9153769999999999</v>
      </c>
      <c r="T165">
        <v>-3516.154125</v>
      </c>
      <c r="U165">
        <v>6.2656710000000002</v>
      </c>
      <c r="V165">
        <v>-3505.2367039999999</v>
      </c>
      <c r="W165">
        <v>7.5950920000000002</v>
      </c>
      <c r="Z165">
        <v>-2802.6362079999999</v>
      </c>
      <c r="AA165">
        <v>1.5000089999999999</v>
      </c>
      <c r="AB165">
        <v>-2793.6732929999998</v>
      </c>
      <c r="AC165">
        <v>2.3986529999999999</v>
      </c>
      <c r="AD165">
        <v>-2784.0624939999998</v>
      </c>
      <c r="AE165">
        <v>3.6570879999999999</v>
      </c>
      <c r="AF165">
        <v>-2773.9023809999999</v>
      </c>
      <c r="AG165">
        <v>5.522958</v>
      </c>
      <c r="AH165">
        <v>-2762.985721</v>
      </c>
      <c r="AI165">
        <v>7.2975630000000002</v>
      </c>
    </row>
    <row r="166" spans="1:36" x14ac:dyDescent="0.2">
      <c r="B166">
        <v>-3639.984786</v>
      </c>
      <c r="C166">
        <v>0.78478800000000004</v>
      </c>
      <c r="D166">
        <v>-3631.9760160000001</v>
      </c>
      <c r="E166">
        <v>0.89987799999999996</v>
      </c>
      <c r="F166">
        <v>-3622.5806579999999</v>
      </c>
      <c r="G166">
        <v>1.317642</v>
      </c>
      <c r="H166">
        <v>-3613.2483900000002</v>
      </c>
      <c r="I166">
        <v>1.78653</v>
      </c>
      <c r="J166">
        <v>-3603.8148489999999</v>
      </c>
      <c r="K166">
        <v>2.2796439999999998</v>
      </c>
      <c r="N166">
        <v>-3547.2408810000002</v>
      </c>
      <c r="O166">
        <v>1.7002489999999999</v>
      </c>
      <c r="P166">
        <v>-3537.2248500000001</v>
      </c>
      <c r="Q166">
        <v>2.8197350000000001</v>
      </c>
      <c r="R166">
        <v>-3526.904434</v>
      </c>
      <c r="S166">
        <v>3.865059</v>
      </c>
      <c r="T166">
        <v>-3516.5993020000001</v>
      </c>
      <c r="U166">
        <v>5.6381899999999998</v>
      </c>
      <c r="V166">
        <v>-3504.861551</v>
      </c>
      <c r="W166">
        <v>8.3790750000000003</v>
      </c>
      <c r="Z166">
        <v>-2802.7331899999999</v>
      </c>
      <c r="AA166">
        <v>1.201819</v>
      </c>
      <c r="AB166">
        <v>-2793.4710220000002</v>
      </c>
      <c r="AC166" s="1">
        <v>2.2950759999999999</v>
      </c>
      <c r="AD166">
        <v>-2784.0846339999998</v>
      </c>
      <c r="AE166">
        <v>4.1310260000000003</v>
      </c>
      <c r="AF166">
        <v>-2774.2487660000002</v>
      </c>
      <c r="AG166">
        <v>5.6886289999999997</v>
      </c>
      <c r="AH166">
        <v>-2763.1336240000001</v>
      </c>
      <c r="AI166">
        <v>8.4154420000000005</v>
      </c>
    </row>
    <row r="167" spans="1:36" x14ac:dyDescent="0.2">
      <c r="B167">
        <v>-3640.2277389999999</v>
      </c>
      <c r="C167">
        <v>0.66625100000000004</v>
      </c>
      <c r="D167">
        <v>-3631.8512479999999</v>
      </c>
      <c r="E167">
        <v>0.76967600000000003</v>
      </c>
      <c r="F167">
        <v>-3622.7929399999998</v>
      </c>
      <c r="G167">
        <v>1.2457560000000001</v>
      </c>
      <c r="H167">
        <v>-3613.4598019999999</v>
      </c>
      <c r="I167">
        <v>1.762124</v>
      </c>
      <c r="J167">
        <v>-3603.2472320000002</v>
      </c>
      <c r="K167">
        <v>2.1435919999999999</v>
      </c>
      <c r="N167">
        <v>-3547.6579259999999</v>
      </c>
      <c r="O167">
        <v>1.550459</v>
      </c>
      <c r="P167">
        <v>-3536.9743480000002</v>
      </c>
      <c r="Q167">
        <v>2.5874299999999999</v>
      </c>
      <c r="R167">
        <v>-3527.0228320000001</v>
      </c>
      <c r="S167">
        <v>4.7722239999999996</v>
      </c>
      <c r="T167">
        <v>-3516.4674409999998</v>
      </c>
      <c r="U167">
        <v>5.4564779999999997</v>
      </c>
      <c r="V167">
        <v>-3504.6818509999998</v>
      </c>
      <c r="W167">
        <v>8.0286279999999994</v>
      </c>
      <c r="Z167">
        <v>-2802.7248719999998</v>
      </c>
      <c r="AA167">
        <v>1.344797</v>
      </c>
      <c r="AB167">
        <v>-2793.892445</v>
      </c>
      <c r="AC167">
        <v>2.47695</v>
      </c>
      <c r="AD167">
        <v>-2783.671742</v>
      </c>
      <c r="AE167">
        <v>3.9984929999999999</v>
      </c>
      <c r="AF167">
        <v>-2773.5657940000001</v>
      </c>
      <c r="AG167">
        <v>5.4637200000000004</v>
      </c>
      <c r="AH167">
        <v>-2762.9403269999998</v>
      </c>
      <c r="AI167">
        <v>7.3587119999999997</v>
      </c>
    </row>
    <row r="168" spans="1:36" x14ac:dyDescent="0.2">
      <c r="B168">
        <v>-3640.178766</v>
      </c>
      <c r="C168">
        <v>0.50126300000000001</v>
      </c>
      <c r="D168">
        <v>-3631.5941950000001</v>
      </c>
      <c r="E168">
        <v>0.951519</v>
      </c>
      <c r="F168">
        <v>-3622.9391700000001</v>
      </c>
      <c r="G168">
        <v>1.513603</v>
      </c>
      <c r="H168">
        <v>-3613.5872410000002</v>
      </c>
      <c r="I168">
        <v>2.2552780000000001</v>
      </c>
      <c r="J168">
        <v>-3603.3729320000002</v>
      </c>
      <c r="K168">
        <v>2.8795269999999999</v>
      </c>
      <c r="N168">
        <v>-3547.130713</v>
      </c>
      <c r="O168">
        <v>1.7525759999999999</v>
      </c>
      <c r="P168">
        <v>-3537.04016</v>
      </c>
      <c r="Q168">
        <v>2.754203</v>
      </c>
      <c r="R168">
        <v>-3527.064946</v>
      </c>
      <c r="S168">
        <v>4.1033499999999998</v>
      </c>
      <c r="T168">
        <v>-3516.4837849999999</v>
      </c>
      <c r="U168">
        <v>5.3379099999999999</v>
      </c>
      <c r="V168">
        <v>-3504.9397159999999</v>
      </c>
      <c r="W168">
        <v>7.9387980000000002</v>
      </c>
      <c r="Z168">
        <v>-2802.6105520000001</v>
      </c>
      <c r="AA168">
        <v>1.397945</v>
      </c>
      <c r="AB168">
        <v>-2793.6958589999999</v>
      </c>
      <c r="AC168">
        <v>2.5276390000000002</v>
      </c>
      <c r="AD168">
        <v>-2784.078927</v>
      </c>
      <c r="AE168">
        <v>4.3031300000000003</v>
      </c>
      <c r="AF168">
        <v>-2773.9264440000002</v>
      </c>
      <c r="AG168">
        <v>6.0658029999999998</v>
      </c>
      <c r="AH168">
        <v>-2763.1461939999999</v>
      </c>
      <c r="AI168">
        <v>7.9326879999999997</v>
      </c>
    </row>
    <row r="169" spans="1:36" x14ac:dyDescent="0.2">
      <c r="A169" t="s">
        <v>71</v>
      </c>
      <c r="B169">
        <f t="shared" ref="B169:K169" si="53">AVERAGE(B159:B168)</f>
        <v>-3640.1976631999996</v>
      </c>
      <c r="C169">
        <f t="shared" si="53"/>
        <v>0.6710103999999999</v>
      </c>
      <c r="D169">
        <f t="shared" si="53"/>
        <v>-3631.7728202999997</v>
      </c>
      <c r="E169">
        <f>AVERAGE(E159:E168)</f>
        <v>0.95193339999999993</v>
      </c>
      <c r="F169">
        <f t="shared" si="53"/>
        <v>-3622.7601984000003</v>
      </c>
      <c r="G169">
        <f t="shared" si="53"/>
        <v>1.3787484999999999</v>
      </c>
      <c r="H169">
        <f t="shared" si="53"/>
        <v>-3613.4751565000006</v>
      </c>
      <c r="I169">
        <f t="shared" si="53"/>
        <v>1.8622661</v>
      </c>
      <c r="J169">
        <f t="shared" si="53"/>
        <v>-3603.4326965999999</v>
      </c>
      <c r="K169">
        <f t="shared" si="53"/>
        <v>2.4247198000000001</v>
      </c>
      <c r="M169" t="s">
        <v>71</v>
      </c>
      <c r="N169">
        <f t="shared" ref="N169:W169" si="54">AVERAGE(N159:N168)</f>
        <v>-3547.2127885</v>
      </c>
      <c r="O169">
        <f t="shared" si="54"/>
        <v>1.6823121000000001</v>
      </c>
      <c r="P169">
        <f t="shared" si="54"/>
        <v>-3537.2818496</v>
      </c>
      <c r="Q169">
        <f t="shared" si="54"/>
        <v>2.6721747000000002</v>
      </c>
      <c r="R169">
        <f t="shared" si="54"/>
        <v>-3527.0937194999997</v>
      </c>
      <c r="S169">
        <f t="shared" si="54"/>
        <v>4.1556090000000001</v>
      </c>
      <c r="T169">
        <f t="shared" si="54"/>
        <v>-3516.3088742999998</v>
      </c>
      <c r="U169">
        <f t="shared" si="54"/>
        <v>5.8226991999999997</v>
      </c>
      <c r="V169">
        <f t="shared" si="54"/>
        <v>-3505.0013080000003</v>
      </c>
      <c r="W169">
        <f t="shared" si="54"/>
        <v>8.0053918999999993</v>
      </c>
      <c r="Y169" t="s">
        <v>71</v>
      </c>
      <c r="Z169">
        <f t="shared" ref="Z169:AH169" si="55">AVERAGE(Z159:Z168)</f>
        <v>-2802.6605023000002</v>
      </c>
      <c r="AA169">
        <f t="shared" si="55"/>
        <v>1.3199202000000001</v>
      </c>
      <c r="AB169">
        <f t="shared" si="55"/>
        <v>-2793.6310238000001</v>
      </c>
      <c r="AC169">
        <f t="shared" si="55"/>
        <v>2.3925318999999998</v>
      </c>
      <c r="AD169">
        <f t="shared" si="55"/>
        <v>-2784.0008726999995</v>
      </c>
      <c r="AE169">
        <f t="shared" si="55"/>
        <v>4.1311984000000006</v>
      </c>
      <c r="AF169">
        <f t="shared" si="55"/>
        <v>-2773.7764719000002</v>
      </c>
      <c r="AG169">
        <f t="shared" si="55"/>
        <v>5.6930648000000001</v>
      </c>
      <c r="AH169">
        <f t="shared" si="55"/>
        <v>-2763.0627245999999</v>
      </c>
      <c r="AI169">
        <f>AVERAGE(AI159:AI168)</f>
        <v>7.6451391999999982</v>
      </c>
    </row>
    <row r="170" spans="1:36" x14ac:dyDescent="0.2">
      <c r="A170" t="s">
        <v>48</v>
      </c>
      <c r="B170">
        <f>STDEV(B159:B168)/SQRT(COUNT(B159:B168))</f>
        <v>3.8732500930471474E-2</v>
      </c>
      <c r="C170">
        <f>(C169-C188)*685*(10^-20)/(0.001*(10^6)*(10^-12))/6</f>
        <v>5.8082668416666647E-10</v>
      </c>
      <c r="D170">
        <f>STDEV(D159:D168)/SQRT(COUNT(D159:D168))</f>
        <v>5.1665904570085443E-2</v>
      </c>
      <c r="E170">
        <f>(E169-E188)*685*(10^-20)/(0.001*(10^6)*(10^-12))/6</f>
        <v>9.0481010666666652E-10</v>
      </c>
      <c r="F170">
        <f>STDEV(F159:F168)/SQRT(COUNT(F159:F168))</f>
        <v>7.0165261504591778E-2</v>
      </c>
      <c r="G170">
        <f>(G169-G188)*685*(10^-20)/(0.001*(10^6)*(10^-12))/6</f>
        <v>1.3684112566666663E-9</v>
      </c>
      <c r="H170">
        <f>STDEV(H159:H168)/SQRT(COUNT(H159:H168))</f>
        <v>5.8808413178221268E-2</v>
      </c>
      <c r="I170">
        <f>(I169-I188)*685*(10^-20)/(0.001*(10^6)*(10^-12))/6</f>
        <v>1.9094691241666666E-9</v>
      </c>
      <c r="J170">
        <f>STDEV(J159:J168)/SQRT(COUNT(J159:J168))</f>
        <v>6.2775038942253031E-2</v>
      </c>
      <c r="K170">
        <f>(K169-K188)*685*(10^-20)/(0.001*(10^6)*(10^-12))/6</f>
        <v>2.517116298333333E-9</v>
      </c>
      <c r="M170" t="s">
        <v>48</v>
      </c>
      <c r="N170">
        <f>STDEV(N159:N168)/SQRT(COUNT(N159:N168))</f>
        <v>7.535773913234077E-2</v>
      </c>
      <c r="O170">
        <f>(O169-O188)*685*(10^-20)/(0.001*(2*10^6)*(10^-12))/6</f>
        <v>8.5626815250000007E-10</v>
      </c>
      <c r="P170">
        <f>STDEV(P159:P168)/SQRT(COUNT(P159:P168))</f>
        <v>7.2250503668703114E-2</v>
      </c>
      <c r="Q170">
        <f>(Q169-Q188)*685*(10^-20)/(0.001*(2*10^6)*(10^-12))/6</f>
        <v>1.42042439125E-9</v>
      </c>
      <c r="R170">
        <f>STDEV(R159:R168)/SQRT(COUNT(R159:R168))</f>
        <v>8.7577050299137149E-2</v>
      </c>
      <c r="S170">
        <f>(S169-S188)*685*(10^-20)/(0.001*(2*10^6)*(10^-12))/6</f>
        <v>2.2621191116666664E-9</v>
      </c>
      <c r="T170">
        <f>STDEV(T159:T168)/SQRT(COUNT(T159:T168))</f>
        <v>8.266522717928057E-2</v>
      </c>
      <c r="U170">
        <f>(U169-U188)*685*(10^-20)/(0.001*(2*10^6)*(10^-12))/6</f>
        <v>3.2028076916666658E-9</v>
      </c>
      <c r="V170">
        <f>STDEV(V159:V168)/SQRT(COUNT(V159:V168))</f>
        <v>9.2597158060301415E-2</v>
      </c>
      <c r="W170">
        <f>(W169-W188)*685*(10^-20)/(0.001*(2*10^6)*(10^-12))/6</f>
        <v>4.4409647712499988E-9</v>
      </c>
      <c r="Y170" t="s">
        <v>48</v>
      </c>
      <c r="Z170">
        <f>STDEV(Z159:Z168)/SQRT(COUNT(Z159:Z168))</f>
        <v>6.3250762308794797E-2</v>
      </c>
      <c r="AA170">
        <f>(AA169-AA188)*685*(10^-20)/(0.001*(2*10^6)*(10^-12))/6</f>
        <v>6.7760234249999985E-10</v>
      </c>
      <c r="AB170">
        <f>STDEV(AB159:AB168)/SQRT(COUNT(AB159:AB168))</f>
        <v>4.5519942175497152E-2</v>
      </c>
      <c r="AC170">
        <f>(AC169-AC188)*685*(10^-20)/(0.001*(2*10^6)*(10^-12))/6</f>
        <v>1.2846376974999997E-9</v>
      </c>
      <c r="AD170">
        <f>STDEV(AD159:AD168)/SQRT(COUNT(AD159:AD168))</f>
        <v>6.3448664042122474E-2</v>
      </c>
      <c r="AE170">
        <f>(AE169-AE188)*685*(10^-20)/(0.001*(2*10^6)*(10^-12))/6</f>
        <v>2.2625259445833335E-9</v>
      </c>
      <c r="AF170">
        <f>STDEV(AF159:AF168)/SQRT(COUNT(AF159:AF168))</f>
        <v>9.4769768242420657E-2</v>
      </c>
      <c r="AG170">
        <f>(AG169-AG188)*685*(10^-20)/(0.001*(2*10^6)*(10^-12))/6</f>
        <v>3.1455060145833334E-9</v>
      </c>
      <c r="AH170">
        <f>STDEV(AH159:AH168)/SQRT(COUNT(AH159:AH168))</f>
        <v>6.4546707005638651E-2</v>
      </c>
      <c r="AI170">
        <f>(AI169-AI188)*685*(10^-20)/(0.001*(2*10^6)*(10^-12))/6</f>
        <v>4.2480459379166647E-9</v>
      </c>
    </row>
    <row r="171" spans="1:36" x14ac:dyDescent="0.2">
      <c r="A171" t="s">
        <v>75</v>
      </c>
      <c r="B171">
        <f>B169-685/2000*M12</f>
        <v>1.4670044907502415</v>
      </c>
      <c r="D171">
        <f>D169-685/2000*M14</f>
        <v>1.4421761725006945</v>
      </c>
      <c r="F171">
        <f>F169-685/2000*M16</f>
        <v>1.57315999750017</v>
      </c>
      <c r="H171">
        <f>H169-685/2000*M18</f>
        <v>1.5330646482489101</v>
      </c>
      <c r="J171">
        <f>J169-685/2000*M20</f>
        <v>1.6102593200012052</v>
      </c>
      <c r="N171">
        <f>N167-685/686*N188</f>
        <v>0.84281155247799688</v>
      </c>
      <c r="P171">
        <f>P167-685/686*P188</f>
        <v>1.6569871392125606</v>
      </c>
      <c r="R171">
        <f>R167-685/686*R188</f>
        <v>1.5017451304665883</v>
      </c>
      <c r="T171">
        <f>T167-685/686*T188</f>
        <v>1.3555226239068361</v>
      </c>
      <c r="V171">
        <f>V167-685/686*V188</f>
        <v>1.8811066887751622</v>
      </c>
      <c r="Z171">
        <f>Z169-685/686*Z188</f>
        <v>2.2005438413989395</v>
      </c>
      <c r="AB171">
        <f>AB169-685/686*AB188</f>
        <v>2.0334936307576754</v>
      </c>
      <c r="AD171">
        <f>AD169-685/686*AD188</f>
        <v>2.1804431206996924</v>
      </c>
      <c r="AF171">
        <f>AF169-685/686*AF188</f>
        <v>2.3139458587461377</v>
      </c>
      <c r="AH171">
        <f>AH169-685/686*AH188</f>
        <v>2.4290447381927152</v>
      </c>
      <c r="AJ171" t="s">
        <v>110</v>
      </c>
    </row>
    <row r="172" spans="1:36" x14ac:dyDescent="0.2">
      <c r="A172" t="s">
        <v>72</v>
      </c>
      <c r="B172">
        <f>B170+B189</f>
        <v>6.5513826693927968E-2</v>
      </c>
      <c r="D172">
        <f>D170+D189</f>
        <v>7.7915426700890397E-2</v>
      </c>
      <c r="F172">
        <f>F170+F189</f>
        <v>0.14985191943928355</v>
      </c>
      <c r="H172">
        <f>H170+H189</f>
        <v>0.12590688173661047</v>
      </c>
      <c r="J172">
        <f>J170+J189</f>
        <v>0.12025222339471503</v>
      </c>
      <c r="M172" t="s">
        <v>72</v>
      </c>
      <c r="N172">
        <f>N170+N189</f>
        <v>0.13230131174968526</v>
      </c>
      <c r="P172">
        <f>P170+P189</f>
        <v>0.13575986308042154</v>
      </c>
      <c r="R172">
        <f>R170+R189</f>
        <v>0.15630787523920353</v>
      </c>
      <c r="T172">
        <f>T170+T189</f>
        <v>0.13000542242021218</v>
      </c>
      <c r="V172">
        <f>V170+V189</f>
        <v>0.16694919945229089</v>
      </c>
      <c r="Y172" t="s">
        <v>72</v>
      </c>
      <c r="Z172">
        <f>Z170+Z189</f>
        <v>9.9635652755765441E-2</v>
      </c>
      <c r="AB172">
        <f>AB170+AB189</f>
        <v>8.8935699195851176E-2</v>
      </c>
      <c r="AD172">
        <f>AD170+AD189</f>
        <v>0.14123191625373338</v>
      </c>
      <c r="AF172">
        <f>AF170+AF189</f>
        <v>0.16293340694504932</v>
      </c>
      <c r="AH172">
        <f>AH170+AH189</f>
        <v>0.14513309810352759</v>
      </c>
      <c r="AJ172">
        <f>AVERAGE(Z172:AH172,N172:V172,B172:J172)</f>
        <v>0.12657558154407786</v>
      </c>
    </row>
    <row r="173" spans="1:36" x14ac:dyDescent="0.2">
      <c r="A173" t="s">
        <v>85</v>
      </c>
      <c r="B173">
        <f>B169-685/686*B188</f>
        <v>1.6098161309046191</v>
      </c>
      <c r="D173">
        <f>D169-685/686*D188</f>
        <v>1.4413568975219277</v>
      </c>
      <c r="F173">
        <f>F169-685/686*F188</f>
        <v>1.7117706451886079</v>
      </c>
      <c r="H173">
        <f>H169-685/686*H188</f>
        <v>1.7262843629728195</v>
      </c>
      <c r="J173">
        <f>J169-685/686*J188</f>
        <v>1.6799668052485686</v>
      </c>
    </row>
    <row r="175" spans="1:36" x14ac:dyDescent="0.2">
      <c r="A175" t="s">
        <v>82</v>
      </c>
      <c r="M175" t="s">
        <v>82</v>
      </c>
      <c r="Y175" t="s">
        <v>82</v>
      </c>
    </row>
    <row r="176" spans="1:36" x14ac:dyDescent="0.2">
      <c r="A176" t="s">
        <v>15</v>
      </c>
      <c r="B176">
        <v>800</v>
      </c>
      <c r="D176">
        <v>900</v>
      </c>
      <c r="F176">
        <v>1000</v>
      </c>
      <c r="H176">
        <v>1100</v>
      </c>
      <c r="J176">
        <v>1200</v>
      </c>
      <c r="M176" t="s">
        <v>25</v>
      </c>
      <c r="N176">
        <v>800</v>
      </c>
      <c r="P176">
        <v>900</v>
      </c>
      <c r="R176">
        <v>1000</v>
      </c>
      <c r="T176">
        <v>1100</v>
      </c>
      <c r="V176">
        <v>1200</v>
      </c>
      <c r="Y176" t="s">
        <v>34</v>
      </c>
      <c r="Z176">
        <v>800</v>
      </c>
      <c r="AB176">
        <v>900</v>
      </c>
      <c r="AD176">
        <v>1000</v>
      </c>
      <c r="AF176">
        <v>1100</v>
      </c>
      <c r="AH176">
        <v>1200</v>
      </c>
    </row>
    <row r="177" spans="1:35" x14ac:dyDescent="0.2">
      <c r="A177" t="s">
        <v>84</v>
      </c>
      <c r="B177" t="s">
        <v>70</v>
      </c>
      <c r="C177" t="s">
        <v>8</v>
      </c>
      <c r="D177" t="s">
        <v>70</v>
      </c>
      <c r="E177" t="s">
        <v>8</v>
      </c>
      <c r="F177" t="s">
        <v>70</v>
      </c>
      <c r="G177" t="s">
        <v>8</v>
      </c>
      <c r="H177" t="s">
        <v>70</v>
      </c>
      <c r="I177" t="s">
        <v>8</v>
      </c>
      <c r="J177" t="s">
        <v>70</v>
      </c>
      <c r="K177" t="s">
        <v>8</v>
      </c>
      <c r="M177" t="s">
        <v>84</v>
      </c>
      <c r="N177" t="s">
        <v>70</v>
      </c>
      <c r="O177" t="s">
        <v>8</v>
      </c>
      <c r="P177" t="s">
        <v>70</v>
      </c>
      <c r="Q177" t="s">
        <v>8</v>
      </c>
      <c r="R177" t="s">
        <v>70</v>
      </c>
      <c r="S177" t="s">
        <v>8</v>
      </c>
      <c r="T177" t="s">
        <v>70</v>
      </c>
      <c r="U177" t="s">
        <v>8</v>
      </c>
      <c r="V177" t="s">
        <v>70</v>
      </c>
      <c r="W177" t="s">
        <v>8</v>
      </c>
      <c r="Y177" t="s">
        <v>84</v>
      </c>
      <c r="Z177" t="s">
        <v>70</v>
      </c>
      <c r="AA177" t="s">
        <v>8</v>
      </c>
      <c r="AB177" t="s">
        <v>70</v>
      </c>
      <c r="AC177" t="s">
        <v>8</v>
      </c>
      <c r="AD177" t="s">
        <v>70</v>
      </c>
      <c r="AE177" t="s">
        <v>8</v>
      </c>
      <c r="AF177" t="s">
        <v>70</v>
      </c>
      <c r="AG177" t="s">
        <v>8</v>
      </c>
      <c r="AH177" t="s">
        <v>70</v>
      </c>
      <c r="AI177" t="s">
        <v>8</v>
      </c>
    </row>
    <row r="178" spans="1:35" x14ac:dyDescent="0.2">
      <c r="B178">
        <v>-3647.0768349999998</v>
      </c>
      <c r="C178">
        <v>0.148087</v>
      </c>
      <c r="D178">
        <v>-3638.5411410000002</v>
      </c>
      <c r="E178">
        <v>0.17913100000000001</v>
      </c>
      <c r="F178">
        <v>-3629.4235629999998</v>
      </c>
      <c r="G178">
        <v>0.176096</v>
      </c>
      <c r="H178">
        <v>-3620.6363369999999</v>
      </c>
      <c r="I178">
        <v>0.175922</v>
      </c>
      <c r="J178">
        <v>-3610.4552180000001</v>
      </c>
      <c r="K178">
        <v>0.199297</v>
      </c>
      <c r="N178">
        <v>-3553.6825899999999</v>
      </c>
      <c r="O178">
        <v>0.18419199999999999</v>
      </c>
      <c r="P178">
        <v>-3544.1416049999998</v>
      </c>
      <c r="Q178">
        <v>0.20147699999999999</v>
      </c>
      <c r="R178">
        <v>-3533.8199810000001</v>
      </c>
      <c r="S178">
        <v>0.20333300000000001</v>
      </c>
      <c r="T178">
        <v>-3523.0221179999999</v>
      </c>
      <c r="U178">
        <v>0.247116</v>
      </c>
      <c r="V178">
        <v>-3511.940705</v>
      </c>
      <c r="W178">
        <v>0.22992299999999999</v>
      </c>
      <c r="Z178">
        <v>-2808.7780630000002</v>
      </c>
      <c r="AA178">
        <v>0.13042999999999999</v>
      </c>
      <c r="AB178">
        <v>-2799.7184940000002</v>
      </c>
      <c r="AC178">
        <v>0.133274</v>
      </c>
      <c r="AD178">
        <v>-2790.651026</v>
      </c>
      <c r="AE178">
        <v>0.162578</v>
      </c>
      <c r="AF178">
        <v>-2780.1052410000002</v>
      </c>
      <c r="AG178">
        <v>0.19177900000000001</v>
      </c>
      <c r="AH178">
        <v>-2769.5893639999999</v>
      </c>
      <c r="AI178">
        <v>0.187109</v>
      </c>
    </row>
    <row r="179" spans="1:35" x14ac:dyDescent="0.2">
      <c r="B179">
        <v>-3647.2713060000001</v>
      </c>
      <c r="C179">
        <v>0.160548</v>
      </c>
      <c r="D179">
        <v>-3638.5709270000002</v>
      </c>
      <c r="E179">
        <v>0.155837</v>
      </c>
      <c r="F179">
        <v>-3629.8890099999999</v>
      </c>
      <c r="G179">
        <v>0.17111899999999999</v>
      </c>
      <c r="H179">
        <v>-3620.3725559999998</v>
      </c>
      <c r="I179">
        <v>0.18338599999999999</v>
      </c>
      <c r="J179">
        <v>-3610.6132259999999</v>
      </c>
      <c r="K179">
        <v>0.21657699999999999</v>
      </c>
      <c r="N179">
        <v>-3553.3855490000001</v>
      </c>
      <c r="O179">
        <v>0.18355199999999999</v>
      </c>
      <c r="P179">
        <v>-3543.8782900000001</v>
      </c>
      <c r="Q179">
        <v>0.18822700000000001</v>
      </c>
      <c r="R179">
        <v>-3533.575531</v>
      </c>
      <c r="S179">
        <v>0.196993</v>
      </c>
      <c r="T179">
        <v>-3522.6610569999998</v>
      </c>
      <c r="U179">
        <v>0.23003599999999999</v>
      </c>
      <c r="V179">
        <v>-3511.333165</v>
      </c>
      <c r="W179">
        <v>0.25354300000000002</v>
      </c>
      <c r="Z179">
        <v>-2808.969677</v>
      </c>
      <c r="AA179">
        <v>0.13683300000000001</v>
      </c>
      <c r="AB179">
        <v>-2800.0337340000001</v>
      </c>
      <c r="AC179">
        <v>0.13914799999999999</v>
      </c>
      <c r="AD179">
        <v>-2790.2338</v>
      </c>
      <c r="AE179">
        <v>0.16857900000000001</v>
      </c>
      <c r="AF179">
        <v>-2780.2941089999999</v>
      </c>
      <c r="AG179">
        <v>0.19920499999999999</v>
      </c>
      <c r="AH179">
        <v>-2769.5788130000001</v>
      </c>
      <c r="AI179">
        <v>0.202654</v>
      </c>
    </row>
    <row r="180" spans="1:35" x14ac:dyDescent="0.2">
      <c r="B180">
        <v>-3647.0207340000002</v>
      </c>
      <c r="C180">
        <v>0.16611500000000001</v>
      </c>
      <c r="D180">
        <v>-3638.5210310000002</v>
      </c>
      <c r="E180">
        <v>0.14533399999999999</v>
      </c>
      <c r="F180">
        <v>-3629.8383290000002</v>
      </c>
      <c r="G180">
        <v>0.21812000000000001</v>
      </c>
      <c r="H180">
        <v>-3620.4349649999999</v>
      </c>
      <c r="I180">
        <v>0.18981700000000001</v>
      </c>
      <c r="J180">
        <v>-3610.5078480000002</v>
      </c>
      <c r="K180">
        <v>0.20616000000000001</v>
      </c>
      <c r="N180">
        <v>-3553.4753190000001</v>
      </c>
      <c r="O180">
        <v>0.175618</v>
      </c>
      <c r="P180">
        <v>-3543.7887620000001</v>
      </c>
      <c r="Q180">
        <v>0.168323</v>
      </c>
      <c r="R180">
        <v>-3533.577808</v>
      </c>
      <c r="S180">
        <v>0.20432500000000001</v>
      </c>
      <c r="T180">
        <v>-3523.1137979999999</v>
      </c>
      <c r="U180">
        <v>0.227107</v>
      </c>
      <c r="V180">
        <v>-3511.2955470000002</v>
      </c>
      <c r="W180">
        <v>0.23114899999999999</v>
      </c>
      <c r="Z180">
        <v>-2808.9752789999998</v>
      </c>
      <c r="AA180">
        <v>0.125135</v>
      </c>
      <c r="AB180">
        <v>-2799.7999639999998</v>
      </c>
      <c r="AC180">
        <v>0.14171</v>
      </c>
      <c r="AD180">
        <v>-2790.5577699999999</v>
      </c>
      <c r="AE180">
        <v>0.168346</v>
      </c>
      <c r="AF180">
        <v>-2780.2304570000001</v>
      </c>
      <c r="AG180">
        <v>0.17719599999999999</v>
      </c>
      <c r="AH180">
        <v>-2769.4324080000001</v>
      </c>
      <c r="AI180">
        <v>0.19283500000000001</v>
      </c>
    </row>
    <row r="181" spans="1:35" x14ac:dyDescent="0.2">
      <c r="B181">
        <v>-3647.1231400000001</v>
      </c>
      <c r="C181">
        <v>0.181481</v>
      </c>
      <c r="D181">
        <v>-3638.6864890000002</v>
      </c>
      <c r="E181">
        <v>0.157638</v>
      </c>
      <c r="F181">
        <v>-3630.1959619999998</v>
      </c>
      <c r="G181">
        <v>0.19888</v>
      </c>
      <c r="H181">
        <v>-3620.598626</v>
      </c>
      <c r="I181">
        <v>0.18420500000000001</v>
      </c>
      <c r="J181">
        <v>-3610.013019</v>
      </c>
      <c r="K181">
        <v>0.23468900000000001</v>
      </c>
      <c r="N181">
        <v>-3553.8317929999998</v>
      </c>
      <c r="O181">
        <v>0.175178</v>
      </c>
      <c r="P181">
        <v>-3543.7075169999998</v>
      </c>
      <c r="Q181">
        <v>0.17294499999999999</v>
      </c>
      <c r="R181">
        <v>-3533.7760800000001</v>
      </c>
      <c r="S181">
        <v>0.18298700000000001</v>
      </c>
      <c r="T181">
        <v>-3523.0296720000001</v>
      </c>
      <c r="U181">
        <v>0.182666</v>
      </c>
      <c r="V181">
        <v>-3511.8975169999999</v>
      </c>
      <c r="W181">
        <v>0.216386</v>
      </c>
      <c r="Z181">
        <v>-2808.9191070000002</v>
      </c>
      <c r="AA181">
        <v>0.124219</v>
      </c>
      <c r="AB181">
        <v>-2799.7036440000002</v>
      </c>
      <c r="AC181">
        <v>0.149726</v>
      </c>
      <c r="AD181">
        <v>-2789.908144</v>
      </c>
      <c r="AE181">
        <v>0.17063700000000001</v>
      </c>
      <c r="AF181">
        <v>-2779.841942</v>
      </c>
      <c r="AG181">
        <v>0.16728799999999999</v>
      </c>
      <c r="AH181">
        <v>-2768.9756790000001</v>
      </c>
      <c r="AI181">
        <v>0.193804</v>
      </c>
    </row>
    <row r="182" spans="1:35" x14ac:dyDescent="0.2">
      <c r="B182">
        <v>-3647.040313</v>
      </c>
      <c r="C182">
        <v>0.14457900000000001</v>
      </c>
      <c r="D182">
        <v>-3638.567458</v>
      </c>
      <c r="E182">
        <v>0.17765500000000001</v>
      </c>
      <c r="F182">
        <v>-3629.850207</v>
      </c>
      <c r="G182">
        <v>0.16728000000000001</v>
      </c>
      <c r="H182">
        <v>-3620.8406789999999</v>
      </c>
      <c r="I182">
        <v>0.17680299999999999</v>
      </c>
      <c r="J182">
        <v>-3610.529235</v>
      </c>
      <c r="K182">
        <v>0.26941799999999999</v>
      </c>
      <c r="N182">
        <v>-3553.7222339999998</v>
      </c>
      <c r="O182">
        <v>0.17760300000000001</v>
      </c>
      <c r="P182">
        <v>-3543.6602969999999</v>
      </c>
      <c r="Q182">
        <v>0.184395</v>
      </c>
      <c r="R182">
        <v>-3533.2752559999999</v>
      </c>
      <c r="S182">
        <v>0.19947799999999999</v>
      </c>
      <c r="T182">
        <v>-3522.9010819999999</v>
      </c>
      <c r="U182">
        <v>0.195386</v>
      </c>
      <c r="V182">
        <v>-3511.5806659999998</v>
      </c>
      <c r="W182">
        <v>0.219608</v>
      </c>
      <c r="Z182">
        <v>-2809.1718409999999</v>
      </c>
      <c r="AA182">
        <v>0.142682</v>
      </c>
      <c r="AB182">
        <v>-2799.7130900000002</v>
      </c>
      <c r="AC182">
        <v>0.14688399999999999</v>
      </c>
      <c r="AD182">
        <v>-2790.2121750000001</v>
      </c>
      <c r="AE182">
        <v>0.15767600000000001</v>
      </c>
      <c r="AF182">
        <v>-2780.0632879999998</v>
      </c>
      <c r="AG182">
        <v>0.18742700000000001</v>
      </c>
      <c r="AH182">
        <v>-2769.5615619999999</v>
      </c>
      <c r="AI182">
        <v>0.28644900000000001</v>
      </c>
    </row>
    <row r="183" spans="1:35" x14ac:dyDescent="0.2">
      <c r="B183">
        <v>-3647.1226700000002</v>
      </c>
      <c r="C183">
        <v>0.149168</v>
      </c>
      <c r="D183">
        <v>-3638.4178000000002</v>
      </c>
      <c r="E183">
        <v>0.16367499999999999</v>
      </c>
      <c r="F183">
        <v>-3629.720577</v>
      </c>
      <c r="G183">
        <v>0.17614299999999999</v>
      </c>
      <c r="H183">
        <v>-3620.1152590000002</v>
      </c>
      <c r="I183">
        <v>0.19741900000000001</v>
      </c>
      <c r="J183">
        <v>-3610.4562129999999</v>
      </c>
      <c r="K183">
        <v>0.24993599999999999</v>
      </c>
      <c r="N183">
        <v>-3553.7432480000002</v>
      </c>
      <c r="O183">
        <v>0.168658</v>
      </c>
      <c r="P183">
        <v>-3543.4801160000002</v>
      </c>
      <c r="Q183">
        <v>0.17710200000000001</v>
      </c>
      <c r="R183">
        <v>-3533.9787849999998</v>
      </c>
      <c r="S183">
        <v>0.196016</v>
      </c>
      <c r="T183">
        <v>-3523.1684660000001</v>
      </c>
      <c r="U183">
        <v>0.21252399999999999</v>
      </c>
      <c r="V183">
        <v>-3511.5619219999999</v>
      </c>
      <c r="W183">
        <v>0.241651</v>
      </c>
      <c r="Z183">
        <v>-2808.824259</v>
      </c>
      <c r="AA183">
        <v>0.13044</v>
      </c>
      <c r="AB183">
        <v>-2799.5360089999999</v>
      </c>
      <c r="AC183">
        <v>0.14564199999999999</v>
      </c>
      <c r="AD183">
        <v>-2790.212567</v>
      </c>
      <c r="AE183">
        <v>0.16478200000000001</v>
      </c>
      <c r="AF183">
        <v>-2780.412194</v>
      </c>
      <c r="AG183">
        <v>0.185892</v>
      </c>
      <c r="AH183">
        <v>-2769.4887309999999</v>
      </c>
      <c r="AI183">
        <v>0.192107</v>
      </c>
    </row>
    <row r="184" spans="1:35" x14ac:dyDescent="0.2">
      <c r="B184">
        <v>-3647.2714179999998</v>
      </c>
      <c r="C184">
        <v>0.174125</v>
      </c>
      <c r="D184">
        <v>-3638.4549929999998</v>
      </c>
      <c r="E184">
        <v>0.14564099999999999</v>
      </c>
      <c r="F184">
        <v>-3629.6844529999998</v>
      </c>
      <c r="G184">
        <v>0.158695</v>
      </c>
      <c r="H184">
        <v>-3620.4778569999999</v>
      </c>
      <c r="I184">
        <v>0.18670600000000001</v>
      </c>
      <c r="J184">
        <v>-3610.153065</v>
      </c>
      <c r="K184">
        <v>0.201353</v>
      </c>
      <c r="N184">
        <v>-3553.6039959999998</v>
      </c>
      <c r="O184">
        <v>0.208144</v>
      </c>
      <c r="P184">
        <v>-3543.9673079999998</v>
      </c>
      <c r="Q184">
        <v>0.21331700000000001</v>
      </c>
      <c r="R184">
        <v>-3533.886231</v>
      </c>
      <c r="S184">
        <v>0.16627400000000001</v>
      </c>
      <c r="T184">
        <v>-3522.8678810000001</v>
      </c>
      <c r="U184">
        <v>0.19640299999999999</v>
      </c>
      <c r="V184">
        <v>-3511.7154820000001</v>
      </c>
      <c r="W184">
        <v>0.223521</v>
      </c>
      <c r="Z184">
        <v>-2809.07663</v>
      </c>
      <c r="AA184">
        <v>0.12239</v>
      </c>
      <c r="AB184">
        <v>-2799.6398159999999</v>
      </c>
      <c r="AC184">
        <v>0.14125399999999999</v>
      </c>
      <c r="AD184">
        <v>-2790.4931409999999</v>
      </c>
      <c r="AE184">
        <v>0.16583700000000001</v>
      </c>
      <c r="AF184">
        <v>-2779.721125</v>
      </c>
      <c r="AG184">
        <v>0.18881300000000001</v>
      </c>
      <c r="AH184">
        <v>-2769.5971930000001</v>
      </c>
      <c r="AI184">
        <v>0.205285</v>
      </c>
    </row>
    <row r="185" spans="1:35" x14ac:dyDescent="0.2">
      <c r="B185">
        <v>-3647.0971979999999</v>
      </c>
      <c r="C185">
        <v>0.15914400000000001</v>
      </c>
      <c r="D185">
        <v>-3638.5114800000001</v>
      </c>
      <c r="E185">
        <v>0.14594499999999999</v>
      </c>
      <c r="F185">
        <v>-3629.950875</v>
      </c>
      <c r="G185">
        <v>0.16425999999999999</v>
      </c>
      <c r="H185">
        <v>-3620.2263360000002</v>
      </c>
      <c r="I185">
        <v>0.17648</v>
      </c>
      <c r="J185">
        <v>-3610.3256150000002</v>
      </c>
      <c r="K185">
        <v>0.21202699999999999</v>
      </c>
      <c r="N185">
        <v>-3553.602985</v>
      </c>
      <c r="O185">
        <v>0.17479600000000001</v>
      </c>
      <c r="P185">
        <v>-3543.684937</v>
      </c>
      <c r="Q185">
        <v>0.18265600000000001</v>
      </c>
      <c r="R185">
        <v>-3533.806067</v>
      </c>
      <c r="S185">
        <v>0.19264200000000001</v>
      </c>
      <c r="T185">
        <v>-3522.9336600000001</v>
      </c>
      <c r="U185">
        <v>0.226549</v>
      </c>
      <c r="V185">
        <v>-3511.788947</v>
      </c>
      <c r="W185">
        <v>0.23862800000000001</v>
      </c>
      <c r="Z185">
        <v>-2808.8830600000001</v>
      </c>
      <c r="AA185">
        <v>0.13943700000000001</v>
      </c>
      <c r="AB185">
        <v>-2799.6644849999998</v>
      </c>
      <c r="AC185">
        <v>0.14866099999999999</v>
      </c>
      <c r="AD185">
        <v>-2790.1688130000002</v>
      </c>
      <c r="AE185">
        <v>0.16792899999999999</v>
      </c>
      <c r="AF185">
        <v>-2780.2417529999998</v>
      </c>
      <c r="AG185">
        <v>0.189947</v>
      </c>
      <c r="AH185">
        <v>-2769.432957</v>
      </c>
      <c r="AI185">
        <v>0.177899</v>
      </c>
    </row>
    <row r="186" spans="1:35" x14ac:dyDescent="0.2">
      <c r="B186">
        <v>-3647.106769</v>
      </c>
      <c r="C186">
        <v>0.192389</v>
      </c>
      <c r="D186">
        <v>-3638.5091309999998</v>
      </c>
      <c r="E186">
        <v>0.16208400000000001</v>
      </c>
      <c r="F186">
        <v>-3629.3198499999999</v>
      </c>
      <c r="G186">
        <v>0.18380199999999999</v>
      </c>
      <c r="H186">
        <v>-3620.6374879999998</v>
      </c>
      <c r="I186">
        <v>0.205704</v>
      </c>
      <c r="J186">
        <v>-3610.38492</v>
      </c>
      <c r="K186">
        <v>0.19162899999999999</v>
      </c>
      <c r="N186">
        <v>-3554.0256330000002</v>
      </c>
      <c r="O186">
        <v>0.17705899999999999</v>
      </c>
      <c r="P186">
        <v>-3543.6493369999998</v>
      </c>
      <c r="Q186">
        <v>0.17924699999999999</v>
      </c>
      <c r="R186">
        <v>-3533.628244</v>
      </c>
      <c r="S186">
        <v>0.198791</v>
      </c>
      <c r="T186">
        <v>-3523.0515049999999</v>
      </c>
      <c r="U186">
        <v>0.202237</v>
      </c>
      <c r="V186">
        <v>-3511.9461500000002</v>
      </c>
      <c r="W186">
        <v>0.190581</v>
      </c>
      <c r="Z186">
        <v>-2808.9619990000001</v>
      </c>
      <c r="AA186">
        <v>0.14421600000000001</v>
      </c>
      <c r="AB186">
        <v>-2799.8792159999998</v>
      </c>
      <c r="AC186">
        <v>0.14368800000000001</v>
      </c>
      <c r="AD186">
        <v>-2790.05681</v>
      </c>
      <c r="AE186">
        <v>0.17099500000000001</v>
      </c>
      <c r="AF186">
        <v>-2780.2333239999998</v>
      </c>
      <c r="AG186">
        <v>0.18467600000000001</v>
      </c>
      <c r="AH186">
        <v>-2769.6154270000002</v>
      </c>
      <c r="AI186">
        <v>0.19722000000000001</v>
      </c>
    </row>
    <row r="187" spans="1:35" x14ac:dyDescent="0.2">
      <c r="B187">
        <v>-3647.1094830000002</v>
      </c>
      <c r="C187">
        <v>0.14693500000000001</v>
      </c>
      <c r="D187">
        <v>-3638.4009449999999</v>
      </c>
      <c r="E187">
        <v>0.16105</v>
      </c>
      <c r="F187">
        <v>-3629.7588639999999</v>
      </c>
      <c r="G187">
        <v>0.18700600000000001</v>
      </c>
      <c r="H187">
        <v>-3620.450969</v>
      </c>
      <c r="I187">
        <v>0.220942</v>
      </c>
      <c r="J187">
        <v>-3610.3176570000001</v>
      </c>
      <c r="K187">
        <v>0.21837799999999999</v>
      </c>
      <c r="N187">
        <v>-3553.7369589999998</v>
      </c>
      <c r="O187">
        <v>0.19800300000000001</v>
      </c>
      <c r="P187">
        <v>-3544.0140339999998</v>
      </c>
      <c r="Q187">
        <v>0.170711</v>
      </c>
      <c r="R187">
        <v>-3533.4330960000002</v>
      </c>
      <c r="S187">
        <v>0.186887</v>
      </c>
      <c r="T187">
        <v>-3522.8354770000001</v>
      </c>
      <c r="U187">
        <v>0.19938800000000001</v>
      </c>
      <c r="V187">
        <v>-3511.7601759999998</v>
      </c>
      <c r="W187">
        <v>0.211006</v>
      </c>
      <c r="Z187">
        <v>-2808.9974229999998</v>
      </c>
      <c r="AA187">
        <v>0.13301399999999999</v>
      </c>
      <c r="AB187">
        <v>-2799.7693429999999</v>
      </c>
      <c r="AC187">
        <v>0.13073000000000001</v>
      </c>
      <c r="AD187">
        <v>-2789.9930920000002</v>
      </c>
      <c r="AE187">
        <v>0.17913399999999999</v>
      </c>
      <c r="AF187">
        <v>-2780.2876120000001</v>
      </c>
      <c r="AG187">
        <v>0.15467</v>
      </c>
      <c r="AH187">
        <v>-2770.0177020000001</v>
      </c>
      <c r="AI187">
        <v>0.19770699999999999</v>
      </c>
    </row>
    <row r="188" spans="1:35" x14ac:dyDescent="0.2">
      <c r="A188" t="s">
        <v>71</v>
      </c>
      <c r="B188">
        <f t="shared" ref="B188:E188" si="56">AVERAGE(B178:B187)</f>
        <v>-3647.1239866000005</v>
      </c>
      <c r="C188">
        <f t="shared" si="56"/>
        <v>0.16225709999999999</v>
      </c>
      <c r="D188">
        <f t="shared" si="56"/>
        <v>-3638.5181395</v>
      </c>
      <c r="E188">
        <f t="shared" si="56"/>
        <v>0.15939899999999999</v>
      </c>
      <c r="F188">
        <f t="shared" ref="F188:G188" si="57">AVERAGE(F178:F187)</f>
        <v>-3629.7631689999994</v>
      </c>
      <c r="G188">
        <f t="shared" si="57"/>
        <v>0.18014010000000003</v>
      </c>
      <c r="H188">
        <f t="shared" ref="H188:I188" si="58">AVERAGE(H178:H187)</f>
        <v>-3620.4791071999998</v>
      </c>
      <c r="I188">
        <f t="shared" si="58"/>
        <v>0.18973840000000003</v>
      </c>
      <c r="J188">
        <f t="shared" ref="J188:K188" si="59">AVERAGE(J178:J187)</f>
        <v>-3610.3756016000007</v>
      </c>
      <c r="K188">
        <f t="shared" si="59"/>
        <v>0.21994640000000004</v>
      </c>
      <c r="M188" t="s">
        <v>71</v>
      </c>
      <c r="N188">
        <f t="shared" ref="N188:W188" si="60">AVERAGE(N178:N187)</f>
        <v>-3553.6810305999998</v>
      </c>
      <c r="O188">
        <f t="shared" si="60"/>
        <v>0.18228030000000001</v>
      </c>
      <c r="P188">
        <f t="shared" si="60"/>
        <v>-3543.7972202999999</v>
      </c>
      <c r="Q188">
        <f t="shared" si="60"/>
        <v>0.18384</v>
      </c>
      <c r="R188">
        <f t="shared" si="60"/>
        <v>-3533.6757079000004</v>
      </c>
      <c r="S188">
        <f t="shared" si="60"/>
        <v>0.19277260000000002</v>
      </c>
      <c r="T188">
        <f t="shared" si="60"/>
        <v>-3522.9584715999999</v>
      </c>
      <c r="U188">
        <f t="shared" si="60"/>
        <v>0.2119412</v>
      </c>
      <c r="V188">
        <f t="shared" si="60"/>
        <v>-3511.6820276999997</v>
      </c>
      <c r="W188">
        <f t="shared" si="60"/>
        <v>0.22559960000000001</v>
      </c>
      <c r="Y188" t="s">
        <v>71</v>
      </c>
      <c r="Z188">
        <f t="shared" ref="Z188:AI188" si="61">AVERAGE(Z178:Z187)</f>
        <v>-2808.9557338</v>
      </c>
      <c r="AA188">
        <f t="shared" si="61"/>
        <v>0.13287959999999999</v>
      </c>
      <c r="AB188">
        <f t="shared" si="61"/>
        <v>-2799.7457795</v>
      </c>
      <c r="AC188">
        <f t="shared" si="61"/>
        <v>0.1420717</v>
      </c>
      <c r="AD188">
        <f t="shared" si="61"/>
        <v>-2790.2487337999996</v>
      </c>
      <c r="AE188">
        <f t="shared" si="61"/>
        <v>0.1676493</v>
      </c>
      <c r="AF188">
        <f t="shared" si="61"/>
        <v>-2780.1431044999999</v>
      </c>
      <c r="AG188">
        <f t="shared" si="61"/>
        <v>0.18268930000000003</v>
      </c>
      <c r="AH188">
        <f t="shared" si="61"/>
        <v>-2769.5289836000002</v>
      </c>
      <c r="AI188">
        <f t="shared" si="61"/>
        <v>0.20330689999999998</v>
      </c>
    </row>
    <row r="189" spans="1:35" x14ac:dyDescent="0.2">
      <c r="A189" t="s">
        <v>48</v>
      </c>
      <c r="B189">
        <f>STDEV(B178:B187)/SQRT(COUNT(B178:B187))</f>
        <v>2.6781325763456501E-2</v>
      </c>
      <c r="D189">
        <f>STDEV(D178:D187)/SQRT(COUNT(D178:D187))</f>
        <v>2.6249522130804958E-2</v>
      </c>
      <c r="F189">
        <f>STDEV(F178:F187)/SQRT(COUNT(F178:F187))</f>
        <v>7.968665793469179E-2</v>
      </c>
      <c r="H189">
        <f>STDEV(H178:H187)/SQRT(COUNT(H178:H187))</f>
        <v>6.709846855838919E-2</v>
      </c>
      <c r="J189">
        <f>STDEV(J178:J187)/SQRT(COUNT(J178:J187))</f>
        <v>5.7477184452461999E-2</v>
      </c>
      <c r="M189" t="s">
        <v>48</v>
      </c>
      <c r="N189">
        <f>STDEV(N178:N187)/SQRT(COUNT(N178:N187))</f>
        <v>5.69435726173445E-2</v>
      </c>
      <c r="P189">
        <f>STDEV(P178:P187)/SQRT(COUNT(P178:P187))</f>
        <v>6.3509359411718411E-2</v>
      </c>
      <c r="R189">
        <f>STDEV(R178:R187)/SQRT(COUNT(R178:R187))</f>
        <v>6.8730824940066368E-2</v>
      </c>
      <c r="T189">
        <f>STDEV(T178:T187)/SQRT(COUNT(T178:T187))</f>
        <v>4.734019524093161E-2</v>
      </c>
      <c r="V189">
        <f>STDEV(V178:V187)/SQRT(COUNT(V178:V187))</f>
        <v>7.4352041391989476E-2</v>
      </c>
      <c r="Y189" t="s">
        <v>48</v>
      </c>
      <c r="Z189">
        <f>STDEV(Z178:Z187)/SQRT(COUNT(Z178:Z187))</f>
        <v>3.6384890446970644E-2</v>
      </c>
      <c r="AB189">
        <f>STDEV(AB178:AB187)/SQRT(COUNT(AB178:AB187))</f>
        <v>4.341575702035403E-2</v>
      </c>
      <c r="AD189">
        <f>STDEV(AD178:AD187)/SQRT(COUNT(AD178:AD187))</f>
        <v>7.7783252211610907E-2</v>
      </c>
      <c r="AF189">
        <f>STDEV(AF178:AF187)/SQRT(COUNT(AF178:AF187))</f>
        <v>6.8163638702628662E-2</v>
      </c>
      <c r="AH189">
        <f>STDEV(AH178:AH187)/SQRT(COUNT(AH178:AH187))</f>
        <v>8.0586391097888954E-2</v>
      </c>
    </row>
    <row r="190" spans="1:35" x14ac:dyDescent="0.2">
      <c r="B190">
        <v>800</v>
      </c>
      <c r="D190">
        <v>900</v>
      </c>
      <c r="F190">
        <v>1000</v>
      </c>
      <c r="H190">
        <v>1100</v>
      </c>
      <c r="J190">
        <v>1200</v>
      </c>
      <c r="N190">
        <v>800</v>
      </c>
      <c r="P190">
        <v>900</v>
      </c>
      <c r="R190">
        <v>1000</v>
      </c>
      <c r="T190">
        <v>1100</v>
      </c>
      <c r="V190">
        <v>1200</v>
      </c>
      <c r="Z190">
        <v>800</v>
      </c>
      <c r="AB190">
        <v>900</v>
      </c>
      <c r="AD190">
        <v>1000</v>
      </c>
      <c r="AF190">
        <v>1100</v>
      </c>
      <c r="AH190">
        <v>1200</v>
      </c>
    </row>
    <row r="191" spans="1:35" x14ac:dyDescent="0.2">
      <c r="A191" t="s">
        <v>83</v>
      </c>
      <c r="B191" t="s">
        <v>70</v>
      </c>
      <c r="C191" t="s">
        <v>8</v>
      </c>
      <c r="D191" t="s">
        <v>70</v>
      </c>
      <c r="E191" t="s">
        <v>8</v>
      </c>
      <c r="F191" t="s">
        <v>70</v>
      </c>
      <c r="G191" t="s">
        <v>8</v>
      </c>
      <c r="H191" t="s">
        <v>70</v>
      </c>
      <c r="I191" t="s">
        <v>8</v>
      </c>
      <c r="J191" t="s">
        <v>70</v>
      </c>
      <c r="K191" t="s">
        <v>8</v>
      </c>
      <c r="M191" t="s">
        <v>83</v>
      </c>
      <c r="N191" t="s">
        <v>70</v>
      </c>
      <c r="O191" t="s">
        <v>8</v>
      </c>
      <c r="P191" t="s">
        <v>70</v>
      </c>
      <c r="Q191" t="s">
        <v>8</v>
      </c>
      <c r="R191" t="s">
        <v>70</v>
      </c>
      <c r="S191" t="s">
        <v>8</v>
      </c>
      <c r="T191" t="s">
        <v>70</v>
      </c>
      <c r="U191" t="s">
        <v>8</v>
      </c>
      <c r="V191" t="s">
        <v>70</v>
      </c>
      <c r="W191" t="s">
        <v>8</v>
      </c>
      <c r="Y191" t="s">
        <v>83</v>
      </c>
      <c r="Z191" t="s">
        <v>70</v>
      </c>
      <c r="AA191" t="s">
        <v>8</v>
      </c>
      <c r="AB191" t="s">
        <v>70</v>
      </c>
      <c r="AC191" t="s">
        <v>8</v>
      </c>
      <c r="AD191" t="s">
        <v>70</v>
      </c>
      <c r="AE191" t="s">
        <v>8</v>
      </c>
      <c r="AF191" t="s">
        <v>70</v>
      </c>
      <c r="AG191" t="s">
        <v>8</v>
      </c>
      <c r="AH191" t="s">
        <v>70</v>
      </c>
      <c r="AI191" t="s">
        <v>8</v>
      </c>
    </row>
    <row r="192" spans="1:35" x14ac:dyDescent="0.2">
      <c r="B192">
        <v>-3651.4713630000001</v>
      </c>
      <c r="C192">
        <v>2.2142520000000001</v>
      </c>
      <c r="D192">
        <v>-3642.6960920000001</v>
      </c>
      <c r="E192">
        <v>3.0857649999999999</v>
      </c>
      <c r="F192">
        <v>-3634.1383930000002</v>
      </c>
      <c r="G192">
        <v>3.9338479999999998</v>
      </c>
      <c r="H192">
        <v>-3624.05395</v>
      </c>
      <c r="I192">
        <v>4.7678240000000001</v>
      </c>
      <c r="J192">
        <v>-3614.4659150000002</v>
      </c>
      <c r="K192">
        <v>6.1328870000000002</v>
      </c>
      <c r="N192">
        <v>-3556.8480420000001</v>
      </c>
      <c r="O192">
        <v>5.7072010000000004</v>
      </c>
      <c r="P192">
        <v>-3547.2091719999999</v>
      </c>
      <c r="Q192">
        <v>7.1076620000000004</v>
      </c>
      <c r="R192">
        <v>-3536.3971379999998</v>
      </c>
      <c r="S192">
        <v>7.6846209999999999</v>
      </c>
      <c r="T192">
        <v>-3525.5076089999998</v>
      </c>
      <c r="U192">
        <v>8.2278959999999994</v>
      </c>
      <c r="V192">
        <v>-3514.2198800000001</v>
      </c>
      <c r="W192">
        <v>9.3220399999999994</v>
      </c>
      <c r="Z192">
        <v>-2812.2468950000002</v>
      </c>
      <c r="AA192">
        <v>4.0920889999999996</v>
      </c>
      <c r="AB192">
        <v>-2803.346959</v>
      </c>
      <c r="AC192">
        <v>5.0943360000000002</v>
      </c>
      <c r="AD192">
        <v>-2792.9463649999998</v>
      </c>
      <c r="AE192">
        <v>6.5634750000000004</v>
      </c>
      <c r="AF192">
        <v>-2782.9213730000001</v>
      </c>
      <c r="AG192">
        <v>7.5417540000000001</v>
      </c>
      <c r="AH192">
        <v>-2772.570123</v>
      </c>
      <c r="AI192">
        <v>7.8559469999999996</v>
      </c>
    </row>
    <row r="193" spans="1:36" x14ac:dyDescent="0.2">
      <c r="B193">
        <v>-3651.657545</v>
      </c>
      <c r="C193">
        <v>1.832354</v>
      </c>
      <c r="D193">
        <v>-3642.8876460000001</v>
      </c>
      <c r="E193">
        <v>2.7642690000000001</v>
      </c>
      <c r="F193">
        <v>-3633.8651150000001</v>
      </c>
      <c r="G193">
        <v>3.6096349999999999</v>
      </c>
      <c r="H193">
        <v>-3624.3839050000001</v>
      </c>
      <c r="I193">
        <v>5.5266190000000002</v>
      </c>
      <c r="J193">
        <v>-3614.1772070000002</v>
      </c>
      <c r="K193">
        <v>6.4336219999999997</v>
      </c>
      <c r="N193">
        <v>-3556.9313480000001</v>
      </c>
      <c r="O193">
        <v>6.5628270000000004</v>
      </c>
      <c r="P193">
        <v>-3547.3753839999999</v>
      </c>
      <c r="Q193">
        <v>7.080133</v>
      </c>
      <c r="R193">
        <v>-3536.482669</v>
      </c>
      <c r="S193">
        <v>8.7727199999999996</v>
      </c>
      <c r="T193">
        <v>-3526.3081769999999</v>
      </c>
      <c r="U193">
        <v>7.8898549999999998</v>
      </c>
      <c r="V193">
        <v>-3515.339614</v>
      </c>
      <c r="W193">
        <v>10.382121</v>
      </c>
      <c r="Z193">
        <v>-2812.3823240000002</v>
      </c>
      <c r="AA193">
        <v>5.0674159999999997</v>
      </c>
      <c r="AB193">
        <v>-2803.1192390000001</v>
      </c>
      <c r="AC193">
        <v>4.8789499999999997</v>
      </c>
      <c r="AD193">
        <v>-2792.8595740000001</v>
      </c>
      <c r="AE193">
        <v>6.6328069999999997</v>
      </c>
      <c r="AF193">
        <v>-2782.9719279999999</v>
      </c>
      <c r="AG193">
        <v>7.5904850000000001</v>
      </c>
      <c r="AH193">
        <v>-2772.0151850000002</v>
      </c>
      <c r="AI193">
        <v>8.4216470000000001</v>
      </c>
    </row>
    <row r="194" spans="1:36" x14ac:dyDescent="0.2">
      <c r="B194">
        <v>-3651.7894310000001</v>
      </c>
      <c r="C194">
        <v>1.870865</v>
      </c>
      <c r="D194">
        <v>-3642.880866</v>
      </c>
      <c r="E194">
        <v>3.017801</v>
      </c>
      <c r="F194">
        <v>-3633.584531</v>
      </c>
      <c r="G194">
        <v>3.8294260000000002</v>
      </c>
      <c r="H194">
        <v>-3624.186252</v>
      </c>
      <c r="I194">
        <v>5.1618680000000001</v>
      </c>
      <c r="J194">
        <v>-3613.952119</v>
      </c>
      <c r="K194">
        <v>6.0334680000000001</v>
      </c>
      <c r="N194">
        <v>-3556.9430809999999</v>
      </c>
      <c r="O194">
        <v>6.7159050000000002</v>
      </c>
      <c r="P194">
        <v>-3546.9038460000002</v>
      </c>
      <c r="Q194">
        <v>6.1318619999999999</v>
      </c>
      <c r="R194">
        <v>-3537.1447579999999</v>
      </c>
      <c r="S194">
        <v>7.7001749999999998</v>
      </c>
      <c r="T194">
        <v>-3526.2768780000001</v>
      </c>
      <c r="U194">
        <v>8.3041970000000003</v>
      </c>
      <c r="V194">
        <v>-3514.881918</v>
      </c>
      <c r="W194">
        <v>8.1438430000000004</v>
      </c>
      <c r="Z194">
        <v>-2812.1826620000002</v>
      </c>
      <c r="AA194">
        <v>4.0790259999999998</v>
      </c>
      <c r="AB194">
        <v>-2802.9046389999999</v>
      </c>
      <c r="AC194">
        <v>5.0018010000000004</v>
      </c>
      <c r="AD194">
        <v>-2792.9426360000002</v>
      </c>
      <c r="AE194">
        <v>7.3437390000000002</v>
      </c>
      <c r="AF194">
        <v>-2783.5598380000001</v>
      </c>
      <c r="AG194">
        <v>7.2034370000000001</v>
      </c>
      <c r="AH194">
        <v>-2772.1735189999999</v>
      </c>
      <c r="AI194">
        <v>7.9048590000000001</v>
      </c>
    </row>
    <row r="195" spans="1:36" x14ac:dyDescent="0.2">
      <c r="B195">
        <v>-3651.9531419999998</v>
      </c>
      <c r="C195">
        <v>1.8584099999999999</v>
      </c>
      <c r="D195">
        <v>-3642.599436</v>
      </c>
      <c r="E195">
        <v>2.3526020000000001</v>
      </c>
      <c r="F195">
        <v>-3633.7978469999998</v>
      </c>
      <c r="G195">
        <v>3.8692709999999999</v>
      </c>
      <c r="H195">
        <v>-3624.6689580000002</v>
      </c>
      <c r="I195">
        <v>4.6044229999999997</v>
      </c>
      <c r="J195">
        <v>-3614.8400940000001</v>
      </c>
      <c r="K195">
        <v>6.043552</v>
      </c>
      <c r="N195">
        <v>-3557.3003450000001</v>
      </c>
      <c r="O195">
        <v>5.8038449999999999</v>
      </c>
      <c r="P195">
        <v>-3547.3585389999998</v>
      </c>
      <c r="Q195">
        <v>6.5707069999999996</v>
      </c>
      <c r="R195">
        <v>-3536.6928160000002</v>
      </c>
      <c r="S195">
        <v>8.7106720000000006</v>
      </c>
      <c r="T195">
        <v>-3525.771753</v>
      </c>
      <c r="U195">
        <v>8.2373290000000008</v>
      </c>
      <c r="V195">
        <v>-3514.8369309999998</v>
      </c>
      <c r="W195">
        <v>9.1544969999999992</v>
      </c>
      <c r="Z195">
        <v>-2812.343433</v>
      </c>
      <c r="AA195">
        <v>4.0830719999999996</v>
      </c>
      <c r="AB195">
        <v>-2803.078098</v>
      </c>
      <c r="AC195">
        <v>4.7403919999999999</v>
      </c>
      <c r="AD195">
        <v>-2793.284975</v>
      </c>
      <c r="AE195">
        <v>5.5248390000000001</v>
      </c>
      <c r="AF195">
        <v>-2783.3556899999999</v>
      </c>
      <c r="AG195">
        <v>8.0116779999999999</v>
      </c>
      <c r="AH195">
        <v>-2772.3505369999998</v>
      </c>
      <c r="AI195">
        <v>7.9932290000000004</v>
      </c>
    </row>
    <row r="196" spans="1:36" x14ac:dyDescent="0.2">
      <c r="B196">
        <v>-3651.6467750000002</v>
      </c>
      <c r="C196">
        <v>1.6878569999999999</v>
      </c>
      <c r="D196">
        <v>-3642.921558</v>
      </c>
      <c r="E196">
        <v>2.5149560000000002</v>
      </c>
      <c r="F196">
        <v>-3633.9906890000002</v>
      </c>
      <c r="G196">
        <v>4.382047</v>
      </c>
      <c r="H196">
        <v>-3624.430981</v>
      </c>
      <c r="I196">
        <v>4.6723650000000001</v>
      </c>
      <c r="J196">
        <v>-3614.7546480000001</v>
      </c>
      <c r="K196">
        <v>6.9957000000000003</v>
      </c>
      <c r="N196">
        <v>-3556.6469459999998</v>
      </c>
      <c r="O196">
        <v>5.9258610000000003</v>
      </c>
      <c r="P196">
        <v>-3547.2336169999999</v>
      </c>
      <c r="Q196">
        <v>6.4208470000000002</v>
      </c>
      <c r="R196">
        <v>-3536.7925799999998</v>
      </c>
      <c r="S196">
        <v>8.2141190000000002</v>
      </c>
      <c r="T196">
        <v>-3525.7433850000002</v>
      </c>
      <c r="U196">
        <v>10.023569</v>
      </c>
      <c r="V196">
        <v>-3514.3848929999999</v>
      </c>
      <c r="W196">
        <v>9.6743269999999999</v>
      </c>
      <c r="Z196">
        <v>-2812.4533590000001</v>
      </c>
      <c r="AA196">
        <v>4.4265179999999997</v>
      </c>
      <c r="AB196">
        <v>-2803.0771380000001</v>
      </c>
      <c r="AC196">
        <v>5.5007570000000001</v>
      </c>
      <c r="AD196">
        <v>-2793.1141440000001</v>
      </c>
      <c r="AE196">
        <v>6.1361600000000003</v>
      </c>
      <c r="AF196">
        <v>-2783.4500509999998</v>
      </c>
      <c r="AG196">
        <v>7.9460150000000001</v>
      </c>
      <c r="AH196">
        <v>-2772.2945610000002</v>
      </c>
      <c r="AI196">
        <v>9.2904470000000003</v>
      </c>
    </row>
    <row r="197" spans="1:36" x14ac:dyDescent="0.2">
      <c r="B197">
        <v>-3651.5170699999999</v>
      </c>
      <c r="C197">
        <v>2.2195689999999999</v>
      </c>
      <c r="D197">
        <v>-3642.7678879999999</v>
      </c>
      <c r="E197">
        <v>3.5693329999999999</v>
      </c>
      <c r="F197">
        <v>-3634.0526970000001</v>
      </c>
      <c r="G197">
        <v>3.995908</v>
      </c>
      <c r="H197">
        <v>-3624.3849030000001</v>
      </c>
      <c r="I197">
        <v>5.479241</v>
      </c>
      <c r="J197">
        <v>-3613.8511699999999</v>
      </c>
      <c r="K197">
        <v>5.6562260000000002</v>
      </c>
      <c r="N197">
        <v>-3557.030569</v>
      </c>
      <c r="O197">
        <v>5.568416</v>
      </c>
      <c r="P197">
        <v>-3546.97732</v>
      </c>
      <c r="Q197">
        <v>6.9615470000000004</v>
      </c>
      <c r="R197">
        <v>-3536.8258409999999</v>
      </c>
      <c r="S197">
        <v>7.3352449999999996</v>
      </c>
      <c r="T197">
        <v>-3525.7397259999998</v>
      </c>
      <c r="U197">
        <v>8.9107120000000002</v>
      </c>
      <c r="V197">
        <v>-3514.2190780000001</v>
      </c>
      <c r="W197">
        <v>9.4771079999999994</v>
      </c>
      <c r="Z197">
        <v>-2812.2743999999998</v>
      </c>
      <c r="AA197">
        <v>4.4620220000000002</v>
      </c>
      <c r="AB197">
        <v>-2802.689711</v>
      </c>
      <c r="AC197">
        <v>4.9444689999999998</v>
      </c>
      <c r="AD197">
        <v>-2793.587806</v>
      </c>
      <c r="AE197">
        <v>6.5124310000000003</v>
      </c>
      <c r="AF197">
        <v>-2783.0464529999999</v>
      </c>
      <c r="AG197">
        <v>6.6809900000000004</v>
      </c>
      <c r="AH197">
        <v>-2773.2492809999999</v>
      </c>
      <c r="AI197">
        <v>7.7420730000000004</v>
      </c>
    </row>
    <row r="198" spans="1:36" x14ac:dyDescent="0.2">
      <c r="B198">
        <v>-3651.6470210000002</v>
      </c>
      <c r="C198">
        <v>2.2165439999999998</v>
      </c>
      <c r="D198">
        <v>-3642.9704369999999</v>
      </c>
      <c r="E198">
        <v>3.7692760000000001</v>
      </c>
      <c r="F198">
        <v>-3633.975117</v>
      </c>
      <c r="G198">
        <v>4.8449980000000004</v>
      </c>
      <c r="H198">
        <v>-3624.3562790000001</v>
      </c>
      <c r="I198">
        <v>5.2870299999999997</v>
      </c>
      <c r="J198">
        <v>-3614.1459460000001</v>
      </c>
      <c r="K198">
        <v>5.8585260000000003</v>
      </c>
      <c r="N198">
        <v>-3556.6710090000001</v>
      </c>
      <c r="O198">
        <v>5.2492279999999996</v>
      </c>
      <c r="P198">
        <v>-3547.2554190000001</v>
      </c>
      <c r="Q198">
        <v>7.8177409999999998</v>
      </c>
      <c r="R198">
        <v>-3536.329076</v>
      </c>
      <c r="S198">
        <v>8.6994389999999999</v>
      </c>
      <c r="T198">
        <v>-3525.7703809999998</v>
      </c>
      <c r="U198">
        <v>7.827445</v>
      </c>
      <c r="V198">
        <v>-3514.5790510000002</v>
      </c>
      <c r="W198">
        <v>8.838298</v>
      </c>
      <c r="Z198">
        <v>-2812.1588409999999</v>
      </c>
      <c r="AA198">
        <v>4.6697119999999996</v>
      </c>
      <c r="AB198">
        <v>-2803.2360370000001</v>
      </c>
      <c r="AC198">
        <v>4.8005430000000002</v>
      </c>
      <c r="AD198">
        <v>-2793.4797579999999</v>
      </c>
      <c r="AE198">
        <v>5.6717680000000001</v>
      </c>
      <c r="AF198">
        <v>-2783.1876990000001</v>
      </c>
      <c r="AG198">
        <v>7.2412809999999999</v>
      </c>
      <c r="AH198">
        <v>-2772.4637429999998</v>
      </c>
      <c r="AI198">
        <v>8.6511169999999993</v>
      </c>
    </row>
    <row r="199" spans="1:36" x14ac:dyDescent="0.2">
      <c r="B199">
        <v>-3651.839504</v>
      </c>
      <c r="C199">
        <v>2.333107</v>
      </c>
      <c r="D199">
        <v>-3642.7543639999999</v>
      </c>
      <c r="E199">
        <v>2.9718399999999998</v>
      </c>
      <c r="F199">
        <v>-3633.7969370000001</v>
      </c>
      <c r="G199">
        <v>4.1354430000000004</v>
      </c>
      <c r="H199">
        <v>-3624.432879</v>
      </c>
      <c r="I199">
        <v>4.7860719999999999</v>
      </c>
      <c r="J199">
        <v>-3614.0636330000002</v>
      </c>
      <c r="K199">
        <v>5.691891</v>
      </c>
      <c r="N199">
        <v>-3556.9231850000001</v>
      </c>
      <c r="O199">
        <v>6.5284909999999998</v>
      </c>
      <c r="P199">
        <v>-3547.2184240000001</v>
      </c>
      <c r="Q199">
        <v>6.5623189999999996</v>
      </c>
      <c r="R199">
        <v>-3536.4574659999998</v>
      </c>
      <c r="S199">
        <v>7.0766150000000003</v>
      </c>
      <c r="T199">
        <v>-3525.691378</v>
      </c>
      <c r="U199">
        <v>8.1854119999999995</v>
      </c>
      <c r="V199">
        <v>-3514.5592350000002</v>
      </c>
      <c r="W199">
        <v>8.3034560000000006</v>
      </c>
      <c r="Z199">
        <v>-2812.1449640000001</v>
      </c>
      <c r="AA199">
        <v>4.8640559999999997</v>
      </c>
      <c r="AB199">
        <v>-2802.8888740000002</v>
      </c>
      <c r="AC199">
        <v>4.8764250000000002</v>
      </c>
      <c r="AD199">
        <v>-2793.2578140000001</v>
      </c>
      <c r="AE199">
        <v>5.5108870000000003</v>
      </c>
      <c r="AF199">
        <v>-2782.8193270000002</v>
      </c>
      <c r="AG199">
        <v>6.9655290000000001</v>
      </c>
      <c r="AH199">
        <v>-2772.649116</v>
      </c>
      <c r="AI199">
        <v>8.6178729999999995</v>
      </c>
    </row>
    <row r="200" spans="1:36" x14ac:dyDescent="0.2">
      <c r="B200">
        <v>-3651.7570169999999</v>
      </c>
      <c r="C200">
        <v>1.9863029999999999</v>
      </c>
      <c r="D200">
        <v>-3642.8452630000002</v>
      </c>
      <c r="E200">
        <v>2.9699680000000002</v>
      </c>
      <c r="F200">
        <v>-3633.7178479999998</v>
      </c>
      <c r="G200">
        <v>3.8166530000000001</v>
      </c>
      <c r="H200">
        <v>-3624.279481</v>
      </c>
      <c r="I200">
        <v>5.372236</v>
      </c>
      <c r="J200">
        <v>-3614.1483539999999</v>
      </c>
      <c r="K200">
        <v>5.9980760000000002</v>
      </c>
      <c r="N200">
        <v>-3556.8403950000002</v>
      </c>
      <c r="O200">
        <v>5.97302</v>
      </c>
      <c r="P200">
        <v>-3546.99602</v>
      </c>
      <c r="Q200">
        <v>6.4924759999999999</v>
      </c>
      <c r="R200">
        <v>-3536.8438200000001</v>
      </c>
      <c r="S200">
        <v>7.7119099999999996</v>
      </c>
      <c r="T200">
        <v>-3525.4404840000002</v>
      </c>
      <c r="U200">
        <v>8.4845369999999996</v>
      </c>
      <c r="V200">
        <v>-3514.7473639999998</v>
      </c>
      <c r="W200">
        <v>9.1671010000000006</v>
      </c>
      <c r="Z200">
        <v>-2812.0465239999999</v>
      </c>
      <c r="AA200">
        <v>3.7610670000000002</v>
      </c>
      <c r="AB200">
        <v>-2802.7752099999998</v>
      </c>
      <c r="AC200">
        <v>5.5269440000000003</v>
      </c>
      <c r="AD200">
        <v>-2793.1458229999998</v>
      </c>
      <c r="AE200">
        <v>6.0517700000000003</v>
      </c>
      <c r="AF200">
        <v>-2783.4924030000002</v>
      </c>
      <c r="AG200">
        <v>7.8406190000000002</v>
      </c>
      <c r="AH200">
        <v>-2772.7921040000001</v>
      </c>
      <c r="AI200">
        <v>8.0773209999999995</v>
      </c>
    </row>
    <row r="201" spans="1:36" x14ac:dyDescent="0.2">
      <c r="B201">
        <v>-3651.7598269999999</v>
      </c>
      <c r="C201">
        <v>2.5309810000000001</v>
      </c>
      <c r="D201">
        <v>-3642.8975310000001</v>
      </c>
      <c r="E201">
        <v>2.9988890000000001</v>
      </c>
      <c r="F201">
        <v>-3633.9282229999999</v>
      </c>
      <c r="G201">
        <v>3.1623510000000001</v>
      </c>
      <c r="H201">
        <v>-3624.2800430000002</v>
      </c>
      <c r="I201">
        <v>3.5781260000000001</v>
      </c>
      <c r="J201">
        <v>-3614.264232</v>
      </c>
      <c r="K201">
        <v>5.2986690000000003</v>
      </c>
      <c r="N201">
        <v>-3556.8384430000001</v>
      </c>
      <c r="O201">
        <v>6.9662100000000002</v>
      </c>
      <c r="P201">
        <v>-3547.25333</v>
      </c>
      <c r="Q201">
        <v>7.0414810000000001</v>
      </c>
      <c r="R201">
        <v>-3536.6125419999998</v>
      </c>
      <c r="S201">
        <v>6.9557669999999998</v>
      </c>
      <c r="T201">
        <v>-3525.6945900000001</v>
      </c>
      <c r="U201">
        <v>8.1722730000000006</v>
      </c>
      <c r="V201">
        <v>-3514.57078</v>
      </c>
      <c r="W201">
        <v>9.2255730000000007</v>
      </c>
      <c r="Z201">
        <v>-2812.2693650000001</v>
      </c>
      <c r="AA201">
        <v>4.4511649999999996</v>
      </c>
      <c r="AB201">
        <v>-2802.661337</v>
      </c>
      <c r="AC201">
        <v>5.607418</v>
      </c>
      <c r="AD201">
        <v>-2793.6773360000002</v>
      </c>
      <c r="AE201">
        <v>5.9323420000000002</v>
      </c>
      <c r="AF201">
        <v>-2783.2373929999999</v>
      </c>
      <c r="AG201">
        <v>7.2637299999999998</v>
      </c>
      <c r="AH201">
        <v>-2772.2147110000001</v>
      </c>
      <c r="AI201">
        <v>7.9327930000000002</v>
      </c>
    </row>
    <row r="202" spans="1:36" x14ac:dyDescent="0.2">
      <c r="A202" t="s">
        <v>71</v>
      </c>
      <c r="B202">
        <f t="shared" ref="B202:C202" si="62">AVERAGE(B192:B201)</f>
        <v>-3651.7038694999997</v>
      </c>
      <c r="C202">
        <f t="shared" si="62"/>
        <v>2.0750242000000005</v>
      </c>
      <c r="D202">
        <f t="shared" ref="D202:E202" si="63">AVERAGE(D192:D201)</f>
        <v>-3642.8221081000002</v>
      </c>
      <c r="E202">
        <f t="shared" si="63"/>
        <v>3.0014699</v>
      </c>
      <c r="F202">
        <f t="shared" ref="F202:G202" si="64">AVERAGE(F192:F201)</f>
        <v>-3633.8847397000004</v>
      </c>
      <c r="G202">
        <f t="shared" si="64"/>
        <v>3.9579580000000001</v>
      </c>
      <c r="H202">
        <f t="shared" ref="H202:I202" si="65">AVERAGE(H192:H201)</f>
        <v>-3624.3457631000006</v>
      </c>
      <c r="I202">
        <f t="shared" si="65"/>
        <v>4.9235803999999996</v>
      </c>
      <c r="J202">
        <f t="shared" ref="J202:K202" si="66">AVERAGE(J192:J201)</f>
        <v>-3614.2663318000004</v>
      </c>
      <c r="K202">
        <f t="shared" si="66"/>
        <v>6.0142617000000005</v>
      </c>
      <c r="M202" t="s">
        <v>71</v>
      </c>
      <c r="N202">
        <f t="shared" ref="N202:W202" si="67">AVERAGE(N192:N201)</f>
        <v>-3556.8973362999996</v>
      </c>
      <c r="O202">
        <f t="shared" si="67"/>
        <v>6.1001004000000005</v>
      </c>
      <c r="P202">
        <f t="shared" si="67"/>
        <v>-3547.1781070999996</v>
      </c>
      <c r="Q202">
        <f t="shared" si="67"/>
        <v>6.8186775000000015</v>
      </c>
      <c r="R202">
        <f t="shared" si="67"/>
        <v>-3536.6578706000009</v>
      </c>
      <c r="S202">
        <f t="shared" si="67"/>
        <v>7.8861283000000002</v>
      </c>
      <c r="T202">
        <f t="shared" si="67"/>
        <v>-3525.7944361</v>
      </c>
      <c r="U202">
        <f t="shared" si="67"/>
        <v>8.4263225000000013</v>
      </c>
      <c r="V202">
        <f t="shared" si="67"/>
        <v>-3514.6338744</v>
      </c>
      <c r="W202">
        <f t="shared" si="67"/>
        <v>9.1688364</v>
      </c>
      <c r="Y202" t="s">
        <v>71</v>
      </c>
      <c r="Z202">
        <f t="shared" ref="Z202:AI202" si="68">AVERAGE(Z192:Z201)</f>
        <v>-2812.2502767000001</v>
      </c>
      <c r="AA202">
        <f t="shared" si="68"/>
        <v>4.3956143000000001</v>
      </c>
      <c r="AB202">
        <f t="shared" si="68"/>
        <v>-2802.9777242</v>
      </c>
      <c r="AC202">
        <f t="shared" si="68"/>
        <v>5.0972035</v>
      </c>
      <c r="AD202">
        <f t="shared" si="68"/>
        <v>-2793.2296231</v>
      </c>
      <c r="AE202">
        <f t="shared" si="68"/>
        <v>6.1880217999999996</v>
      </c>
      <c r="AF202">
        <f t="shared" si="68"/>
        <v>-2783.2042154999999</v>
      </c>
      <c r="AG202">
        <f t="shared" si="68"/>
        <v>7.4285517999999993</v>
      </c>
      <c r="AH202">
        <f t="shared" si="68"/>
        <v>-2772.477288</v>
      </c>
      <c r="AI202">
        <f t="shared" si="68"/>
        <v>8.2487306</v>
      </c>
    </row>
    <row r="203" spans="1:36" x14ac:dyDescent="0.2">
      <c r="A203" t="s">
        <v>48</v>
      </c>
      <c r="B203">
        <f>STDEV(B192:B201)/SQRT(COUNT(B192:B201))</f>
        <v>4.6115914897664791E-2</v>
      </c>
      <c r="C203">
        <f>(C202-C188)*687*(10^-20)/(0.001*(10^6)*(10^-12))/6</f>
        <v>2.1901183295000004E-9</v>
      </c>
      <c r="D203">
        <f>STDEV(D192:D201)/SQRT(COUNT(D192:D201))</f>
        <v>3.6340399844759008E-2</v>
      </c>
      <c r="E203">
        <f>(E202-E188)*687*(10^-20)/(0.001*(10^6)*(10^-12))/6</f>
        <v>3.2541711804999997E-9</v>
      </c>
      <c r="F203">
        <f>STDEV(F192:F201)/SQRT(COUNT(F192:F201))</f>
        <v>5.2435849325559662E-2</v>
      </c>
      <c r="G203">
        <f>(G202-G188)*687*(10^-20)/(0.001*(10^6)*(10^-12))/6</f>
        <v>4.3256014954999998E-9</v>
      </c>
      <c r="H203">
        <f>STDEV(H192:H201)/SQRT(COUNT(H192:H201))</f>
        <v>5.1823917584132712E-2</v>
      </c>
      <c r="I203">
        <f>(I202-I188)*687*(10^-20)/(0.001*(10^6)*(10^-12))/6</f>
        <v>5.4202490899999984E-9</v>
      </c>
      <c r="J203">
        <f>STDEV(J192:J201)/SQRT(COUNT(J192:J201))</f>
        <v>0.10306546871381519</v>
      </c>
      <c r="K203">
        <f>(K202-K188)*685*(10^-20)/(0.001*(10^6)*(10^-12))/6</f>
        <v>6.6151766341666655E-9</v>
      </c>
      <c r="M203" t="s">
        <v>48</v>
      </c>
      <c r="N203">
        <f>STDEV(N192:N201)/SQRT(COUNT(N192:N201))</f>
        <v>5.841846195378899E-2</v>
      </c>
      <c r="O203">
        <f>(O202-O188)*687*(10^-20)/(0.001*(10^6)*(10^-12))/6</f>
        <v>6.7759040144999994E-9</v>
      </c>
      <c r="P203">
        <f>STDEV(P192:P201)/SQRT(COUNT(P192:P201))</f>
        <v>5.1367046537501869E-2</v>
      </c>
      <c r="Q203">
        <f>(Q202-Q188)*687*(10^-20)/(0.001*(10^6)*(10^-12))/6</f>
        <v>7.5968889375000009E-9</v>
      </c>
      <c r="R203">
        <f>STDEV(R192:R201)/SQRT(COUNT(R192:R201))</f>
        <v>7.9457748545894741E-2</v>
      </c>
      <c r="S203">
        <f>(S202-S188)*687*(10^-20)/(0.001*(10^6)*(10^-12))/6</f>
        <v>8.8088922764999991E-9</v>
      </c>
      <c r="T203">
        <f>STDEV(T192:T201)/SQRT(COUNT(T192:T201))</f>
        <v>9.0155086747035457E-2</v>
      </c>
      <c r="U203">
        <f>(U202-U188)*687*(10^-20)/(0.001*(10^6)*(10^-12))/6</f>
        <v>9.4054665885000011E-9</v>
      </c>
      <c r="V203">
        <f>STDEV(V192:V201)/SQRT(COUNT(V192:V201))</f>
        <v>0.10706709139507542</v>
      </c>
      <c r="W203">
        <f>(W202-W188)*685*(10^-20)/(0.001*(10^6)*(10^-12))/6</f>
        <v>1.0210195346666666E-8</v>
      </c>
      <c r="Y203" t="s">
        <v>48</v>
      </c>
      <c r="Z203">
        <f>STDEV(Z192:Z201)/SQRT(COUNT(Z192:Z201))</f>
        <v>3.8564938215978332E-2</v>
      </c>
      <c r="AA203">
        <f>(AA202-AA188)*687*(10^-20)/(0.001*(10^6)*(10^-12))/6</f>
        <v>4.8808312314999997E-9</v>
      </c>
      <c r="AB203">
        <f>STDEV(AB192:AB201)/SQRT(COUNT(AB192:AB201))</f>
        <v>7.3055880556504013E-2</v>
      </c>
      <c r="AC203">
        <f>(AC202-AC188)*687*(10^-20)/(0.001*(10^6)*(10^-12))/6</f>
        <v>5.6736259109999999E-9</v>
      </c>
      <c r="AD203">
        <f>STDEV(AD192:AD201)/SQRT(COUNT(AD192:AD201))</f>
        <v>8.9135279275878665E-2</v>
      </c>
      <c r="AE203">
        <f>(AE202-AE188)*687*(10^-20)/(0.001*(10^6)*(10^-12))/6</f>
        <v>6.8933265124999993E-9</v>
      </c>
      <c r="AF203">
        <f>STDEV(AF192:AF201)/SQRT(COUNT(AF192:AF201))</f>
        <v>8.1735214935683476E-2</v>
      </c>
      <c r="AG203">
        <f>(AG202-AG188)*687*(10^-20)/(0.001*(10^6)*(10^-12))/6</f>
        <v>8.2965125624999985E-9</v>
      </c>
      <c r="AH203">
        <f>STDEV(AH192:AH201)/SQRT(COUNT(AH192:AH201))</f>
        <v>0.11341298246123435</v>
      </c>
      <c r="AI203">
        <f>(AI202-AI188)*685*(10^-20)/(0.001*(10^6)*(10^-12))/6</f>
        <v>9.1851920574999987E-9</v>
      </c>
    </row>
    <row r="204" spans="1:36" x14ac:dyDescent="0.2">
      <c r="A204" t="s">
        <v>75</v>
      </c>
      <c r="B204">
        <f>B202-687/686*B188</f>
        <v>0.73662436909717144</v>
      </c>
      <c r="D204">
        <f>D202-687/686*D188</f>
        <v>0.99999370247815023</v>
      </c>
      <c r="F204">
        <f>F202-687/686*F188</f>
        <v>1.1696292548094789</v>
      </c>
      <c r="H204">
        <f>H202-687/686*H188</f>
        <v>1.4110104370256522</v>
      </c>
      <c r="J204">
        <f>J202-687/686*J188</f>
        <v>1.3722079947524435</v>
      </c>
      <c r="M204" t="s">
        <v>75</v>
      </c>
      <c r="N204">
        <f>N202-687/686*N188</f>
        <v>1.9639873475221066</v>
      </c>
      <c r="P204">
        <f>P202-687/686*P188</f>
        <v>1.7849983607875402</v>
      </c>
      <c r="R204">
        <f>R202-687/686*R188</f>
        <v>2.1689680695330935</v>
      </c>
      <c r="T204">
        <f>T202-687/686*T188</f>
        <v>2.2995434760932767</v>
      </c>
      <c r="V204">
        <f>V202-687/686*V188</f>
        <v>2.1672233112244612</v>
      </c>
      <c r="Y204" t="s">
        <v>75</v>
      </c>
      <c r="Z204">
        <f>Z202-687/686*Z188</f>
        <v>0.80014475860070888</v>
      </c>
      <c r="AB204">
        <f>AB202-687/686*AB188</f>
        <v>0.84931736924227152</v>
      </c>
      <c r="AD204">
        <f>AD202-687/686*AD188</f>
        <v>1.086528679300045</v>
      </c>
      <c r="AF204">
        <f>AF202-687/686*AF188</f>
        <v>0.991575741253655</v>
      </c>
      <c r="AH204">
        <f>AH202-687/686*AH188</f>
        <v>1.0889098618076787</v>
      </c>
      <c r="AJ204" t="s">
        <v>110</v>
      </c>
    </row>
    <row r="205" spans="1:36" x14ac:dyDescent="0.2">
      <c r="A205" t="s">
        <v>72</v>
      </c>
      <c r="B205">
        <f>B203+B189</f>
        <v>7.2897240661121299E-2</v>
      </c>
      <c r="D205">
        <f>D203+D189</f>
        <v>6.258992197556397E-2</v>
      </c>
      <c r="F205">
        <f>F203+F189</f>
        <v>0.13212250726025146</v>
      </c>
      <c r="H205">
        <f>H203+H189</f>
        <v>0.1189223861425219</v>
      </c>
      <c r="J205">
        <f>J203+J189</f>
        <v>0.16054265316627719</v>
      </c>
      <c r="M205" t="s">
        <v>72</v>
      </c>
      <c r="N205">
        <f>N203+N189</f>
        <v>0.11536203457113349</v>
      </c>
      <c r="P205">
        <f>P203+P189</f>
        <v>0.11487640594922027</v>
      </c>
      <c r="R205">
        <f>R203+R189</f>
        <v>0.14818857348596109</v>
      </c>
      <c r="T205">
        <f>T203+T189</f>
        <v>0.13749528198796707</v>
      </c>
      <c r="V205">
        <f>V203+V189</f>
        <v>0.1814191327870649</v>
      </c>
      <c r="Y205" t="s">
        <v>72</v>
      </c>
      <c r="Z205">
        <f>Z203+Z189</f>
        <v>7.494982866294897E-2</v>
      </c>
      <c r="AB205">
        <f>AB203+AB189</f>
        <v>0.11647163757685805</v>
      </c>
      <c r="AD205">
        <f>AD203+AD189</f>
        <v>0.16691853148748959</v>
      </c>
      <c r="AF205">
        <f>AF203+AF189</f>
        <v>0.14989885363831212</v>
      </c>
      <c r="AH205">
        <f>AH203+AH189</f>
        <v>0.19399937355912331</v>
      </c>
      <c r="AJ205">
        <f>AVERAGE(Z205:AH205,N205:V205,B205:J205)</f>
        <v>0.1297769575274543</v>
      </c>
    </row>
    <row r="206" spans="1:36" x14ac:dyDescent="0.2">
      <c r="A206" t="s">
        <v>79</v>
      </c>
      <c r="B206">
        <f>B204+B173</f>
        <v>2.3464405000017905</v>
      </c>
      <c r="D206">
        <f>D204+D173</f>
        <v>2.441350600000078</v>
      </c>
      <c r="F206">
        <f>F204+F173</f>
        <v>2.8813998999980868</v>
      </c>
      <c r="H206">
        <f>H204+H173</f>
        <v>3.1372947999984717</v>
      </c>
      <c r="J206">
        <f>J204+J173</f>
        <v>3.052174800001012</v>
      </c>
      <c r="M206" t="s">
        <v>79</v>
      </c>
      <c r="N206">
        <f>N204+N171</f>
        <v>2.8067989000001035</v>
      </c>
      <c r="P206">
        <f>P204+P171</f>
        <v>3.4419855000001007</v>
      </c>
      <c r="R206">
        <f>R204+R171</f>
        <v>3.6707131999996818</v>
      </c>
      <c r="T206">
        <f>T204+T171</f>
        <v>3.6550661000001128</v>
      </c>
      <c r="V206">
        <f>V204+V171</f>
        <v>4.0483299999996234</v>
      </c>
      <c r="Y206" t="s">
        <v>79</v>
      </c>
      <c r="Z206">
        <f>Z204+Z171</f>
        <v>3.0006885999996484</v>
      </c>
      <c r="AB206">
        <f>AB204+AB171</f>
        <v>2.8828109999999469</v>
      </c>
      <c r="AD206">
        <f>AD204+AD171</f>
        <v>3.2669717999997374</v>
      </c>
      <c r="AF206">
        <f>AF204+AF171</f>
        <v>3.3055215999997927</v>
      </c>
      <c r="AH206">
        <f>AH204+AH171</f>
        <v>3.5179546000003938</v>
      </c>
      <c r="AJ206" t="s">
        <v>110</v>
      </c>
    </row>
    <row r="207" spans="1:36" x14ac:dyDescent="0.2">
      <c r="A207" t="s">
        <v>72</v>
      </c>
      <c r="B207">
        <f>B203+B189+B170</f>
        <v>0.11162974159159278</v>
      </c>
      <c r="D207">
        <f>D203+D189+D170</f>
        <v>0.11425582654564942</v>
      </c>
      <c r="F207">
        <f>F203+F189+F170</f>
        <v>0.20228776876484322</v>
      </c>
      <c r="H207">
        <f>H203+H189+H170</f>
        <v>0.17773079932074318</v>
      </c>
      <c r="J207">
        <f>J203+J189+J170</f>
        <v>0.22331769210853022</v>
      </c>
      <c r="M207" t="s">
        <v>72</v>
      </c>
      <c r="N207">
        <f>N203+N189+N170</f>
        <v>0.19071977370347426</v>
      </c>
      <c r="P207">
        <f>P203+P189+P170</f>
        <v>0.18712690961792339</v>
      </c>
      <c r="R207">
        <f>R203+R189+R170</f>
        <v>0.23576562378509824</v>
      </c>
      <c r="T207">
        <f>T203+T189+T170</f>
        <v>0.22016050916724764</v>
      </c>
      <c r="V207">
        <f>V203+V189+V170</f>
        <v>0.27401629084736634</v>
      </c>
      <c r="Y207" t="s">
        <v>72</v>
      </c>
      <c r="Z207">
        <f>Z203+Z189+Z170</f>
        <v>0.13820059097174375</v>
      </c>
      <c r="AB207">
        <f>AB203+AB189+AB170</f>
        <v>0.1619915797523552</v>
      </c>
      <c r="AD207">
        <f>AD203+AD189+AD170</f>
        <v>0.23036719552961205</v>
      </c>
      <c r="AF207">
        <f>AF203+AF189+AF170</f>
        <v>0.2446686218807328</v>
      </c>
      <c r="AH207">
        <f>AH203+AH189+AH170</f>
        <v>0.25854608056476197</v>
      </c>
      <c r="AJ207">
        <f>AVERAGE(Z207:AH207,N207:V207,B207:J207)</f>
        <v>0.19805233361011165</v>
      </c>
    </row>
    <row r="210" spans="2:36" x14ac:dyDescent="0.2">
      <c r="B210" s="8" t="s">
        <v>15</v>
      </c>
      <c r="E210">
        <f>AVERAGE(C211:G211)</f>
        <v>1.6338389683673085</v>
      </c>
      <c r="H210" t="s">
        <v>104</v>
      </c>
      <c r="N210" s="8" t="s">
        <v>25</v>
      </c>
      <c r="Q210">
        <f>AVERAGE(O211:S211)</f>
        <v>1.4476346269678289</v>
      </c>
      <c r="Z210" s="8" t="s">
        <v>34</v>
      </c>
      <c r="AC210">
        <f>AVERAGE(AA211:AE211)</f>
        <v>2.2314942379590321</v>
      </c>
    </row>
    <row r="211" spans="2:36" x14ac:dyDescent="0.2">
      <c r="B211" s="8" t="s">
        <v>86</v>
      </c>
      <c r="C211">
        <v>1.6098161309046191</v>
      </c>
      <c r="D211">
        <v>1.4413568975219277</v>
      </c>
      <c r="E211">
        <v>1.7117706451886079</v>
      </c>
      <c r="F211">
        <v>1.7262843629728195</v>
      </c>
      <c r="G211">
        <v>1.6799668052485686</v>
      </c>
      <c r="H211">
        <f>0.0004*C218+1.2086</f>
        <v>1.5286</v>
      </c>
      <c r="I211">
        <f>0.0004*D218+1.2086</f>
        <v>1.5686</v>
      </c>
      <c r="J211">
        <f>0.0004*E218+1.2086</f>
        <v>1.6086</v>
      </c>
      <c r="K211">
        <f>0.0004*F218+1.2086</f>
        <v>1.6485999999999998</v>
      </c>
      <c r="L211">
        <f>0.0004*G218+1.2086</f>
        <v>1.6885999999999999</v>
      </c>
      <c r="N211" s="8" t="s">
        <v>86</v>
      </c>
      <c r="O211">
        <f>N171</f>
        <v>0.84281155247799688</v>
      </c>
      <c r="P211">
        <f>P171</f>
        <v>1.6569871392125606</v>
      </c>
      <c r="Q211">
        <f>R171</f>
        <v>1.5017451304665883</v>
      </c>
      <c r="R211">
        <f>T171</f>
        <v>1.3555226239068361</v>
      </c>
      <c r="S211">
        <f>V171</f>
        <v>1.8811066887751622</v>
      </c>
      <c r="T211">
        <f>0.0018*C218-0.3275</f>
        <v>1.1124999999999998</v>
      </c>
      <c r="U211">
        <f t="shared" ref="U211:X211" si="69">0.0018*D218-0.3275</f>
        <v>1.2925</v>
      </c>
      <c r="V211">
        <f t="shared" si="69"/>
        <v>1.4725000000000001</v>
      </c>
      <c r="W211">
        <f t="shared" si="69"/>
        <v>1.6524999999999999</v>
      </c>
      <c r="X211">
        <f t="shared" si="69"/>
        <v>1.8325</v>
      </c>
      <c r="Z211" s="8" t="s">
        <v>86</v>
      </c>
      <c r="AA211">
        <f>Z171</f>
        <v>2.2005438413989395</v>
      </c>
      <c r="AB211">
        <f>AB171</f>
        <v>2.0334936307576754</v>
      </c>
      <c r="AC211">
        <f>AD171</f>
        <v>2.1804431206996924</v>
      </c>
      <c r="AD211">
        <f>AF171</f>
        <v>2.3139458587461377</v>
      </c>
      <c r="AE211">
        <f>AH171</f>
        <v>2.4290447381927152</v>
      </c>
      <c r="AF211">
        <f>0.0007*C218+1.494</f>
        <v>2.0539999999999998</v>
      </c>
      <c r="AG211">
        <f t="shared" ref="AG211:AJ211" si="70">0.0007*D218+1.494</f>
        <v>2.1240000000000001</v>
      </c>
      <c r="AH211">
        <f t="shared" si="70"/>
        <v>2.194</v>
      </c>
      <c r="AI211">
        <f t="shared" si="70"/>
        <v>2.2640000000000002</v>
      </c>
      <c r="AJ211">
        <f t="shared" si="70"/>
        <v>2.3340000000000001</v>
      </c>
    </row>
    <row r="212" spans="2:36" x14ac:dyDescent="0.2">
      <c r="B212" t="s">
        <v>90</v>
      </c>
      <c r="C212">
        <v>6.5513826693927968E-2</v>
      </c>
      <c r="D212">
        <v>7.7915426700890397E-2</v>
      </c>
      <c r="E212">
        <v>0.14985191943928355</v>
      </c>
      <c r="F212">
        <v>0.12590688173661047</v>
      </c>
      <c r="G212">
        <v>0.12025222339471503</v>
      </c>
      <c r="I212" t="s">
        <v>98</v>
      </c>
      <c r="N212" t="s">
        <v>90</v>
      </c>
      <c r="O212">
        <v>0.13230131174968526</v>
      </c>
      <c r="P212">
        <v>0.13575986308042154</v>
      </c>
      <c r="Q212">
        <v>0.15630787523920353</v>
      </c>
      <c r="R212">
        <v>0.13000542242021218</v>
      </c>
      <c r="S212">
        <v>0.16694919945229089</v>
      </c>
      <c r="U212" t="s">
        <v>98</v>
      </c>
      <c r="Z212" t="s">
        <v>90</v>
      </c>
      <c r="AA212">
        <v>9.9635652755765441E-2</v>
      </c>
      <c r="AB212">
        <v>8.8935699195851176E-2</v>
      </c>
      <c r="AC212">
        <v>0.14123191625373338</v>
      </c>
      <c r="AD212">
        <v>0.16293340694504932</v>
      </c>
      <c r="AE212">
        <v>0.14513309810352759</v>
      </c>
    </row>
    <row r="213" spans="2:36" x14ac:dyDescent="0.2">
      <c r="B213" s="8" t="s">
        <v>87</v>
      </c>
      <c r="C213">
        <v>5.8082668416666647E-10</v>
      </c>
      <c r="D213">
        <v>9.0481010666666652E-10</v>
      </c>
      <c r="E213">
        <v>1.3684112566666663E-9</v>
      </c>
      <c r="F213">
        <v>1.9094691241666666E-9</v>
      </c>
      <c r="G213">
        <v>2.517116298333333E-9</v>
      </c>
      <c r="H213">
        <f>C215/C213</f>
        <v>3.7597143841622276</v>
      </c>
      <c r="I213">
        <f>D215/D213</f>
        <v>3.5860536779223717</v>
      </c>
      <c r="J213">
        <f>E215/E213</f>
        <v>3.1518366632504833</v>
      </c>
      <c r="K213">
        <f>F215/F213</f>
        <v>2.8303519278036466</v>
      </c>
      <c r="L213">
        <f>G215/G213</f>
        <v>2.6280774704556937</v>
      </c>
      <c r="N213" s="8" t="s">
        <v>87</v>
      </c>
      <c r="O213">
        <v>8.5626815250000007E-10</v>
      </c>
      <c r="P213">
        <v>1.42042439125E-9</v>
      </c>
      <c r="Q213">
        <v>2.2621191116666664E-9</v>
      </c>
      <c r="R213">
        <v>3.2028076916666658E-9</v>
      </c>
      <c r="S213">
        <v>4.4409647712499988E-9</v>
      </c>
      <c r="T213">
        <f>O216/O213</f>
        <v>7.9132967805900023</v>
      </c>
      <c r="U213">
        <f t="shared" ref="U213:W213" si="71">P216/P213</f>
        <v>5.3483233492031186</v>
      </c>
      <c r="V213">
        <f t="shared" si="71"/>
        <v>3.894088614109207</v>
      </c>
      <c r="W213">
        <f t="shared" si="71"/>
        <v>2.9366316975483526</v>
      </c>
      <c r="X213">
        <f>S216/S213</f>
        <v>2.2990939745268011</v>
      </c>
      <c r="Z213" s="8" t="s">
        <v>87</v>
      </c>
      <c r="AA213">
        <v>6.7760234249999985E-10</v>
      </c>
      <c r="AB213">
        <v>1.2846376974999997E-9</v>
      </c>
      <c r="AC213">
        <v>2.2625259445833335E-9</v>
      </c>
      <c r="AD213">
        <v>3.1455060145833334E-9</v>
      </c>
      <c r="AE213">
        <v>4.2480459379166647E-9</v>
      </c>
      <c r="AF213">
        <f>AA216/AA213</f>
        <v>7.2030908474906887</v>
      </c>
      <c r="AG213">
        <f t="shared" ref="AG213" si="72">AB216/AB213</f>
        <v>4.4165183086572162</v>
      </c>
      <c r="AH213">
        <f t="shared" ref="AH213" si="73">AC216/AC213</f>
        <v>3.04673921154503</v>
      </c>
      <c r="AI213">
        <f t="shared" ref="AI213" si="74">AD216/AD213</f>
        <v>2.6375764420844665</v>
      </c>
      <c r="AJ213">
        <f>AE216/AE213</f>
        <v>2.1622158026861213</v>
      </c>
    </row>
    <row r="214" spans="2:36" x14ac:dyDescent="0.2">
      <c r="B214" s="8" t="s">
        <v>88</v>
      </c>
      <c r="C214">
        <v>0.73662436909717144</v>
      </c>
      <c r="D214">
        <v>0.99999370247815023</v>
      </c>
      <c r="E214">
        <v>1.1696292548094789</v>
      </c>
      <c r="F214">
        <v>1.4110104370256522</v>
      </c>
      <c r="G214">
        <v>1.3722079947524435</v>
      </c>
      <c r="H214">
        <f>0.0017*C218-0.5443</f>
        <v>0.81569999999999987</v>
      </c>
      <c r="I214">
        <f t="shared" ref="I214:L214" si="75">0.0017*D218-0.5443</f>
        <v>0.9856999999999998</v>
      </c>
      <c r="J214">
        <f t="shared" si="75"/>
        <v>1.1556999999999999</v>
      </c>
      <c r="K214">
        <f t="shared" si="75"/>
        <v>1.3256999999999999</v>
      </c>
      <c r="L214">
        <f t="shared" si="75"/>
        <v>1.4957</v>
      </c>
      <c r="N214" s="8" t="s">
        <v>88</v>
      </c>
      <c r="O214">
        <v>1.9639873475221066</v>
      </c>
      <c r="P214">
        <v>1.7849983607875402</v>
      </c>
      <c r="Q214">
        <v>2.1689680695330935</v>
      </c>
      <c r="R214">
        <v>2.2995434760932767</v>
      </c>
      <c r="S214">
        <v>2.1672233112244612</v>
      </c>
      <c r="T214">
        <f>0.0009*C218+1.1559</f>
        <v>1.8758999999999999</v>
      </c>
      <c r="U214">
        <f t="shared" ref="U214:X214" si="76">0.0009*D218+1.1559</f>
        <v>1.9659</v>
      </c>
      <c r="V214">
        <f t="shared" si="76"/>
        <v>2.0558999999999998</v>
      </c>
      <c r="W214">
        <f t="shared" si="76"/>
        <v>2.1459000000000001</v>
      </c>
      <c r="X214">
        <f t="shared" si="76"/>
        <v>2.2359</v>
      </c>
      <c r="Z214" s="8" t="s">
        <v>88</v>
      </c>
      <c r="AA214">
        <v>0.80014475860070888</v>
      </c>
      <c r="AB214">
        <v>0.84931736924227152</v>
      </c>
      <c r="AC214">
        <v>1.086528679300045</v>
      </c>
      <c r="AD214">
        <v>0.991575741253655</v>
      </c>
      <c r="AE214">
        <v>1.0889098618076787</v>
      </c>
      <c r="AF214">
        <f>0.0007*C218+0.2434</f>
        <v>0.80339999999999989</v>
      </c>
      <c r="AG214">
        <f t="shared" ref="AG214:AJ214" si="77">0.0007*D218+0.2434</f>
        <v>0.87339999999999995</v>
      </c>
      <c r="AH214">
        <f t="shared" si="77"/>
        <v>0.94340000000000002</v>
      </c>
      <c r="AI214">
        <f t="shared" si="77"/>
        <v>1.0134000000000001</v>
      </c>
      <c r="AJ214">
        <f t="shared" si="77"/>
        <v>1.0833999999999999</v>
      </c>
    </row>
    <row r="215" spans="2:36" x14ac:dyDescent="0.2">
      <c r="B215" s="8" t="s">
        <v>89</v>
      </c>
      <c r="C215">
        <v>2.1837424391666671E-9</v>
      </c>
      <c r="D215">
        <v>3.2446976108333328E-9</v>
      </c>
      <c r="E215">
        <v>4.3130087691666663E-9</v>
      </c>
      <c r="F215">
        <v>5.4044696166666652E-9</v>
      </c>
      <c r="G215">
        <v>6.6151766341666655E-9</v>
      </c>
      <c r="I215" t="s">
        <v>105</v>
      </c>
      <c r="N215" s="8" t="s">
        <v>90</v>
      </c>
      <c r="O215">
        <v>0.11536203457113349</v>
      </c>
      <c r="P215">
        <v>0.11487640594922027</v>
      </c>
      <c r="Q215">
        <v>0.14818857348596109</v>
      </c>
      <c r="R215">
        <v>0.13749528198796707</v>
      </c>
      <c r="S215">
        <v>0.1814191327870649</v>
      </c>
      <c r="U215" t="s">
        <v>105</v>
      </c>
      <c r="Z215" s="8" t="s">
        <v>90</v>
      </c>
      <c r="AA215">
        <v>7.494982866294897E-2</v>
      </c>
      <c r="AB215">
        <v>0.11647163757685805</v>
      </c>
      <c r="AC215">
        <v>0.16691853148748959</v>
      </c>
      <c r="AD215">
        <v>0.14989885363831212</v>
      </c>
      <c r="AE215">
        <v>0.19399937355912331</v>
      </c>
      <c r="AG215" t="s">
        <v>105</v>
      </c>
    </row>
    <row r="216" spans="2:36" x14ac:dyDescent="0.2">
      <c r="B216" s="8" t="s">
        <v>90</v>
      </c>
      <c r="C216">
        <v>7.2897240661121299E-2</v>
      </c>
      <c r="D216">
        <v>6.258992197556397E-2</v>
      </c>
      <c r="E216">
        <v>0.13212250726025146</v>
      </c>
      <c r="F216">
        <v>0.1189223861425219</v>
      </c>
      <c r="G216">
        <v>0.16054265316627719</v>
      </c>
      <c r="H216">
        <f>C211/C214</f>
        <v>2.1853962459559373</v>
      </c>
      <c r="I216">
        <f t="shared" ref="I216:L216" si="78">D211/D214</f>
        <v>1.441365974555646</v>
      </c>
      <c r="J216">
        <f t="shared" si="78"/>
        <v>1.463515586798005</v>
      </c>
      <c r="K216">
        <f t="shared" si="78"/>
        <v>1.2234384081607155</v>
      </c>
      <c r="L216">
        <f t="shared" si="78"/>
        <v>1.2242800010443367</v>
      </c>
      <c r="N216" s="8" t="s">
        <v>89</v>
      </c>
      <c r="O216">
        <v>6.7759040144999994E-9</v>
      </c>
      <c r="P216">
        <v>7.5968889375000009E-9</v>
      </c>
      <c r="Q216">
        <v>8.8088922764999991E-9</v>
      </c>
      <c r="R216">
        <v>9.4054665885000011E-9</v>
      </c>
      <c r="S216">
        <v>1.0210195346666666E-8</v>
      </c>
      <c r="T216">
        <f>O211/O214</f>
        <v>0.42913288292887553</v>
      </c>
      <c r="U216">
        <f t="shared" ref="U216" si="79">P211/P214</f>
        <v>0.92828496407217931</v>
      </c>
      <c r="V216">
        <f t="shared" ref="V216" si="80">Q211/Q214</f>
        <v>0.69237770327797588</v>
      </c>
      <c r="W216">
        <f t="shared" ref="W216" si="81">R211/R214</f>
        <v>0.58947466660197723</v>
      </c>
      <c r="X216">
        <f t="shared" ref="X216" si="82">S211/S214</f>
        <v>0.86798009186803837</v>
      </c>
      <c r="Z216" s="8" t="s">
        <v>89</v>
      </c>
      <c r="AA216">
        <v>4.8808312314999997E-9</v>
      </c>
      <c r="AB216">
        <v>5.6736259109999999E-9</v>
      </c>
      <c r="AC216">
        <v>6.8933265124999993E-9</v>
      </c>
      <c r="AD216">
        <v>8.2965125624999985E-9</v>
      </c>
      <c r="AE216">
        <v>9.1851920574999987E-9</v>
      </c>
      <c r="AF216">
        <f>AA211/AA214</f>
        <v>2.7501821610970056</v>
      </c>
      <c r="AG216">
        <f t="shared" ref="AG216" si="83">AB211/AB214</f>
        <v>2.3942682728505607</v>
      </c>
      <c r="AH216">
        <f t="shared" ref="AH216" si="84">AC211/AC214</f>
        <v>2.0067975767601092</v>
      </c>
      <c r="AI216">
        <f t="shared" ref="AI216" si="85">AD211/AD214</f>
        <v>2.3336047489631024</v>
      </c>
      <c r="AJ216">
        <f t="shared" ref="AJ216" si="86">AE211/AE214</f>
        <v>2.2307124064064441</v>
      </c>
    </row>
    <row r="217" spans="2:36" x14ac:dyDescent="0.2">
      <c r="B217" s="8" t="s">
        <v>7</v>
      </c>
      <c r="C217">
        <f>1/(800*8.6173*10^-5)</f>
        <v>14.505703642672296</v>
      </c>
      <c r="D217">
        <f>1/(900*8.6173*10^-5)</f>
        <v>12.893958793486487</v>
      </c>
      <c r="E217">
        <f>1/(1000*8.6173*10^-5)</f>
        <v>11.604562914137839</v>
      </c>
      <c r="F217">
        <f>1/(1100*8.6173*10^-5)</f>
        <v>10.549602649216217</v>
      </c>
      <c r="G217">
        <f>1/(1200*8.6173*10^-5)</f>
        <v>9.6704690951148642</v>
      </c>
      <c r="N217" s="8" t="s">
        <v>7</v>
      </c>
      <c r="O217">
        <f>1/(800*8.6173*10^-5)</f>
        <v>14.505703642672296</v>
      </c>
      <c r="P217">
        <f>1/(900*8.6173*10^-5)</f>
        <v>12.893958793486487</v>
      </c>
      <c r="Q217">
        <f>1/(1000*8.6173*10^-5)</f>
        <v>11.604562914137839</v>
      </c>
      <c r="R217">
        <f>1/(1100*8.6173*10^-5)</f>
        <v>10.549602649216217</v>
      </c>
      <c r="S217">
        <f>1/(1200*8.6173*10^-5)</f>
        <v>9.6704690951148642</v>
      </c>
      <c r="Z217" s="8" t="s">
        <v>7</v>
      </c>
      <c r="AA217">
        <f>1/(800*8.6173*10^-5)</f>
        <v>14.505703642672296</v>
      </c>
      <c r="AB217">
        <f>1/(900*8.6173*10^-5)</f>
        <v>12.893958793486487</v>
      </c>
      <c r="AC217">
        <f>1/(1000*8.6173*10^-5)</f>
        <v>11.604562914137839</v>
      </c>
      <c r="AD217">
        <f>1/(1100*8.6173*10^-5)</f>
        <v>10.549602649216217</v>
      </c>
      <c r="AE217">
        <f>1/(1200*8.6173*10^-5)</f>
        <v>9.6704690951148642</v>
      </c>
    </row>
    <row r="218" spans="2:36" x14ac:dyDescent="0.2">
      <c r="B218" s="8" t="s">
        <v>92</v>
      </c>
      <c r="C218">
        <v>800</v>
      </c>
      <c r="D218">
        <v>900</v>
      </c>
      <c r="E218">
        <v>1000</v>
      </c>
      <c r="F218">
        <v>1100</v>
      </c>
      <c r="G218">
        <v>1200</v>
      </c>
      <c r="N218" s="8" t="s">
        <v>79</v>
      </c>
      <c r="O218">
        <v>2.8067989000001035</v>
      </c>
      <c r="P218">
        <v>3.4419855000001007</v>
      </c>
      <c r="Q218">
        <v>3.6707131999996818</v>
      </c>
      <c r="R218">
        <v>3.6550661000001128</v>
      </c>
      <c r="S218">
        <v>4.0483299999996234</v>
      </c>
      <c r="T218">
        <f>0.0027*C218+0.8284</f>
        <v>2.9884000000000004</v>
      </c>
      <c r="U218">
        <f t="shared" ref="U218:X218" si="87">0.0027*D218+0.8284</f>
        <v>3.2584</v>
      </c>
      <c r="V218">
        <f t="shared" si="87"/>
        <v>3.5284000000000004</v>
      </c>
      <c r="W218">
        <f t="shared" si="87"/>
        <v>3.7984</v>
      </c>
      <c r="X218">
        <f t="shared" si="87"/>
        <v>4.0684000000000005</v>
      </c>
      <c r="Z218" s="8" t="s">
        <v>79</v>
      </c>
      <c r="AA218">
        <v>3.0006885999996502</v>
      </c>
      <c r="AB218">
        <v>2.8828109999999469</v>
      </c>
      <c r="AC218">
        <v>3.2669717999997374</v>
      </c>
      <c r="AD218">
        <v>3.3055215999997927</v>
      </c>
      <c r="AE218">
        <v>3.5179546000003938</v>
      </c>
      <c r="AF218">
        <f>0.0015*C218+1.7375</f>
        <v>2.9375</v>
      </c>
      <c r="AG218">
        <f t="shared" ref="AG218:AJ218" si="88">0.0015*D218+1.7375</f>
        <v>3.0875000000000004</v>
      </c>
      <c r="AH218">
        <f t="shared" si="88"/>
        <v>3.2374999999999998</v>
      </c>
      <c r="AI218">
        <f t="shared" si="88"/>
        <v>3.3875000000000002</v>
      </c>
      <c r="AJ218">
        <f t="shared" si="88"/>
        <v>3.5375000000000001</v>
      </c>
    </row>
    <row r="219" spans="2:36" x14ac:dyDescent="0.2">
      <c r="B219" s="8" t="s">
        <v>79</v>
      </c>
      <c r="C219">
        <v>2.3464405000017905</v>
      </c>
      <c r="D219">
        <v>2.441350600000078</v>
      </c>
      <c r="E219">
        <v>2.8813998999980868</v>
      </c>
      <c r="F219">
        <v>3.1372947999984717</v>
      </c>
      <c r="G219">
        <v>3.052174800001012</v>
      </c>
      <c r="H219">
        <f>0.0021*C218+0.6643</f>
        <v>2.3443000000000001</v>
      </c>
      <c r="I219">
        <f t="shared" ref="I219:L219" si="89">0.0021*D218+0.6643</f>
        <v>2.5543</v>
      </c>
      <c r="J219">
        <f t="shared" si="89"/>
        <v>2.7643</v>
      </c>
      <c r="K219">
        <f t="shared" si="89"/>
        <v>2.9742999999999999</v>
      </c>
      <c r="L219">
        <f t="shared" si="89"/>
        <v>3.1842999999999999</v>
      </c>
      <c r="N219" s="8" t="s">
        <v>90</v>
      </c>
      <c r="O219">
        <v>0.19071977370347401</v>
      </c>
      <c r="P219">
        <v>0.18712690961792339</v>
      </c>
      <c r="Q219">
        <v>0.23576562378509824</v>
      </c>
      <c r="R219">
        <v>0.22016050916724764</v>
      </c>
      <c r="S219">
        <v>0.27401629084736634</v>
      </c>
      <c r="Z219" s="8" t="s">
        <v>90</v>
      </c>
      <c r="AA219">
        <v>0.13820059097174375</v>
      </c>
      <c r="AB219">
        <v>0.1619915797523552</v>
      </c>
      <c r="AC219">
        <v>0.23036719552961205</v>
      </c>
      <c r="AD219">
        <v>0.2446686218807328</v>
      </c>
      <c r="AE219">
        <v>0.25854608056476197</v>
      </c>
    </row>
    <row r="220" spans="2:36" x14ac:dyDescent="0.2">
      <c r="B220" s="8" t="s">
        <v>90</v>
      </c>
      <c r="C220">
        <v>0.111629741591593</v>
      </c>
      <c r="D220">
        <v>0.11425582654564942</v>
      </c>
      <c r="E220">
        <v>0.20228776876484322</v>
      </c>
      <c r="F220">
        <v>0.17773079932074318</v>
      </c>
      <c r="G220">
        <v>0.22331769210853022</v>
      </c>
      <c r="N220" s="8" t="s">
        <v>93</v>
      </c>
      <c r="O220">
        <f>O213*EXP(-O211*O217)+O216*EXP(-O214*O217)</f>
        <v>4.1986579803737495E-15</v>
      </c>
      <c r="P220">
        <f>P213*EXP(-P211*P217)+P216*EXP(-P214*P217)</f>
        <v>1.5150319804218991E-18</v>
      </c>
      <c r="Q220">
        <f t="shared" ref="Q220:R220" si="90">Q213*EXP(-Q211*Q217)+Q216*EXP(-Q214*Q217)</f>
        <v>6.1200785012521732E-17</v>
      </c>
      <c r="R220">
        <f t="shared" si="90"/>
        <v>1.972796756503392E-15</v>
      </c>
      <c r="S220">
        <f>S213*EXP(-S211*S217)+S216*EXP(-S214*S217)</f>
        <v>6.3939351246280376E-17</v>
      </c>
      <c r="Z220" s="8" t="s">
        <v>93</v>
      </c>
      <c r="AA220">
        <f>AA213*EXP(-AA211*AA217)+AA216*EXP(-AA214*AA217)</f>
        <v>4.4441039623124852E-14</v>
      </c>
      <c r="AB220">
        <f t="shared" ref="AB220:AE220" si="91">AB213*EXP(-AB211*AB217)+AB216*EXP(-AB214*AB217)</f>
        <v>9.9511762487551149E-14</v>
      </c>
      <c r="AC220">
        <f t="shared" si="91"/>
        <v>2.3043296885164207E-14</v>
      </c>
      <c r="AD220">
        <f t="shared" si="91"/>
        <v>2.3760653129259157E-13</v>
      </c>
      <c r="AE220">
        <f t="shared" si="91"/>
        <v>2.4538664481088762E-13</v>
      </c>
    </row>
    <row r="221" spans="2:36" x14ac:dyDescent="0.2">
      <c r="B221" s="8" t="s">
        <v>93</v>
      </c>
      <c r="C221">
        <f>C213*EXP(-C211*C217)+C215*EXP(-C214*C217)</f>
        <v>4.9963699082157704E-14</v>
      </c>
      <c r="D221">
        <f t="shared" ref="D221:G221" si="92">D213*EXP(-D211*D217)+D215*EXP(-D214*D217)</f>
        <v>8.1628734242781018E-15</v>
      </c>
      <c r="E221">
        <f t="shared" si="92"/>
        <v>5.4997220766339145E-15</v>
      </c>
      <c r="F221">
        <f t="shared" si="92"/>
        <v>1.8771490673094703E-15</v>
      </c>
      <c r="G221">
        <f t="shared" si="92"/>
        <v>1.1637089480910443E-14</v>
      </c>
      <c r="H221">
        <f>C213*EXP(-H211*C217)+C215*EXP(-H214*C217)</f>
        <v>1.586724310479393E-14</v>
      </c>
      <c r="I221">
        <f t="shared" ref="I221:L221" si="93">D213*EXP(-I211*D217)+D215*EXP(-I214*D217)</f>
        <v>9.8071265876077615E-15</v>
      </c>
      <c r="J221">
        <f t="shared" si="93"/>
        <v>6.471494134367518E-15</v>
      </c>
      <c r="K221">
        <f t="shared" si="93"/>
        <v>4.612526509314875E-15</v>
      </c>
      <c r="L221">
        <f t="shared" si="93"/>
        <v>3.661964512405121E-15</v>
      </c>
      <c r="O221">
        <f>EXP(-T218/2*O217)</f>
        <v>3.8629399824852689E-10</v>
      </c>
      <c r="P221">
        <f t="shared" ref="P221:R221" si="94">EXP(-U218/2*P217)</f>
        <v>7.5308902626301322E-10</v>
      </c>
      <c r="Q221">
        <f t="shared" si="94"/>
        <v>1.2846623790992949E-9</v>
      </c>
      <c r="R221">
        <f t="shared" si="94"/>
        <v>1.9886588872774544E-9</v>
      </c>
      <c r="S221">
        <f>EXP(-X218/2*S217)</f>
        <v>2.8622201607469602E-9</v>
      </c>
      <c r="T221">
        <f>O213*EXP(-T211*O217)+O215*EXP(-T214*O217)</f>
        <v>1.7562046701951946E-13</v>
      </c>
      <c r="U221">
        <f t="shared" ref="U221:X221" si="95">P213*EXP(-U211*P217)+P215*EXP(-U214*P217)</f>
        <v>1.1263271398135477E-12</v>
      </c>
      <c r="V221">
        <f t="shared" si="95"/>
        <v>6.4491210592667866E-12</v>
      </c>
      <c r="W221">
        <f t="shared" si="95"/>
        <v>2.0256330462632133E-11</v>
      </c>
      <c r="X221">
        <f t="shared" si="95"/>
        <v>7.3838125420759129E-11</v>
      </c>
      <c r="AA221">
        <f>EXP(-AF218/2*AA217)</f>
        <v>5.5878729491604214E-10</v>
      </c>
      <c r="AB221">
        <f t="shared" ref="AB221:AE221" si="96">EXP(-AG218/2*AB217)</f>
        <v>2.2664550287863292E-9</v>
      </c>
      <c r="AC221">
        <f t="shared" si="96"/>
        <v>6.947484278181456E-9</v>
      </c>
      <c r="AD221">
        <f t="shared" si="96"/>
        <v>1.7372288988470374E-8</v>
      </c>
      <c r="AE221">
        <f t="shared" si="96"/>
        <v>3.728621267580156E-8</v>
      </c>
    </row>
    <row r="222" spans="2:36" x14ac:dyDescent="0.2">
      <c r="C222">
        <f>EXP(-H219/2*C217)</f>
        <v>4.1281122460350095E-8</v>
      </c>
      <c r="D222">
        <f t="shared" ref="D222:G222" si="97">EXP(-I219/2*D217)</f>
        <v>7.0509423238610887E-8</v>
      </c>
      <c r="E222">
        <f t="shared" si="97"/>
        <v>1.082040942311203E-7</v>
      </c>
      <c r="F222">
        <f t="shared" si="97"/>
        <v>1.5361112664184707E-7</v>
      </c>
      <c r="G222">
        <f t="shared" si="97"/>
        <v>2.0570198923154438E-7</v>
      </c>
      <c r="O222">
        <f>O221*O216+O221*O213</f>
        <v>2.9482623017115536E-18</v>
      </c>
      <c r="P222">
        <f>P221*P216+P221*P213</f>
        <v>6.7908397142568291E-18</v>
      </c>
      <c r="Q222">
        <f t="shared" ref="Q222:S222" si="98">Q221*Q216+Q221*Q213</f>
        <v>1.4222511828957576E-17</v>
      </c>
      <c r="R222">
        <f t="shared" si="98"/>
        <v>2.507355670048519E-17</v>
      </c>
      <c r="S222">
        <f t="shared" si="98"/>
        <v>4.193484586783289E-17</v>
      </c>
      <c r="AA222">
        <f>AA221*AA216+AA221*AA213</f>
        <v>3.1059820607859681E-18</v>
      </c>
      <c r="AB222">
        <f>AB221*AB216+AB221*AB213</f>
        <v>1.5770591547105734E-17</v>
      </c>
      <c r="AC222">
        <f t="shared" ref="AC222" si="99">AC221*AC216+AC221*AC213</f>
        <v>6.3610140998935513E-17</v>
      </c>
      <c r="AD222">
        <f>AD221*AD216+AD221*AD213</f>
        <v>1.9877405333253822E-16</v>
      </c>
      <c r="AE222">
        <f>AE221*AE216+AE221*AE213</f>
        <v>5.0087456882176392E-16</v>
      </c>
    </row>
    <row r="223" spans="2:36" x14ac:dyDescent="0.2">
      <c r="C223">
        <f>C222*C215+C222*C213</f>
        <v>1.1412451653042604E-16</v>
      </c>
      <c r="D223">
        <f t="shared" ref="D223:G223" si="100">D222*D215+D222*D213</f>
        <v>2.9257939588508968E-16</v>
      </c>
      <c r="E223">
        <f t="shared" si="100"/>
        <v>6.1475290784184385E-16</v>
      </c>
      <c r="F223">
        <f t="shared" si="100"/>
        <v>1.1235023701688604E-15</v>
      </c>
      <c r="G223">
        <f t="shared" si="100"/>
        <v>1.8785308224604237E-15</v>
      </c>
      <c r="H223">
        <f>C213*EXP(-$J211*C217)+C215*EXP(-$J214*C217)</f>
        <v>1.1448423996438718E-16</v>
      </c>
      <c r="I223">
        <f t="shared" ref="I223:L223" si="101">D213*EXP(-$J211*D217)+D215*EXP(-$J214*D217)</f>
        <v>1.0961407805724073E-15</v>
      </c>
      <c r="J223">
        <f t="shared" si="101"/>
        <v>6.471494134367518E-15</v>
      </c>
      <c r="K223">
        <f t="shared" si="101"/>
        <v>2.7481946311277757E-14</v>
      </c>
      <c r="L223">
        <f t="shared" si="101"/>
        <v>9.3081154393362322E-14</v>
      </c>
      <c r="N223" s="8" t="s">
        <v>101</v>
      </c>
      <c r="O223">
        <v>8.5999999999999993E-2</v>
      </c>
      <c r="T223">
        <f>O213*EXP(-$V211*O217)+O215*EXP(-$V214*O217)</f>
        <v>1.2895203852499155E-14</v>
      </c>
      <c r="U223">
        <f t="shared" ref="U223:X223" si="102">P213*EXP(-$V211*P217)+P215*EXP(-$V214*P217)</f>
        <v>3.5290923976752155E-13</v>
      </c>
      <c r="V223">
        <f t="shared" si="102"/>
        <v>6.4491210592667866E-12</v>
      </c>
      <c r="W223">
        <f t="shared" si="102"/>
        <v>5.2349287300717603E-11</v>
      </c>
      <c r="X223">
        <f t="shared" si="102"/>
        <v>4.209715824671216E-10</v>
      </c>
      <c r="Z223" s="8" t="s">
        <v>102</v>
      </c>
      <c r="AA223">
        <v>0.13600000000000001</v>
      </c>
      <c r="AF223">
        <f>AA213*EXP(-$AH211*AA217)+AA216*EXP(-$AH214*AA217)</f>
        <v>5.5630431239549597E-15</v>
      </c>
      <c r="AG223">
        <f t="shared" ref="AG223:AJ223" si="103">AB213*EXP(-$AH211*AB217)+AB216*EXP(-$AH214*AB217)</f>
        <v>2.9582360614209401E-14</v>
      </c>
      <c r="AH223">
        <f t="shared" si="103"/>
        <v>1.2130643195248758E-13</v>
      </c>
      <c r="AI223">
        <f t="shared" si="103"/>
        <v>3.9498641753733618E-13</v>
      </c>
      <c r="AJ223">
        <f t="shared" si="103"/>
        <v>1.0022324381637509E-12</v>
      </c>
    </row>
    <row r="224" spans="2:36" x14ac:dyDescent="0.2">
      <c r="B224" s="8" t="s">
        <v>102</v>
      </c>
      <c r="C224">
        <v>0.22800000000000001</v>
      </c>
    </row>
    <row r="241" spans="1:39" x14ac:dyDescent="0.2">
      <c r="B241">
        <v>600</v>
      </c>
      <c r="C241">
        <f>1/(8.6173*10^-5*B241)</f>
        <v>19.340938190229732</v>
      </c>
      <c r="H241">
        <v>800</v>
      </c>
      <c r="I241">
        <f>1/(8.6173*10^-5*H241)</f>
        <v>14.5057036426723</v>
      </c>
    </row>
    <row r="242" spans="1:39" x14ac:dyDescent="0.2">
      <c r="B242" t="s">
        <v>94</v>
      </c>
      <c r="D242" t="s">
        <v>95</v>
      </c>
      <c r="F242" t="s">
        <v>96</v>
      </c>
      <c r="H242" t="s">
        <v>94</v>
      </c>
      <c r="J242" t="s">
        <v>95</v>
      </c>
      <c r="L242" t="s">
        <v>96</v>
      </c>
    </row>
    <row r="243" spans="1:39" x14ac:dyDescent="0.2">
      <c r="A243" t="s">
        <v>97</v>
      </c>
      <c r="B243" t="s">
        <v>70</v>
      </c>
      <c r="C243" t="s">
        <v>8</v>
      </c>
      <c r="D243" t="s">
        <v>70</v>
      </c>
      <c r="E243" t="s">
        <v>8</v>
      </c>
      <c r="F243" t="s">
        <v>70</v>
      </c>
      <c r="G243" t="s">
        <v>8</v>
      </c>
      <c r="H243" t="s">
        <v>70</v>
      </c>
      <c r="I243" t="s">
        <v>8</v>
      </c>
      <c r="J243" t="s">
        <v>70</v>
      </c>
      <c r="K243" t="s">
        <v>8</v>
      </c>
      <c r="L243" t="s">
        <v>70</v>
      </c>
      <c r="M243" t="s">
        <v>8</v>
      </c>
      <c r="AF243">
        <f>3*10^-12</f>
        <v>3.0000000000000001E-12</v>
      </c>
      <c r="AG243">
        <f>0.0000000000007</f>
        <v>7.0000000000000005E-13</v>
      </c>
      <c r="AH243" s="9">
        <v>3.5000000000000002E-13</v>
      </c>
    </row>
    <row r="244" spans="1:39" x14ac:dyDescent="0.2">
      <c r="B244">
        <v>-5978.7784430000002</v>
      </c>
      <c r="C244">
        <v>9.511E-2</v>
      </c>
      <c r="D244">
        <v>-5980.5181320000002</v>
      </c>
      <c r="E244">
        <v>0.151088</v>
      </c>
      <c r="F244">
        <v>-5973.7669320000005</v>
      </c>
      <c r="G244">
        <v>0.15105199999999999</v>
      </c>
      <c r="H244">
        <v>-5920.739681</v>
      </c>
      <c r="I244">
        <v>0.15565899999999999</v>
      </c>
      <c r="J244">
        <v>-5921.6084110000002</v>
      </c>
      <c r="K244">
        <v>0.686496</v>
      </c>
      <c r="L244">
        <v>-5915.219846</v>
      </c>
      <c r="M244">
        <v>0.43179400000000001</v>
      </c>
      <c r="AF244">
        <v>8</v>
      </c>
      <c r="AG244">
        <v>9</v>
      </c>
      <c r="AH244">
        <v>9.5</v>
      </c>
    </row>
    <row r="245" spans="1:39" x14ac:dyDescent="0.2">
      <c r="B245">
        <v>-5978.8981899999999</v>
      </c>
      <c r="C245">
        <v>9.5163999999999999E-2</v>
      </c>
      <c r="D245">
        <v>-5980.5840829999997</v>
      </c>
      <c r="E245">
        <v>0.20321</v>
      </c>
      <c r="F245">
        <v>-5973.3980309999997</v>
      </c>
      <c r="G245">
        <v>0.16670599999999999</v>
      </c>
      <c r="H245">
        <v>-5920.8386309999996</v>
      </c>
      <c r="I245">
        <v>0.154469</v>
      </c>
      <c r="J245">
        <v>-5921.7291409999998</v>
      </c>
      <c r="K245">
        <v>0.82291700000000001</v>
      </c>
      <c r="L245">
        <v>-5915.7084599999998</v>
      </c>
      <c r="M245">
        <v>0.508768</v>
      </c>
    </row>
    <row r="246" spans="1:39" x14ac:dyDescent="0.2">
      <c r="B246">
        <v>-5978.9907759999996</v>
      </c>
      <c r="C246">
        <v>9.4688999999999995E-2</v>
      </c>
      <c r="D246">
        <v>-5980.462004</v>
      </c>
      <c r="E246">
        <v>0.19639699999999999</v>
      </c>
      <c r="F246">
        <v>-5973.3741639999998</v>
      </c>
      <c r="G246">
        <v>0.12753200000000001</v>
      </c>
      <c r="H246">
        <v>-5921.5107500000004</v>
      </c>
      <c r="I246">
        <v>0.15385799999999999</v>
      </c>
      <c r="J246">
        <v>-5921.7227800000001</v>
      </c>
      <c r="K246">
        <v>0.57751799999999998</v>
      </c>
      <c r="L246">
        <v>-5915.161443</v>
      </c>
      <c r="M246">
        <v>0.40614600000000001</v>
      </c>
      <c r="AD246" t="s">
        <v>111</v>
      </c>
      <c r="AF246" t="s">
        <v>47</v>
      </c>
    </row>
    <row r="247" spans="1:39" x14ac:dyDescent="0.2">
      <c r="B247">
        <v>-5978.9868049999995</v>
      </c>
      <c r="C247">
        <v>9.4708000000000001E-2</v>
      </c>
      <c r="D247">
        <v>-5980.3072679999996</v>
      </c>
      <c r="E247">
        <v>0.236039</v>
      </c>
      <c r="F247">
        <v>-5973.3062790000004</v>
      </c>
      <c r="G247">
        <v>0.16536600000000001</v>
      </c>
      <c r="H247">
        <v>-5920.1763380000002</v>
      </c>
      <c r="I247">
        <v>0.15484300000000001</v>
      </c>
      <c r="J247">
        <v>-5921.0066809999998</v>
      </c>
      <c r="K247">
        <v>0.834928</v>
      </c>
      <c r="L247">
        <v>-5914.7164489999996</v>
      </c>
      <c r="M247">
        <v>0.49242900000000001</v>
      </c>
      <c r="AD247">
        <v>27.5</v>
      </c>
      <c r="AF247" s="9">
        <v>1.8E-7</v>
      </c>
    </row>
    <row r="248" spans="1:39" x14ac:dyDescent="0.2">
      <c r="B248">
        <v>-5979.0903520000002</v>
      </c>
      <c r="C248">
        <v>9.4700999999999994E-2</v>
      </c>
      <c r="D248">
        <v>-5980.2909470000004</v>
      </c>
      <c r="E248">
        <v>0.19420599999999999</v>
      </c>
      <c r="F248">
        <v>-5973.1200920000001</v>
      </c>
      <c r="G248">
        <v>0.15159400000000001</v>
      </c>
      <c r="H248">
        <v>-5920.2451870000004</v>
      </c>
      <c r="I248">
        <v>0.15582399999999999</v>
      </c>
      <c r="J248">
        <v>-5921.6666279999999</v>
      </c>
      <c r="K248">
        <v>0.72950999999999999</v>
      </c>
      <c r="L248">
        <v>-5914.839395</v>
      </c>
      <c r="M248">
        <v>0.65063300000000002</v>
      </c>
      <c r="AC248" t="s">
        <v>112</v>
      </c>
      <c r="AD248">
        <f>AD247/23.05</f>
        <v>1.1930585683297179</v>
      </c>
    </row>
    <row r="249" spans="1:39" x14ac:dyDescent="0.2">
      <c r="B249">
        <v>-5979.0540170000004</v>
      </c>
      <c r="C249">
        <v>9.4875000000000001E-2</v>
      </c>
      <c r="D249">
        <v>-5980.5710520000002</v>
      </c>
      <c r="E249">
        <v>0.20562</v>
      </c>
      <c r="F249">
        <v>-5973.3181039999999</v>
      </c>
      <c r="G249">
        <v>0.15259400000000001</v>
      </c>
      <c r="H249">
        <v>-5920.9485640000003</v>
      </c>
      <c r="I249">
        <v>0.1547</v>
      </c>
      <c r="J249">
        <v>-5921.5216849999997</v>
      </c>
      <c r="K249">
        <v>0.64932900000000005</v>
      </c>
      <c r="L249">
        <v>-5914.6577200000002</v>
      </c>
      <c r="M249">
        <v>0.445046</v>
      </c>
      <c r="AF249">
        <v>8</v>
      </c>
      <c r="AG249">
        <v>9</v>
      </c>
      <c r="AH249">
        <v>10</v>
      </c>
      <c r="AI249">
        <v>11</v>
      </c>
      <c r="AJ249">
        <v>12</v>
      </c>
      <c r="AK249">
        <v>13</v>
      </c>
      <c r="AL249">
        <v>14</v>
      </c>
      <c r="AM249">
        <v>15</v>
      </c>
    </row>
    <row r="250" spans="1:39" x14ac:dyDescent="0.2">
      <c r="B250">
        <v>-5979.2125020000003</v>
      </c>
      <c r="C250">
        <v>9.4248999999999999E-2</v>
      </c>
      <c r="D250">
        <v>-5980.3384239999996</v>
      </c>
      <c r="E250">
        <v>0.170404</v>
      </c>
      <c r="F250">
        <v>-5973.714121</v>
      </c>
      <c r="G250">
        <v>0.122889</v>
      </c>
      <c r="H250">
        <v>-5920.6108340000001</v>
      </c>
      <c r="I250">
        <v>0.15492300000000001</v>
      </c>
      <c r="J250">
        <v>-5921.4637249999996</v>
      </c>
      <c r="K250">
        <v>0.72478699999999996</v>
      </c>
      <c r="L250">
        <v>-5915.5923739999998</v>
      </c>
      <c r="M250">
        <v>0.45239200000000002</v>
      </c>
      <c r="AF250">
        <f>$AF$247*EXP(-$AD$248*AF249)</f>
        <v>1.2887316146838479E-11</v>
      </c>
      <c r="AG250">
        <f t="shared" ref="AG250:AJ250" si="104">$AF$247*EXP(-$AD$248*AG249)</f>
        <v>3.9086225186470532E-12</v>
      </c>
      <c r="AH250">
        <f t="shared" si="104"/>
        <v>1.1854547385355076E-12</v>
      </c>
      <c r="AI250">
        <f t="shared" si="104"/>
        <v>3.5953918046880776E-13</v>
      </c>
      <c r="AJ250">
        <f t="shared" si="104"/>
        <v>1.0904543049182827E-13</v>
      </c>
      <c r="AK250">
        <f t="shared" ref="AK250" si="105">$AF$247*EXP(-$AD$248*AK249)</f>
        <v>3.30726289569983E-14</v>
      </c>
      <c r="AL250">
        <f t="shared" ref="AL250:AM250" si="106">$AF$247*EXP(-$AD$248*AL249)</f>
        <v>1.0030670530566161E-14</v>
      </c>
      <c r="AM250">
        <f t="shared" si="106"/>
        <v>3.0422241734574306E-15</v>
      </c>
    </row>
    <row r="251" spans="1:39" x14ac:dyDescent="0.2">
      <c r="B251">
        <v>-5978.9661319999996</v>
      </c>
      <c r="C251">
        <v>9.493E-2</v>
      </c>
      <c r="D251">
        <v>-5980.4334070000004</v>
      </c>
      <c r="E251">
        <v>0.233987</v>
      </c>
      <c r="F251">
        <v>-5972.9396800000004</v>
      </c>
      <c r="G251">
        <v>0.170047</v>
      </c>
      <c r="H251">
        <v>-5921.3165120000003</v>
      </c>
      <c r="I251">
        <v>0.15363099999999999</v>
      </c>
      <c r="J251">
        <v>-5922.3441679999996</v>
      </c>
      <c r="K251">
        <v>0.65535200000000005</v>
      </c>
      <c r="L251">
        <v>-5914.404657</v>
      </c>
      <c r="M251">
        <v>0.57803499999999997</v>
      </c>
    </row>
    <row r="252" spans="1:39" x14ac:dyDescent="0.2">
      <c r="B252">
        <v>-5978.7268560000002</v>
      </c>
      <c r="C252">
        <v>9.4808000000000003E-2</v>
      </c>
      <c r="D252">
        <v>-5980.0554659999998</v>
      </c>
      <c r="E252">
        <v>0.21408099999999999</v>
      </c>
      <c r="F252">
        <v>-5973.3844799999997</v>
      </c>
      <c r="G252">
        <v>0.16972400000000001</v>
      </c>
      <c r="H252">
        <v>-5921.1710839999996</v>
      </c>
      <c r="I252">
        <v>0.15459600000000001</v>
      </c>
      <c r="J252">
        <v>-5921.616497</v>
      </c>
      <c r="K252">
        <v>0.74532399999999999</v>
      </c>
      <c r="L252">
        <v>-5915.4219830000002</v>
      </c>
      <c r="M252">
        <v>0.46330700000000002</v>
      </c>
    </row>
    <row r="253" spans="1:39" x14ac:dyDescent="0.2">
      <c r="B253">
        <v>-5978.974107</v>
      </c>
      <c r="C253">
        <v>9.4885999999999998E-2</v>
      </c>
      <c r="D253">
        <v>-5980.4206569999997</v>
      </c>
      <c r="E253">
        <v>0.198655</v>
      </c>
      <c r="F253">
        <v>-5973.1608210000004</v>
      </c>
      <c r="G253">
        <v>0.20313500000000001</v>
      </c>
      <c r="H253">
        <v>-5920.5676940000003</v>
      </c>
      <c r="I253">
        <v>0.15524099999999999</v>
      </c>
      <c r="J253">
        <v>-5921.8721489999998</v>
      </c>
      <c r="K253">
        <v>0.832314</v>
      </c>
      <c r="L253">
        <v>-5915.4870279999996</v>
      </c>
      <c r="M253">
        <v>0.43654100000000001</v>
      </c>
      <c r="AF253">
        <f>800+273</f>
        <v>1073</v>
      </c>
      <c r="AG253">
        <f>1050+273</f>
        <v>1323</v>
      </c>
    </row>
    <row r="254" spans="1:39" x14ac:dyDescent="0.2">
      <c r="A254" t="s">
        <v>71</v>
      </c>
      <c r="B254">
        <f t="shared" ref="B254:M254" si="107">AVERAGE(B244:B253)</f>
        <v>-5978.9678180000001</v>
      </c>
      <c r="C254">
        <f t="shared" si="107"/>
        <v>9.4811999999999994E-2</v>
      </c>
      <c r="D254">
        <f t="shared" si="107"/>
        <v>-5980.3981440000007</v>
      </c>
      <c r="E254">
        <f t="shared" si="107"/>
        <v>0.20036869999999998</v>
      </c>
      <c r="F254">
        <f t="shared" si="107"/>
        <v>-5973.3482703999998</v>
      </c>
      <c r="G254">
        <f t="shared" si="107"/>
        <v>0.15806390000000001</v>
      </c>
      <c r="H254">
        <f t="shared" si="107"/>
        <v>-5920.8125275000002</v>
      </c>
      <c r="I254">
        <f t="shared" si="107"/>
        <v>0.15477439999999998</v>
      </c>
      <c r="J254">
        <f t="shared" si="107"/>
        <v>-5921.655186500001</v>
      </c>
      <c r="K254">
        <f t="shared" si="107"/>
        <v>0.72584749999999998</v>
      </c>
      <c r="L254">
        <f t="shared" si="107"/>
        <v>-5915.1209355000001</v>
      </c>
      <c r="M254">
        <f t="shared" si="107"/>
        <v>0.48650910000000003</v>
      </c>
      <c r="N254" t="s">
        <v>71</v>
      </c>
      <c r="AF254">
        <f>1/(AF253*(8.6173*10^-5))</f>
        <v>10.815063293697893</v>
      </c>
      <c r="AG254">
        <f>1/(AG253*(8.6173*10^-5))</f>
        <v>8.7714005397867254</v>
      </c>
    </row>
    <row r="255" spans="1:39" x14ac:dyDescent="0.2">
      <c r="A255" t="s">
        <v>48</v>
      </c>
      <c r="B255">
        <f>STDEV(B244:B253)/SQRT(COUNT(B244:B253))</f>
        <v>4.4971436998768467E-2</v>
      </c>
      <c r="D255">
        <f>STDEV(D244:D253)/SQRT(COUNT(D244:D253))</f>
        <v>5.0048904587436938E-2</v>
      </c>
      <c r="E255">
        <f>(E254-C254)*1441*(10^-20)/(0.001*(10^6)*(10^-12))/6</f>
        <v>2.5351200783333325E-10</v>
      </c>
      <c r="F255">
        <f>STDEV(F244:F253)/SQRT(COUNT(F244:F253))</f>
        <v>7.961043984596658E-2</v>
      </c>
      <c r="G255">
        <f>(G254-C254)*1439*(10^-20)/(0.001*(10^6)*(10^-12))/6</f>
        <v>1.5169914016666666E-10</v>
      </c>
      <c r="H255">
        <f>STDEV(H244:H253)/SQRT(COUNT(H244:H253))</f>
        <v>0.13831557185413082</v>
      </c>
      <c r="J255">
        <f>STDEV(J244:J253)/SQRT(COUNT(J244:J253))</f>
        <v>0.1059696841244018</v>
      </c>
      <c r="K255">
        <f>(K254-I254)*1441*(10^-20)/(0.001*(10^6)*(10^-12))/6</f>
        <v>1.3715272284999998E-9</v>
      </c>
      <c r="L255">
        <f>STDEV(L244:L253)/SQRT(COUNT(L244:L253))</f>
        <v>0.14039684345082903</v>
      </c>
      <c r="M255">
        <f>(M254-I254)*1439*(10^-20)/(0.001*(10^6)*(10^-12))/6</f>
        <v>7.9561038883333339E-10</v>
      </c>
      <c r="N255" t="s">
        <v>48</v>
      </c>
      <c r="AF255">
        <f>$AF$247*EXP(-$AD$248*AF254)</f>
        <v>4.4830037124572147E-13</v>
      </c>
      <c r="AG255">
        <f>$AF$247*EXP(-$AD$248*AG254)</f>
        <v>5.1341667405442559E-12</v>
      </c>
    </row>
    <row r="256" spans="1:39" x14ac:dyDescent="0.2">
      <c r="A256" t="s">
        <v>75</v>
      </c>
      <c r="D256">
        <f>D254-1441/1440*B254</f>
        <v>2.7217349847223886</v>
      </c>
      <c r="F256">
        <f>F254-1439/1440*B254</f>
        <v>1.467486615278176</v>
      </c>
      <c r="J256">
        <f>J254-1441/1440*H254</f>
        <v>3.2690163663191925</v>
      </c>
      <c r="L256">
        <f>L254-1439/1440*H254</f>
        <v>1.5799166336810231</v>
      </c>
      <c r="N256" t="s">
        <v>75</v>
      </c>
    </row>
    <row r="257" spans="1:21" x14ac:dyDescent="0.2">
      <c r="A257" t="s">
        <v>72</v>
      </c>
      <c r="D257">
        <f>D255+B255</f>
        <v>9.5020341586205398E-2</v>
      </c>
      <c r="F257">
        <f>F255+B255</f>
        <v>0.12458187684473504</v>
      </c>
      <c r="J257">
        <f>J255+H255</f>
        <v>0.24428525597853262</v>
      </c>
      <c r="L257">
        <f>L255+H255</f>
        <v>0.27871241530495983</v>
      </c>
      <c r="N257" t="s">
        <v>72</v>
      </c>
    </row>
    <row r="258" spans="1:21" x14ac:dyDescent="0.2">
      <c r="B258" t="s">
        <v>95</v>
      </c>
      <c r="C258" t="s">
        <v>96</v>
      </c>
      <c r="D258" t="s">
        <v>122</v>
      </c>
    </row>
    <row r="259" spans="1:21" x14ac:dyDescent="0.2">
      <c r="A259" t="s">
        <v>124</v>
      </c>
      <c r="B259" s="10">
        <v>2.7217349847223886</v>
      </c>
      <c r="C259" s="10">
        <v>1.467486615278176</v>
      </c>
      <c r="D259" s="10">
        <f>B259+C259</f>
        <v>4.1892216000005646</v>
      </c>
    </row>
    <row r="260" spans="1:21" x14ac:dyDescent="0.2">
      <c r="B260" s="10">
        <v>9.5020341586205398E-2</v>
      </c>
      <c r="C260" s="10">
        <v>0.12458187684473504</v>
      </c>
      <c r="D260" s="10">
        <f>B255+D255+F255</f>
        <v>0.17463078143217198</v>
      </c>
      <c r="L260">
        <f>E255/G255</f>
        <v>1.6711499323912336</v>
      </c>
      <c r="M260">
        <f>K255/M255</f>
        <v>1.7238679229807179</v>
      </c>
      <c r="O260">
        <f>J256+L256</f>
        <v>4.8489330000002155</v>
      </c>
    </row>
    <row r="261" spans="1:21" x14ac:dyDescent="0.2">
      <c r="B261" t="s">
        <v>126</v>
      </c>
      <c r="C261" t="s">
        <v>122</v>
      </c>
    </row>
    <row r="262" spans="1:21" x14ac:dyDescent="0.2">
      <c r="A262" t="s">
        <v>125</v>
      </c>
      <c r="B262" s="10">
        <v>3.2690163663191925</v>
      </c>
      <c r="C262" s="10">
        <v>1.5799166336810231</v>
      </c>
      <c r="D262" s="10">
        <f>C262+B262</f>
        <v>4.8489330000002155</v>
      </c>
    </row>
    <row r="263" spans="1:21" x14ac:dyDescent="0.2">
      <c r="B263" s="10">
        <v>0.24428525597853262</v>
      </c>
      <c r="C263" s="10">
        <v>0.27871241530495983</v>
      </c>
      <c r="D263" s="10">
        <f>H255+J255+L255</f>
        <v>0.38468209942936166</v>
      </c>
      <c r="M263" t="s">
        <v>95</v>
      </c>
      <c r="N263" t="s">
        <v>96</v>
      </c>
      <c r="O263" t="s">
        <v>113</v>
      </c>
      <c r="Q263" t="s">
        <v>103</v>
      </c>
    </row>
    <row r="264" spans="1:21" x14ac:dyDescent="0.2">
      <c r="L264" t="s">
        <v>114</v>
      </c>
      <c r="M264">
        <v>1.3715272284999998E-9</v>
      </c>
      <c r="N264">
        <v>7.9561038883333339E-10</v>
      </c>
    </row>
    <row r="265" spans="1:21" x14ac:dyDescent="0.2">
      <c r="L265" t="s">
        <v>115</v>
      </c>
      <c r="M265">
        <v>4.8808312314999997E-9</v>
      </c>
      <c r="N265">
        <v>6.7760234249999985E-10</v>
      </c>
      <c r="Q265">
        <v>800</v>
      </c>
      <c r="R265">
        <v>900</v>
      </c>
      <c r="S265">
        <v>1000</v>
      </c>
      <c r="T265">
        <v>1100</v>
      </c>
      <c r="U265">
        <v>1200</v>
      </c>
    </row>
    <row r="266" spans="1:21" x14ac:dyDescent="0.2">
      <c r="P266" t="s">
        <v>15</v>
      </c>
      <c r="Q266" s="5">
        <v>2.3464405000017905</v>
      </c>
      <c r="R266" s="5">
        <v>2.441350600000078</v>
      </c>
      <c r="S266" s="5">
        <v>2.8813998999980868</v>
      </c>
      <c r="T266" s="5">
        <v>3.1372947999984717</v>
      </c>
      <c r="U266" s="5">
        <v>3.052174800001012</v>
      </c>
    </row>
    <row r="267" spans="1:21" x14ac:dyDescent="0.2">
      <c r="M267">
        <f>M265/M264</f>
        <v>3.5586834370310139</v>
      </c>
      <c r="N267">
        <f>N265/N264</f>
        <v>0.85167608670070527</v>
      </c>
      <c r="P267" t="s">
        <v>25</v>
      </c>
      <c r="Q267" s="5">
        <v>2.8067989000001035</v>
      </c>
      <c r="R267" s="5">
        <v>3.4419855000001007</v>
      </c>
      <c r="S267" s="5">
        <v>3.6707131999996818</v>
      </c>
      <c r="T267" s="5">
        <v>3.6550661000001128</v>
      </c>
      <c r="U267" s="5">
        <v>4.0483299999996234</v>
      </c>
    </row>
    <row r="268" spans="1:21" x14ac:dyDescent="0.2">
      <c r="P268" t="s">
        <v>34</v>
      </c>
      <c r="Q268" s="5">
        <v>3.0006885999996502</v>
      </c>
      <c r="R268" s="5">
        <v>2.8828109999999469</v>
      </c>
      <c r="S268" s="5">
        <v>3.2669717999997374</v>
      </c>
      <c r="T268" s="5">
        <v>3.3055215999997927</v>
      </c>
      <c r="U268" s="5">
        <v>3.5179546000003938</v>
      </c>
    </row>
    <row r="269" spans="1:21" x14ac:dyDescent="0.2">
      <c r="L269" t="s">
        <v>117</v>
      </c>
      <c r="M269">
        <v>3.2690163663191925</v>
      </c>
      <c r="N269">
        <v>1.5799166336810231</v>
      </c>
    </row>
    <row r="270" spans="1:21" x14ac:dyDescent="0.2">
      <c r="L270" t="s">
        <v>118</v>
      </c>
      <c r="M270">
        <v>0.80014475860070888</v>
      </c>
      <c r="N270">
        <v>2.2005438413989395</v>
      </c>
      <c r="Q270" t="s">
        <v>108</v>
      </c>
    </row>
    <row r="271" spans="1:21" x14ac:dyDescent="0.2">
      <c r="Q271">
        <v>800</v>
      </c>
      <c r="R271">
        <v>900</v>
      </c>
      <c r="S271">
        <v>1000</v>
      </c>
      <c r="T271">
        <v>1100</v>
      </c>
      <c r="U271">
        <v>1200</v>
      </c>
    </row>
    <row r="272" spans="1:21" x14ac:dyDescent="0.2">
      <c r="L272" t="s">
        <v>102</v>
      </c>
      <c r="M272">
        <v>0.34899999999999998</v>
      </c>
      <c r="P272" t="s">
        <v>15</v>
      </c>
      <c r="Q272" s="5">
        <v>1.6098161309046191</v>
      </c>
      <c r="R272" s="5">
        <v>1.4413568975219277</v>
      </c>
      <c r="S272" s="5">
        <v>1.7117706451886079</v>
      </c>
      <c r="T272" s="5">
        <v>1.7262843629728195</v>
      </c>
      <c r="U272" s="5">
        <v>1.6799668052485686</v>
      </c>
    </row>
    <row r="273" spans="12:21" x14ac:dyDescent="0.2">
      <c r="L273" t="s">
        <v>116</v>
      </c>
      <c r="M273">
        <v>0.34300000000000003</v>
      </c>
      <c r="P273" t="s">
        <v>25</v>
      </c>
      <c r="Q273" s="5">
        <v>0.84281155247799688</v>
      </c>
      <c r="R273" s="5">
        <v>1.6569871392125606</v>
      </c>
      <c r="S273" s="5">
        <v>1.5017451304665883</v>
      </c>
      <c r="T273" s="5">
        <v>1.3555226239068361</v>
      </c>
      <c r="U273" s="5">
        <v>1.8811066887751622</v>
      </c>
    </row>
    <row r="274" spans="12:21" x14ac:dyDescent="0.2">
      <c r="P274" t="s">
        <v>34</v>
      </c>
      <c r="Q274" s="5">
        <v>2.2005438413989395</v>
      </c>
      <c r="R274" s="5">
        <v>2.0334936307576754</v>
      </c>
      <c r="S274" s="5">
        <v>2.1804431206996924</v>
      </c>
      <c r="T274" s="5">
        <v>2.3139458587461377</v>
      </c>
      <c r="U274" s="5">
        <v>2.4290447381927152</v>
      </c>
    </row>
    <row r="275" spans="12:21" x14ac:dyDescent="0.2">
      <c r="L275" t="s">
        <v>119</v>
      </c>
    </row>
    <row r="276" spans="12:21" x14ac:dyDescent="0.2">
      <c r="L276" t="s">
        <v>99</v>
      </c>
      <c r="M276">
        <f>EXP(-M269*I$241)*M264+EXP(-N269*I$241)*N264</f>
        <v>8.8639091483297008E-20</v>
      </c>
      <c r="Q276" t="s">
        <v>109</v>
      </c>
    </row>
    <row r="277" spans="12:21" x14ac:dyDescent="0.2">
      <c r="L277" t="s">
        <v>100</v>
      </c>
      <c r="M277">
        <f>EXP(-M270*I$241)*M265+EXP(-N270*I$241)*N265</f>
        <v>4.4441039623124776E-14</v>
      </c>
      <c r="Q277">
        <v>800</v>
      </c>
      <c r="R277">
        <v>900</v>
      </c>
      <c r="S277">
        <v>1000</v>
      </c>
      <c r="T277">
        <v>1100</v>
      </c>
      <c r="U277">
        <v>1200</v>
      </c>
    </row>
    <row r="278" spans="12:21" x14ac:dyDescent="0.2">
      <c r="P278" t="s">
        <v>15</v>
      </c>
      <c r="Q278" s="5">
        <v>0.73662436909717144</v>
      </c>
      <c r="R278" s="5">
        <v>0.99999370247815023</v>
      </c>
      <c r="S278" s="5">
        <v>1.1696292548094789</v>
      </c>
      <c r="T278" s="5">
        <v>1.4110104370256522</v>
      </c>
      <c r="U278" s="5">
        <v>1.3722079947524435</v>
      </c>
    </row>
    <row r="279" spans="12:21" x14ac:dyDescent="0.2">
      <c r="P279" t="s">
        <v>25</v>
      </c>
      <c r="Q279" s="5">
        <v>1.9639873475221066</v>
      </c>
      <c r="R279" s="5">
        <v>1.7849983607875402</v>
      </c>
      <c r="S279" s="5">
        <v>2.1689680695330935</v>
      </c>
      <c r="T279" s="5">
        <v>2.2995434760932767</v>
      </c>
      <c r="U279" s="5">
        <v>2.1672233112244612</v>
      </c>
    </row>
    <row r="280" spans="12:21" x14ac:dyDescent="0.2">
      <c r="P280" t="s">
        <v>34</v>
      </c>
      <c r="Q280" s="5">
        <v>0.80014475860070888</v>
      </c>
      <c r="R280" s="5">
        <v>0.84931736924227152</v>
      </c>
      <c r="S280" s="5">
        <v>1.086528679300045</v>
      </c>
      <c r="T280" s="5">
        <v>0.991575741253655</v>
      </c>
      <c r="U280" s="5">
        <v>1.0889098618076787</v>
      </c>
    </row>
    <row r="282" spans="12:21" x14ac:dyDescent="0.2">
      <c r="P282" t="s">
        <v>123</v>
      </c>
    </row>
    <row r="283" spans="12:21" x14ac:dyDescent="0.2">
      <c r="O283" t="s">
        <v>15</v>
      </c>
      <c r="P283" t="s">
        <v>122</v>
      </c>
      <c r="Q283" s="10">
        <v>0.111629741591593</v>
      </c>
      <c r="R283" s="10">
        <v>0.11425582654564942</v>
      </c>
      <c r="S283" s="10">
        <v>0.20228776876484322</v>
      </c>
      <c r="T283" s="10">
        <v>0.17773079932074318</v>
      </c>
      <c r="U283" s="10">
        <v>0.22331769210853022</v>
      </c>
    </row>
    <row r="284" spans="12:21" x14ac:dyDescent="0.2">
      <c r="P284" t="s">
        <v>120</v>
      </c>
      <c r="Q284" s="10">
        <v>6.5513826693927968E-2</v>
      </c>
      <c r="R284" s="10">
        <v>7.7915426700890397E-2</v>
      </c>
      <c r="S284" s="10">
        <v>0.14985191943928355</v>
      </c>
      <c r="T284" s="10">
        <v>0.12590688173661047</v>
      </c>
      <c r="U284" s="10">
        <v>0.12025222339471503</v>
      </c>
    </row>
    <row r="285" spans="12:21" x14ac:dyDescent="0.2">
      <c r="P285" t="s">
        <v>121</v>
      </c>
      <c r="Q285" s="10">
        <v>7.2897240661121299E-2</v>
      </c>
      <c r="R285" s="10">
        <v>6.258992197556397E-2</v>
      </c>
      <c r="S285" s="10">
        <v>0.13212250726025146</v>
      </c>
      <c r="T285" s="10">
        <v>0.1189223861425219</v>
      </c>
      <c r="U285" s="10">
        <v>0.16054265316627719</v>
      </c>
    </row>
    <row r="286" spans="12:21" x14ac:dyDescent="0.2">
      <c r="Q286" s="10"/>
      <c r="R286" s="10"/>
      <c r="S286" s="10"/>
      <c r="T286" s="10"/>
      <c r="U286" s="10"/>
    </row>
    <row r="287" spans="12:21" x14ac:dyDescent="0.2">
      <c r="P287" t="s">
        <v>123</v>
      </c>
      <c r="Q287" s="10"/>
      <c r="R287" s="10"/>
      <c r="S287" s="10"/>
      <c r="T287" s="10"/>
      <c r="U287" s="10"/>
    </row>
    <row r="288" spans="12:21" x14ac:dyDescent="0.2">
      <c r="O288" t="s">
        <v>25</v>
      </c>
      <c r="P288" t="s">
        <v>122</v>
      </c>
      <c r="Q288" s="10">
        <v>0.19071977370347401</v>
      </c>
      <c r="R288" s="10">
        <v>0.18712690961792339</v>
      </c>
      <c r="S288" s="10">
        <v>0.23576562378509824</v>
      </c>
      <c r="T288" s="10">
        <v>0.22016050916724764</v>
      </c>
      <c r="U288" s="10">
        <v>0.27401629084736634</v>
      </c>
    </row>
    <row r="289" spans="15:21" x14ac:dyDescent="0.2">
      <c r="P289" t="s">
        <v>120</v>
      </c>
      <c r="Q289" s="10">
        <v>0.13230131174968526</v>
      </c>
      <c r="R289" s="10">
        <v>0.13575986308042154</v>
      </c>
      <c r="S289" s="10">
        <v>0.15630787523920353</v>
      </c>
      <c r="T289" s="10">
        <v>0.13000542242021218</v>
      </c>
      <c r="U289" s="10">
        <v>0.16694919945229089</v>
      </c>
    </row>
    <row r="290" spans="15:21" x14ac:dyDescent="0.2">
      <c r="P290" t="s">
        <v>121</v>
      </c>
      <c r="Q290" s="10">
        <v>0.11536203457113349</v>
      </c>
      <c r="R290" s="10">
        <v>0.11487640594922027</v>
      </c>
      <c r="S290" s="10">
        <v>0.14818857348596109</v>
      </c>
      <c r="T290" s="10">
        <v>0.13749528198796707</v>
      </c>
      <c r="U290" s="10">
        <v>0.1814191327870649</v>
      </c>
    </row>
    <row r="291" spans="15:21" x14ac:dyDescent="0.2">
      <c r="Q291" s="10"/>
      <c r="R291" s="10"/>
      <c r="S291" s="10"/>
      <c r="T291" s="10"/>
      <c r="U291" s="10"/>
    </row>
    <row r="292" spans="15:21" x14ac:dyDescent="0.2">
      <c r="P292" t="s">
        <v>123</v>
      </c>
      <c r="Q292" s="10"/>
      <c r="R292" s="10"/>
      <c r="S292" s="10"/>
      <c r="T292" s="10"/>
      <c r="U292" s="10"/>
    </row>
    <row r="293" spans="15:21" x14ac:dyDescent="0.2">
      <c r="O293" t="s">
        <v>34</v>
      </c>
      <c r="P293" t="s">
        <v>122</v>
      </c>
      <c r="Q293" s="10">
        <v>0.13820059097174375</v>
      </c>
      <c r="R293" s="10">
        <v>0.1619915797523552</v>
      </c>
      <c r="S293" s="10">
        <v>0.23036719552961205</v>
      </c>
      <c r="T293" s="10">
        <v>0.2446686218807328</v>
      </c>
      <c r="U293" s="10">
        <v>0.25854608056476197</v>
      </c>
    </row>
    <row r="294" spans="15:21" x14ac:dyDescent="0.2">
      <c r="P294" t="s">
        <v>120</v>
      </c>
      <c r="Q294" s="10">
        <v>9.9635652755765441E-2</v>
      </c>
      <c r="R294" s="10">
        <v>8.8935699195851176E-2</v>
      </c>
      <c r="S294" s="10">
        <v>0.14123191625373338</v>
      </c>
      <c r="T294" s="10">
        <v>0.16293340694504932</v>
      </c>
      <c r="U294" s="10">
        <v>0.14513309810352759</v>
      </c>
    </row>
    <row r="295" spans="15:21" x14ac:dyDescent="0.2">
      <c r="P295" t="s">
        <v>121</v>
      </c>
      <c r="Q295" s="10">
        <v>7.494982866294897E-2</v>
      </c>
      <c r="R295" s="10">
        <v>0.11647163757685805</v>
      </c>
      <c r="S295" s="10">
        <v>0.16691853148748959</v>
      </c>
      <c r="T295" s="10">
        <v>0.14989885363831212</v>
      </c>
      <c r="U295" s="10">
        <v>0.19399937355912331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D2:AH77"/>
  <sheetViews>
    <sheetView topLeftCell="I1" workbookViewId="0">
      <selection activeCell="U60" sqref="U60"/>
    </sheetView>
  </sheetViews>
  <sheetFormatPr baseColWidth="10" defaultRowHeight="16" x14ac:dyDescent="0.2"/>
  <sheetData>
    <row r="2" spans="4:34" x14ac:dyDescent="0.2">
      <c r="E2" t="s">
        <v>67</v>
      </c>
      <c r="F2" t="s">
        <v>68</v>
      </c>
      <c r="K2" t="s">
        <v>68</v>
      </c>
      <c r="Q2" t="s">
        <v>68</v>
      </c>
      <c r="W2" t="s">
        <v>68</v>
      </c>
      <c r="AC2" t="s">
        <v>68</v>
      </c>
    </row>
    <row r="3" spans="4:34" x14ac:dyDescent="0.2">
      <c r="E3">
        <v>3.5670000000000002</v>
      </c>
      <c r="F3">
        <v>3.5670000000000002</v>
      </c>
      <c r="G3">
        <v>3.5670000000000002</v>
      </c>
      <c r="H3">
        <v>3.5670000000000002</v>
      </c>
      <c r="K3">
        <v>3.573</v>
      </c>
      <c r="L3">
        <v>3.573</v>
      </c>
      <c r="M3">
        <v>3.573</v>
      </c>
      <c r="N3">
        <v>3.573</v>
      </c>
      <c r="Q3" s="6">
        <v>3.5794755799462186</v>
      </c>
      <c r="R3" s="6">
        <v>3.5794755799462186</v>
      </c>
      <c r="S3" s="6">
        <v>3.5794755799462186</v>
      </c>
      <c r="T3" s="6">
        <v>3.5794755799462186</v>
      </c>
      <c r="U3" s="6"/>
      <c r="V3" s="6"/>
      <c r="W3" s="6">
        <v>3.5859447454130091</v>
      </c>
      <c r="X3" s="6">
        <v>3.5859447454130091</v>
      </c>
      <c r="Y3" s="6">
        <v>3.5859447454130091</v>
      </c>
      <c r="Z3" s="6">
        <v>3.5859447454130091</v>
      </c>
      <c r="AA3" s="6"/>
      <c r="AB3" s="6"/>
      <c r="AC3" s="6">
        <v>3.5927725459810871</v>
      </c>
      <c r="AD3" s="6">
        <v>3.5927725459810871</v>
      </c>
      <c r="AE3" s="6">
        <v>3.5927725459810871</v>
      </c>
      <c r="AF3" s="6">
        <v>3.5927725459810871</v>
      </c>
    </row>
    <row r="4" spans="4:34" x14ac:dyDescent="0.2">
      <c r="D4" t="s">
        <v>15</v>
      </c>
      <c r="E4" s="1">
        <v>800</v>
      </c>
      <c r="F4" s="1">
        <v>800</v>
      </c>
      <c r="G4" s="1">
        <v>800</v>
      </c>
      <c r="H4" s="1">
        <v>800</v>
      </c>
      <c r="I4" s="7"/>
      <c r="J4" s="7"/>
      <c r="K4" s="1">
        <v>900</v>
      </c>
      <c r="L4" s="1">
        <v>900</v>
      </c>
      <c r="M4" s="1">
        <v>900</v>
      </c>
      <c r="N4" s="1">
        <v>900</v>
      </c>
      <c r="O4" s="7"/>
      <c r="P4" s="7"/>
      <c r="Q4" s="1">
        <v>1000</v>
      </c>
      <c r="R4" s="1">
        <v>1000</v>
      </c>
      <c r="S4" s="1">
        <v>1000</v>
      </c>
      <c r="T4" s="1">
        <v>1000</v>
      </c>
      <c r="U4" s="7"/>
      <c r="V4" s="7"/>
      <c r="W4">
        <v>1100</v>
      </c>
      <c r="X4">
        <v>1100</v>
      </c>
      <c r="Y4">
        <v>1100</v>
      </c>
      <c r="Z4">
        <v>1100</v>
      </c>
      <c r="AC4">
        <v>1200</v>
      </c>
      <c r="AD4">
        <v>1200</v>
      </c>
      <c r="AE4">
        <v>1200</v>
      </c>
      <c r="AF4">
        <v>1200</v>
      </c>
    </row>
    <row r="5" spans="4:34" x14ac:dyDescent="0.2">
      <c r="D5" t="s">
        <v>54</v>
      </c>
      <c r="E5" s="1">
        <v>90.592840616403706</v>
      </c>
      <c r="F5" s="1">
        <v>88.681775812671304</v>
      </c>
      <c r="G5" s="1">
        <v>101.60809577820601</v>
      </c>
      <c r="H5" s="1">
        <v>93.560779966525999</v>
      </c>
      <c r="I5" s="7"/>
      <c r="J5" s="7"/>
      <c r="K5" s="1">
        <v>72.014079235886996</v>
      </c>
      <c r="L5" s="1">
        <v>97.685005961111898</v>
      </c>
      <c r="M5" s="1">
        <v>86.637916042389705</v>
      </c>
      <c r="N5" s="1">
        <v>86.645125327680702</v>
      </c>
      <c r="O5" s="7"/>
      <c r="P5" s="7"/>
      <c r="Q5" s="1">
        <v>92.456954581148807</v>
      </c>
      <c r="R5" s="1">
        <v>107.665290794093</v>
      </c>
      <c r="S5" s="1">
        <v>95.667720791281994</v>
      </c>
      <c r="T5" s="1">
        <v>87.051898585961993</v>
      </c>
      <c r="U5" s="7"/>
      <c r="V5" s="7"/>
      <c r="W5">
        <v>84.765984457538906</v>
      </c>
      <c r="X5">
        <v>90.701467858677205</v>
      </c>
      <c r="Y5">
        <v>67.825988235177306</v>
      </c>
      <c r="Z5">
        <v>85.076392882993801</v>
      </c>
      <c r="AC5">
        <v>88.686937926860296</v>
      </c>
      <c r="AD5">
        <v>83.646647703885506</v>
      </c>
      <c r="AE5">
        <v>88.366095853236999</v>
      </c>
      <c r="AF5">
        <v>96.195065776823</v>
      </c>
    </row>
    <row r="6" spans="4:34" x14ac:dyDescent="0.2">
      <c r="D6" t="s">
        <v>55</v>
      </c>
      <c r="E6" s="1">
        <v>97.368202827173604</v>
      </c>
      <c r="F6" s="1">
        <v>86.444832244121798</v>
      </c>
      <c r="G6" s="1">
        <v>105.342030229283</v>
      </c>
      <c r="H6" s="1">
        <v>89.506713396532206</v>
      </c>
      <c r="I6" s="7"/>
      <c r="J6" s="7"/>
      <c r="K6" s="1">
        <v>99.1305078660058</v>
      </c>
      <c r="L6" s="1">
        <v>88.631316951849598</v>
      </c>
      <c r="M6" s="1">
        <v>94.455628554822496</v>
      </c>
      <c r="N6" s="1">
        <v>86.772314650178302</v>
      </c>
      <c r="O6" s="7"/>
      <c r="P6" s="7"/>
      <c r="Q6" s="1">
        <v>104.017871464972</v>
      </c>
      <c r="R6" s="1">
        <v>81.661843944980006</v>
      </c>
      <c r="S6" s="1">
        <v>97.595426951447806</v>
      </c>
      <c r="T6" s="1">
        <v>91.657748541533707</v>
      </c>
      <c r="U6" s="7"/>
      <c r="V6" s="7"/>
      <c r="W6">
        <v>100.75517330356401</v>
      </c>
      <c r="X6">
        <v>92.4388357924948</v>
      </c>
      <c r="Y6">
        <v>92.975816147648203</v>
      </c>
      <c r="Z6">
        <v>92.450007823592202</v>
      </c>
      <c r="AC6">
        <v>78.642653364244495</v>
      </c>
      <c r="AD6">
        <v>67.530843801298005</v>
      </c>
      <c r="AE6">
        <v>71.349769633792803</v>
      </c>
      <c r="AF6">
        <v>83.776277998286801</v>
      </c>
    </row>
    <row r="7" spans="4:34" x14ac:dyDescent="0.2">
      <c r="D7" t="s">
        <v>56</v>
      </c>
      <c r="E7" s="1">
        <v>91.270965270888297</v>
      </c>
      <c r="F7" s="1">
        <v>104.320548261079</v>
      </c>
      <c r="G7" s="1">
        <v>94.333998744194403</v>
      </c>
      <c r="H7" s="1">
        <v>103.27652043397801</v>
      </c>
      <c r="I7" s="7"/>
      <c r="J7" s="7"/>
      <c r="K7" s="1">
        <v>102.40844420302599</v>
      </c>
      <c r="L7" s="1">
        <v>84.475965056929894</v>
      </c>
      <c r="M7" s="1">
        <v>92.477176613260497</v>
      </c>
      <c r="N7" s="1">
        <v>107.312462955478</v>
      </c>
      <c r="O7" s="7"/>
      <c r="P7" s="7"/>
      <c r="Q7" s="1">
        <v>112.36560077464399</v>
      </c>
      <c r="R7" s="1">
        <v>94.108387459057198</v>
      </c>
      <c r="S7" s="1">
        <v>88.406756705376793</v>
      </c>
      <c r="T7" s="1">
        <v>82.584090756681306</v>
      </c>
      <c r="U7" s="7"/>
      <c r="V7" s="7"/>
      <c r="W7">
        <v>95.525196842690704</v>
      </c>
      <c r="X7">
        <v>93.985805570249696</v>
      </c>
      <c r="Y7">
        <v>91.2053290661067</v>
      </c>
      <c r="Z7">
        <v>85.125642180816499</v>
      </c>
      <c r="AC7">
        <v>82.281174477693995</v>
      </c>
      <c r="AD7">
        <v>83.109422736119598</v>
      </c>
      <c r="AE7">
        <v>82.802165531607102</v>
      </c>
      <c r="AF7">
        <v>86.130261493018494</v>
      </c>
    </row>
    <row r="8" spans="4:34" x14ac:dyDescent="0.2">
      <c r="D8" t="s">
        <v>57</v>
      </c>
      <c r="E8" s="1">
        <v>80.423606650403698</v>
      </c>
      <c r="F8" s="1">
        <v>62.091578248475003</v>
      </c>
      <c r="G8" s="1">
        <v>66.3335637714911</v>
      </c>
      <c r="H8" s="1">
        <v>73.801174833639095</v>
      </c>
      <c r="I8" s="7"/>
      <c r="J8" s="7"/>
      <c r="K8" s="1">
        <v>77.296880442190499</v>
      </c>
      <c r="L8" s="1">
        <v>75.006471346957895</v>
      </c>
      <c r="M8" s="1">
        <v>76.941152368194594</v>
      </c>
      <c r="N8" s="1">
        <v>66.752386308068793</v>
      </c>
      <c r="O8" s="7"/>
      <c r="P8" s="7"/>
      <c r="Q8" s="1">
        <v>66.531016369539699</v>
      </c>
      <c r="R8" s="1">
        <v>63.705405888113297</v>
      </c>
      <c r="S8" s="1">
        <v>66.951256929245304</v>
      </c>
      <c r="T8" s="1">
        <v>72.525610505348297</v>
      </c>
      <c r="U8" s="7"/>
      <c r="V8" s="7"/>
      <c r="W8">
        <v>61.799054661399197</v>
      </c>
      <c r="X8">
        <v>53.808782377498602</v>
      </c>
      <c r="Y8">
        <v>74.958438242615401</v>
      </c>
      <c r="Z8">
        <v>63.242057795098198</v>
      </c>
      <c r="AC8">
        <v>53.075844840285299</v>
      </c>
      <c r="AD8">
        <v>63.279112380199301</v>
      </c>
      <c r="AE8">
        <v>62.571851275514</v>
      </c>
      <c r="AF8">
        <v>77.823264357885293</v>
      </c>
    </row>
    <row r="9" spans="4:34" x14ac:dyDescent="0.2">
      <c r="D9" t="s">
        <v>58</v>
      </c>
      <c r="E9" s="1">
        <v>68.960262986863697</v>
      </c>
      <c r="F9" s="1">
        <v>81.985092569916404</v>
      </c>
      <c r="G9" s="1">
        <v>80.167047611216105</v>
      </c>
      <c r="H9" s="1">
        <v>83.455644696799297</v>
      </c>
      <c r="I9" s="7"/>
      <c r="J9" s="7"/>
      <c r="K9" s="1">
        <v>56.633317188650402</v>
      </c>
      <c r="L9" s="1">
        <v>74.040930804527605</v>
      </c>
      <c r="M9" s="1">
        <v>72.669739637647695</v>
      </c>
      <c r="N9" s="1">
        <v>78.501839885467106</v>
      </c>
      <c r="O9" s="7"/>
      <c r="P9" s="7"/>
      <c r="Q9" s="1">
        <v>68.831657582660895</v>
      </c>
      <c r="R9" s="1">
        <v>69.525002475325195</v>
      </c>
      <c r="S9" s="1">
        <v>62.031073787127703</v>
      </c>
      <c r="T9" s="1">
        <v>66.068053360124097</v>
      </c>
      <c r="U9" s="7"/>
      <c r="V9" s="7"/>
      <c r="W9">
        <v>64.622160307225101</v>
      </c>
      <c r="X9">
        <v>52.269524891371397</v>
      </c>
      <c r="Y9">
        <v>68.956427467509499</v>
      </c>
      <c r="Z9">
        <v>63.823368934509702</v>
      </c>
      <c r="AC9">
        <v>69.387556765237207</v>
      </c>
      <c r="AD9">
        <v>64.749163467745205</v>
      </c>
      <c r="AE9">
        <v>70.849201652719898</v>
      </c>
      <c r="AF9">
        <v>70.922853620558598</v>
      </c>
    </row>
    <row r="10" spans="4:34" x14ac:dyDescent="0.2">
      <c r="D10" t="s">
        <v>59</v>
      </c>
      <c r="E10" s="1">
        <v>75.331784486041997</v>
      </c>
      <c r="F10" s="1">
        <v>70.495773832725405</v>
      </c>
      <c r="G10" s="1">
        <v>71.078706535007299</v>
      </c>
      <c r="H10" s="1">
        <v>81.378040855424899</v>
      </c>
      <c r="I10" s="7"/>
      <c r="J10" s="7"/>
      <c r="K10" s="1">
        <v>82.788202611298203</v>
      </c>
      <c r="L10" s="1">
        <v>72.898779768189499</v>
      </c>
      <c r="M10" s="1">
        <v>75.938055119904206</v>
      </c>
      <c r="N10" s="1">
        <v>76.5766046119912</v>
      </c>
      <c r="O10" s="7"/>
      <c r="P10" s="7"/>
      <c r="Q10" s="1">
        <v>85.575905351706893</v>
      </c>
      <c r="R10" s="1">
        <v>77.136452385689907</v>
      </c>
      <c r="S10" s="1">
        <v>69.321765921887206</v>
      </c>
      <c r="T10" s="1">
        <v>60.819896245107401</v>
      </c>
      <c r="U10" s="7"/>
      <c r="V10" s="7"/>
      <c r="W10">
        <v>60.0310471566874</v>
      </c>
      <c r="X10">
        <v>52.075852539539099</v>
      </c>
      <c r="Y10">
        <v>69.682167903739398</v>
      </c>
      <c r="Z10">
        <v>78.885555837546207</v>
      </c>
      <c r="AC10">
        <v>67.896265966275706</v>
      </c>
      <c r="AD10">
        <v>61.074471496380397</v>
      </c>
      <c r="AE10">
        <v>56.634833775485603</v>
      </c>
      <c r="AF10">
        <v>73.004169735188398</v>
      </c>
    </row>
    <row r="11" spans="4:34" x14ac:dyDescent="0.2">
      <c r="D11" t="s">
        <v>60</v>
      </c>
      <c r="E11" s="1">
        <v>0.48791121678688798</v>
      </c>
      <c r="F11" s="1">
        <v>11.050358390350899</v>
      </c>
      <c r="G11" s="1">
        <v>4.1619773754156002</v>
      </c>
      <c r="H11" s="1">
        <v>11.4903487829545</v>
      </c>
      <c r="I11" s="7"/>
      <c r="J11" s="7"/>
      <c r="K11" s="1">
        <v>6.0936377751841597</v>
      </c>
      <c r="L11" s="1">
        <v>14.3808703567714</v>
      </c>
      <c r="M11" s="1">
        <v>-0.85392810722259904</v>
      </c>
      <c r="N11" s="1">
        <v>19.559790704618202</v>
      </c>
      <c r="O11" s="7"/>
      <c r="P11" s="7"/>
      <c r="Q11" s="1">
        <v>5.6549335172470698</v>
      </c>
      <c r="R11" s="1">
        <v>-5.7205747846547004</v>
      </c>
      <c r="S11" s="1">
        <v>7.8312514922448502</v>
      </c>
      <c r="T11" s="1">
        <v>9.9377809608864194</v>
      </c>
      <c r="U11" s="7"/>
      <c r="V11" s="7"/>
      <c r="W11">
        <v>6.6265327940608696</v>
      </c>
      <c r="X11">
        <v>0.98663650775904999</v>
      </c>
      <c r="Y11">
        <v>7.6978314818786702</v>
      </c>
      <c r="Z11">
        <v>16.564406340840701</v>
      </c>
      <c r="AC11">
        <v>1.0220951178103601</v>
      </c>
      <c r="AD11">
        <v>7.9691711026121599</v>
      </c>
      <c r="AE11">
        <v>11.467251448447101</v>
      </c>
      <c r="AF11">
        <v>-7.8243441134162302</v>
      </c>
    </row>
    <row r="12" spans="4:34" x14ac:dyDescent="0.2">
      <c r="D12" t="s">
        <v>61</v>
      </c>
      <c r="E12" s="1">
        <v>0.44487710045079998</v>
      </c>
      <c r="F12" s="1">
        <v>4.0796455959100797</v>
      </c>
      <c r="G12" s="1">
        <v>-1.30800953479842</v>
      </c>
      <c r="H12" s="1">
        <v>-11.5497503618992</v>
      </c>
      <c r="I12" s="7"/>
      <c r="J12" s="7"/>
      <c r="K12" s="1">
        <v>-0.55326728526855495</v>
      </c>
      <c r="L12" s="1">
        <v>11.828514474366999</v>
      </c>
      <c r="M12" s="1">
        <v>6.17011831350798</v>
      </c>
      <c r="N12" s="1">
        <v>2.6114986583612501</v>
      </c>
      <c r="O12" s="7"/>
      <c r="P12" s="7"/>
      <c r="Q12" s="1">
        <v>4.4373136607676296</v>
      </c>
      <c r="R12" s="1">
        <v>6.4414464814508001</v>
      </c>
      <c r="S12" s="1">
        <v>22.061785507602899</v>
      </c>
      <c r="T12" s="1">
        <v>-8.2712819358043692</v>
      </c>
      <c r="U12" s="7"/>
      <c r="V12" s="7"/>
      <c r="W12">
        <v>10.6677521913505</v>
      </c>
      <c r="X12">
        <v>13.0205776577475</v>
      </c>
      <c r="Y12">
        <v>2.8591255292969802</v>
      </c>
      <c r="Z12">
        <v>24.257511715898399</v>
      </c>
      <c r="AC12">
        <v>-0.39357837875305002</v>
      </c>
      <c r="AD12">
        <v>20.182949875683899</v>
      </c>
      <c r="AE12">
        <v>5.8441294474231098</v>
      </c>
      <c r="AF12">
        <v>-8.4608159440248194</v>
      </c>
    </row>
    <row r="13" spans="4:34" x14ac:dyDescent="0.2">
      <c r="D13" t="s">
        <v>62</v>
      </c>
      <c r="E13" s="1">
        <v>-0.38302891460640998</v>
      </c>
      <c r="F13" s="1">
        <v>6.8577499552559296</v>
      </c>
      <c r="G13" s="1">
        <v>-4.6628239868833603</v>
      </c>
      <c r="H13" s="1">
        <v>16.8485919088419</v>
      </c>
      <c r="I13" s="7"/>
      <c r="J13" s="7"/>
      <c r="K13" s="1">
        <v>11.9614350798164</v>
      </c>
      <c r="L13" s="1">
        <v>1.52245349293365</v>
      </c>
      <c r="M13" s="1">
        <v>6.6151669510480797</v>
      </c>
      <c r="N13" s="1">
        <v>-25.378937337706802</v>
      </c>
      <c r="O13" s="7"/>
      <c r="P13" s="7"/>
      <c r="Q13" s="1">
        <v>6.2404629662497797</v>
      </c>
      <c r="R13" s="1">
        <v>0.96380943970434896</v>
      </c>
      <c r="S13" s="1">
        <v>-4.6314330723399504</v>
      </c>
      <c r="T13" s="1">
        <v>1.83315684496549</v>
      </c>
      <c r="U13" s="7"/>
      <c r="V13" s="7"/>
      <c r="W13">
        <v>4.4633526416096503</v>
      </c>
      <c r="X13">
        <v>-1.3466237489894299</v>
      </c>
      <c r="Y13">
        <v>-3.10127838639827</v>
      </c>
      <c r="Z13">
        <v>-2.16412353526295</v>
      </c>
      <c r="AC13">
        <v>17.0299491276852</v>
      </c>
      <c r="AD13">
        <v>5.9577321005049999</v>
      </c>
      <c r="AE13">
        <v>10.553223038049399</v>
      </c>
      <c r="AF13">
        <v>2.4392920708685999</v>
      </c>
    </row>
    <row r="14" spans="4:34" x14ac:dyDescent="0.2">
      <c r="D14" t="s">
        <v>65</v>
      </c>
      <c r="E14" s="1">
        <v>-176.33607890476193</v>
      </c>
      <c r="F14" s="1">
        <v>-165.24605607843145</v>
      </c>
      <c r="G14" s="1">
        <v>393.38119486274508</v>
      </c>
      <c r="H14" s="1">
        <v>-295.15658915686294</v>
      </c>
      <c r="I14" s="7"/>
      <c r="J14" s="7"/>
      <c r="K14" s="1">
        <v>643.52704911764715</v>
      </c>
      <c r="L14" s="1">
        <v>1058.903768156863</v>
      </c>
      <c r="M14" s="1">
        <v>291.63265415686277</v>
      </c>
      <c r="N14" s="1">
        <v>199.14445317647059</v>
      </c>
      <c r="O14" s="7"/>
      <c r="P14" s="7"/>
      <c r="Q14" s="1">
        <v>279.87086356862744</v>
      </c>
      <c r="R14" s="1">
        <v>244.97211151372531</v>
      </c>
      <c r="S14" s="1">
        <v>195.21685999999994</v>
      </c>
      <c r="T14" s="1">
        <v>154.92579103921568</v>
      </c>
      <c r="U14" s="7"/>
      <c r="V14" s="7"/>
      <c r="W14">
        <v>-114.50262084705879</v>
      </c>
      <c r="X14">
        <v>-163.77691699999997</v>
      </c>
      <c r="Y14">
        <v>-148.55856843137244</v>
      </c>
      <c r="Z14">
        <v>258.81307349019613</v>
      </c>
      <c r="AC14">
        <v>-567.38731268627453</v>
      </c>
      <c r="AD14">
        <v>421.51894117647061</v>
      </c>
      <c r="AE14">
        <v>338.68117294117644</v>
      </c>
      <c r="AF14">
        <v>730.73346550980375</v>
      </c>
    </row>
    <row r="15" spans="4:34" x14ac:dyDescent="0.2">
      <c r="E15" s="1"/>
      <c r="F15" s="1"/>
      <c r="G15" s="1"/>
      <c r="H15" s="1"/>
      <c r="I15" s="7"/>
      <c r="J15" s="7"/>
      <c r="K15" s="1"/>
      <c r="L15" s="1"/>
      <c r="M15" s="1"/>
      <c r="N15" s="1"/>
      <c r="O15" s="7"/>
      <c r="P15" s="7"/>
      <c r="Q15" s="1"/>
      <c r="R15" s="1"/>
      <c r="S15" s="1"/>
      <c r="T15" s="1"/>
      <c r="U15" s="7"/>
      <c r="V15" s="7"/>
    </row>
    <row r="16" spans="4:34" x14ac:dyDescent="0.2">
      <c r="D16" t="s">
        <v>54</v>
      </c>
      <c r="E16" s="1">
        <f t="shared" ref="E16:F16" si="0">AVERAGE(E5:E7)</f>
        <v>93.077336238155183</v>
      </c>
      <c r="F16" s="1">
        <f t="shared" si="0"/>
        <v>93.149052105957367</v>
      </c>
      <c r="G16" s="1">
        <f t="shared" ref="G16:H16" si="1">AVERAGE(G5:G7)</f>
        <v>100.42804158389447</v>
      </c>
      <c r="H16" s="1">
        <f t="shared" si="1"/>
        <v>95.448004599012066</v>
      </c>
      <c r="I16" s="7">
        <f>AVERAGE(E16:H16)</f>
        <v>95.525608631754764</v>
      </c>
      <c r="J16" s="7">
        <f>STDEV(E16:H16)/SQRT(COUNT(E16:H16))</f>
        <v>1.7243822533904514</v>
      </c>
      <c r="K16" s="1">
        <f t="shared" ref="K16:N16" si="2">AVERAGE(K5:K7)</f>
        <v>91.184343768306277</v>
      </c>
      <c r="L16" s="1">
        <f t="shared" si="2"/>
        <v>90.264095989963792</v>
      </c>
      <c r="M16" s="1">
        <f t="shared" si="2"/>
        <v>91.190240403490904</v>
      </c>
      <c r="N16" s="1">
        <f t="shared" si="2"/>
        <v>93.576634311112343</v>
      </c>
      <c r="O16" s="7">
        <f>AVERAGE(K16:N16)</f>
        <v>91.553828618218333</v>
      </c>
      <c r="P16" s="7">
        <f>STDEV(K16:N16)/SQRT(COUNT(K16:N16))</f>
        <v>0.7085118540405656</v>
      </c>
      <c r="Q16" s="1">
        <f t="shared" ref="Q16:R16" si="3">AVERAGE(Q5:Q7)</f>
        <v>102.94680894025494</v>
      </c>
      <c r="R16" s="1">
        <f t="shared" si="3"/>
        <v>94.478507399376738</v>
      </c>
      <c r="S16" s="1">
        <f t="shared" ref="S16:T16" si="4">AVERAGE(S5:S7)</f>
        <v>93.889968149368869</v>
      </c>
      <c r="T16" s="1">
        <f t="shared" si="4"/>
        <v>87.097912628059007</v>
      </c>
      <c r="U16" s="7">
        <f>AVERAGE(Q16:T16)</f>
        <v>94.603299279264888</v>
      </c>
      <c r="V16" s="7">
        <f>STDEV(Q16:T16)/SQRT(COUNT(Q16:T16))</f>
        <v>3.246400526753932</v>
      </c>
      <c r="W16" s="1">
        <f t="shared" ref="W16" si="5">AVERAGE(W5:W7)</f>
        <v>93.682118201264544</v>
      </c>
      <c r="X16" s="1">
        <f t="shared" ref="X16:Z16" si="6">AVERAGE(X5:X7)</f>
        <v>92.3753697404739</v>
      </c>
      <c r="Y16" s="1">
        <f t="shared" si="6"/>
        <v>84.002377816310741</v>
      </c>
      <c r="Z16" s="1">
        <f t="shared" si="6"/>
        <v>87.550680962467496</v>
      </c>
      <c r="AA16" s="7">
        <f>AVERAGE(W16:Z16)</f>
        <v>89.402636680129163</v>
      </c>
      <c r="AB16" s="7">
        <f>STDEV(W16:Z16)/SQRT(COUNT(W16:Z16))</f>
        <v>2.2312858720596322</v>
      </c>
      <c r="AC16" s="1">
        <f>AVERAGE(AC5:AC7)</f>
        <v>83.20358858959959</v>
      </c>
      <c r="AD16" s="1">
        <f t="shared" ref="AD16:AF16" si="7">AVERAGE(AD5:AD7)</f>
        <v>78.095638080434369</v>
      </c>
      <c r="AE16" s="1">
        <f t="shared" si="7"/>
        <v>80.839343672878968</v>
      </c>
      <c r="AF16" s="1">
        <f t="shared" si="7"/>
        <v>88.700535089376103</v>
      </c>
      <c r="AG16" s="7">
        <f>AVERAGE(AC16:AF16)</f>
        <v>82.709776358072261</v>
      </c>
      <c r="AH16" s="7">
        <f>STDEV(AC16:AF16)/SQRT(COUNT(AC16:AF16))</f>
        <v>2.2531798118011981</v>
      </c>
    </row>
    <row r="17" spans="4:34" x14ac:dyDescent="0.2">
      <c r="D17" t="s">
        <v>57</v>
      </c>
      <c r="E17" s="1">
        <f t="shared" ref="E17:F17" si="8">AVERAGE(E8:E10)</f>
        <v>74.905218041103126</v>
      </c>
      <c r="F17" s="1">
        <f t="shared" si="8"/>
        <v>71.524148217038928</v>
      </c>
      <c r="G17" s="1">
        <f t="shared" ref="G17:H17" si="9">AVERAGE(G8:G10)</f>
        <v>72.52643930590483</v>
      </c>
      <c r="H17" s="1">
        <f t="shared" si="9"/>
        <v>79.544953461954435</v>
      </c>
      <c r="I17" s="7">
        <f t="shared" ref="I17:I19" si="10">AVERAGE(E17:H17)</f>
        <v>74.625189756500333</v>
      </c>
      <c r="J17" s="7">
        <f t="shared" ref="J17:J19" si="11">STDEV(E17:H17)/SQRT(COUNT(E17:H17))</f>
        <v>1.7866099845102608</v>
      </c>
      <c r="K17" s="1">
        <f t="shared" ref="K17:N17" si="12">AVERAGE(K8:K10)</f>
        <v>72.239466747379694</v>
      </c>
      <c r="L17" s="1">
        <f t="shared" si="12"/>
        <v>73.982060639891657</v>
      </c>
      <c r="M17" s="1">
        <f t="shared" si="12"/>
        <v>75.182982375248841</v>
      </c>
      <c r="N17" s="1">
        <f t="shared" si="12"/>
        <v>73.943610268509033</v>
      </c>
      <c r="O17" s="7">
        <f t="shared" ref="O17:O19" si="13">AVERAGE(K17:N17)</f>
        <v>73.837030007757306</v>
      </c>
      <c r="P17" s="7">
        <f t="shared" ref="P17:P19" si="14">STDEV(K17:N17)/SQRT(COUNT(K17:N17))</f>
        <v>0.60526780455043261</v>
      </c>
      <c r="Q17" s="1">
        <f t="shared" ref="Q17:R17" si="15">AVERAGE(Q8:Q10)</f>
        <v>73.646193101302501</v>
      </c>
      <c r="R17" s="1">
        <f t="shared" si="15"/>
        <v>70.12228691637614</v>
      </c>
      <c r="S17" s="1">
        <f t="shared" ref="S17:T17" si="16">AVERAGE(S8:S10)</f>
        <v>66.10136554608674</v>
      </c>
      <c r="T17" s="1">
        <f t="shared" si="16"/>
        <v>66.471186703526598</v>
      </c>
      <c r="U17" s="7">
        <f>AVERAGE(Q17:T17)</f>
        <v>69.085258066823002</v>
      </c>
      <c r="V17" s="7">
        <f t="shared" ref="V17:V19" si="17">STDEV(Q17:T17)/SQRT(COUNT(Q17:T17))</f>
        <v>1.7704646492578375</v>
      </c>
      <c r="W17" s="1">
        <f t="shared" ref="W17" si="18">AVERAGE(W8:W10)</f>
        <v>62.150754041770568</v>
      </c>
      <c r="X17" s="1">
        <f t="shared" ref="X17:Z17" si="19">AVERAGE(X8:X10)</f>
        <v>52.718053269469692</v>
      </c>
      <c r="Y17" s="1">
        <f t="shared" si="19"/>
        <v>71.199011204621442</v>
      </c>
      <c r="Z17" s="1">
        <f t="shared" si="19"/>
        <v>68.6503275223847</v>
      </c>
      <c r="AA17" s="7">
        <f>AVERAGE(W17:Z17)</f>
        <v>63.679536509561601</v>
      </c>
      <c r="AB17" s="7">
        <f t="shared" ref="AB17:AB19" si="20">STDEV(W17:Z17)/SQRT(COUNT(W17:Z17))</f>
        <v>4.1205031411977631</v>
      </c>
      <c r="AC17" s="1">
        <f t="shared" ref="AC17:AF17" si="21">AVERAGE(AC8:AC10)</f>
        <v>63.453222523932737</v>
      </c>
      <c r="AD17" s="1">
        <f>AVERAGE(AD8:AD10)</f>
        <v>63.034249114774973</v>
      </c>
      <c r="AE17" s="1">
        <f t="shared" si="21"/>
        <v>63.351962234573172</v>
      </c>
      <c r="AF17" s="1">
        <f t="shared" si="21"/>
        <v>73.916762571210768</v>
      </c>
      <c r="AG17" s="7">
        <f>AVERAGE(AC17:AF17)</f>
        <v>65.939049111122912</v>
      </c>
      <c r="AH17" s="7">
        <f t="shared" ref="AH17:AH19" si="22">STDEV(AC17:AF17)/SQRT(COUNT(AC17:AF17))</f>
        <v>2.6607349767568511</v>
      </c>
    </row>
    <row r="18" spans="4:34" x14ac:dyDescent="0.2">
      <c r="D18" t="s">
        <v>60</v>
      </c>
      <c r="E18" s="1">
        <f t="shared" ref="E18:F18" si="23">AVERAGE(E11:E13)</f>
        <v>0.18325313421042599</v>
      </c>
      <c r="F18" s="1">
        <f t="shared" si="23"/>
        <v>7.3292513138389692</v>
      </c>
      <c r="G18" s="1">
        <f t="shared" ref="G18:H18" si="24">AVERAGE(G11:G13)</f>
        <v>-0.60295204875539332</v>
      </c>
      <c r="H18" s="1">
        <f t="shared" si="24"/>
        <v>5.5963967766324005</v>
      </c>
      <c r="I18" s="7">
        <f t="shared" si="10"/>
        <v>3.1264872939816004</v>
      </c>
      <c r="J18" s="7">
        <f t="shared" si="11"/>
        <v>1.9650068572716333</v>
      </c>
      <c r="K18" s="1">
        <f t="shared" ref="K18:N18" si="25">AVERAGE(K11:K13)</f>
        <v>5.8339351899106688</v>
      </c>
      <c r="L18" s="1">
        <f t="shared" si="25"/>
        <v>9.2439461080240175</v>
      </c>
      <c r="M18" s="1">
        <f t="shared" si="25"/>
        <v>3.9771190524444866</v>
      </c>
      <c r="N18" s="1">
        <f t="shared" si="25"/>
        <v>-1.0692159915757837</v>
      </c>
      <c r="O18" s="7">
        <f t="shared" si="13"/>
        <v>4.4964460897008474</v>
      </c>
      <c r="P18" s="7">
        <f t="shared" si="14"/>
        <v>2.1520131755278316</v>
      </c>
      <c r="Q18" s="1">
        <f t="shared" ref="Q18:R18" si="26">AVERAGE(Q11:Q13)</f>
        <v>5.4442367147548261</v>
      </c>
      <c r="R18" s="1">
        <f t="shared" si="26"/>
        <v>0.56156037883348286</v>
      </c>
      <c r="S18" s="1">
        <f t="shared" ref="S18:T18" si="27">AVERAGE(S11:S13)</f>
        <v>8.4205346425026004</v>
      </c>
      <c r="T18" s="1">
        <f t="shared" si="27"/>
        <v>1.1665519566825135</v>
      </c>
      <c r="U18" s="7">
        <f>AVERAGE(Q18:T18)</f>
        <v>3.8982209231933553</v>
      </c>
      <c r="V18" s="7">
        <f t="shared" si="17"/>
        <v>1.8582430127788361</v>
      </c>
      <c r="W18" s="1">
        <f t="shared" ref="W18" si="28">AVERAGE(W11:W13)</f>
        <v>7.2525458756736727</v>
      </c>
      <c r="X18" s="1">
        <f t="shared" ref="X18:Z18" si="29">AVERAGE(X11:X13)</f>
        <v>4.2201968055057071</v>
      </c>
      <c r="Y18" s="1">
        <f t="shared" si="29"/>
        <v>2.4852262082591268</v>
      </c>
      <c r="Z18" s="1">
        <f t="shared" si="29"/>
        <v>12.885931507158716</v>
      </c>
      <c r="AA18" s="7">
        <f>AVERAGE(W18:Z18)</f>
        <v>6.7109750991493051</v>
      </c>
      <c r="AB18" s="7">
        <f t="shared" si="20"/>
        <v>2.281890950939363</v>
      </c>
      <c r="AC18" s="1">
        <f t="shared" ref="AC18:AF18" si="30">AVERAGE(AC11:AC13)</f>
        <v>5.8861552889141704</v>
      </c>
      <c r="AD18" s="1">
        <f t="shared" si="30"/>
        <v>11.369951026267019</v>
      </c>
      <c r="AE18" s="1">
        <f t="shared" si="30"/>
        <v>9.2882013113065369</v>
      </c>
      <c r="AF18" s="1">
        <f t="shared" si="30"/>
        <v>-4.6152893288574832</v>
      </c>
      <c r="AG18" s="7">
        <f>AVERAGE(AC18:AF18)</f>
        <v>5.4822545744075608</v>
      </c>
      <c r="AH18" s="7">
        <f t="shared" si="22"/>
        <v>3.5505132110125341</v>
      </c>
    </row>
    <row r="19" spans="4:34" x14ac:dyDescent="0.2">
      <c r="D19" t="s">
        <v>66</v>
      </c>
      <c r="E19" s="1">
        <f t="shared" ref="E19:F19" si="31">(E16+2*E17)/3</f>
        <v>80.962590773453812</v>
      </c>
      <c r="F19" s="1">
        <f t="shared" si="31"/>
        <v>78.732449513345074</v>
      </c>
      <c r="G19" s="1">
        <f t="shared" ref="G19:H19" si="32">(G16+2*G17)/3</f>
        <v>81.826973398568043</v>
      </c>
      <c r="H19" s="1">
        <f t="shared" si="32"/>
        <v>84.845970507640303</v>
      </c>
      <c r="I19" s="7">
        <f t="shared" si="10"/>
        <v>81.591996048251801</v>
      </c>
      <c r="J19" s="7">
        <f t="shared" si="11"/>
        <v>1.2654617577112228</v>
      </c>
      <c r="K19" s="1">
        <f t="shared" ref="K19:N19" si="33">(K16+2*K17)/3</f>
        <v>78.554425754355222</v>
      </c>
      <c r="L19" s="1">
        <f t="shared" si="33"/>
        <v>79.409405756582373</v>
      </c>
      <c r="M19" s="1">
        <f t="shared" si="33"/>
        <v>80.518735051329529</v>
      </c>
      <c r="N19" s="1">
        <f t="shared" si="33"/>
        <v>80.487951616043475</v>
      </c>
      <c r="O19" s="7">
        <f t="shared" si="13"/>
        <v>79.742629544577653</v>
      </c>
      <c r="P19" s="7">
        <f t="shared" si="14"/>
        <v>0.47264425380067504</v>
      </c>
      <c r="Q19" s="1">
        <f t="shared" ref="Q19:R19" si="34">(Q16+2*Q17)/3</f>
        <v>83.41306504761998</v>
      </c>
      <c r="R19" s="1">
        <f t="shared" si="34"/>
        <v>78.24102707737633</v>
      </c>
      <c r="S19" s="1">
        <f t="shared" ref="S19:T19" si="35">(S16+2*S17)/3</f>
        <v>75.364233080514111</v>
      </c>
      <c r="T19" s="1">
        <f t="shared" si="35"/>
        <v>73.346762011704072</v>
      </c>
      <c r="U19" s="7">
        <f t="shared" ref="U19" si="36">AVERAGE(Q19:T19)</f>
        <v>77.591271804303631</v>
      </c>
      <c r="V19" s="7">
        <f t="shared" si="17"/>
        <v>2.1850061658864428</v>
      </c>
      <c r="W19" s="1">
        <f t="shared" ref="W19" si="37">(W16+2*W17)/3</f>
        <v>72.661208761601884</v>
      </c>
      <c r="X19" s="1">
        <f t="shared" ref="X19:Z19" si="38">(X16+2*X17)/3</f>
        <v>65.937158759804433</v>
      </c>
      <c r="Y19" s="1">
        <f t="shared" si="38"/>
        <v>75.466800075184537</v>
      </c>
      <c r="Z19" s="1">
        <f t="shared" si="38"/>
        <v>74.950445335745641</v>
      </c>
      <c r="AA19" s="7">
        <f t="shared" ref="AA19" si="39">AVERAGE(W19:Z19)</f>
        <v>72.253903233084131</v>
      </c>
      <c r="AB19" s="7">
        <f t="shared" si="20"/>
        <v>2.1920539067975278</v>
      </c>
      <c r="AC19" s="1">
        <f>(AC16+2*AC17)/3</f>
        <v>70.036677879155022</v>
      </c>
      <c r="AD19" s="1">
        <f t="shared" ref="AD19:AF19" si="40">(AD16+2*AD17)/3</f>
        <v>68.0547121033281</v>
      </c>
      <c r="AE19" s="1">
        <f t="shared" si="40"/>
        <v>69.181089380675104</v>
      </c>
      <c r="AF19" s="1">
        <f t="shared" si="40"/>
        <v>78.844686743932542</v>
      </c>
      <c r="AG19" s="7">
        <f t="shared" ref="AG19" si="41">AVERAGE(AC19:AF19)</f>
        <v>71.529291526772695</v>
      </c>
      <c r="AH19" s="7">
        <f t="shared" si="22"/>
        <v>2.4720042167753546</v>
      </c>
    </row>
    <row r="20" spans="4:34" x14ac:dyDescent="0.2">
      <c r="E20" s="1"/>
      <c r="F20" s="1"/>
      <c r="G20" s="1"/>
      <c r="H20" s="1"/>
      <c r="I20" s="7">
        <f>I16/$I16</f>
        <v>1</v>
      </c>
      <c r="J20" s="7"/>
      <c r="K20" s="1"/>
      <c r="L20" s="1"/>
      <c r="M20" s="1"/>
      <c r="N20" s="1"/>
      <c r="O20" s="7">
        <f>O16/$I16</f>
        <v>0.95842182980641977</v>
      </c>
      <c r="P20" s="7"/>
      <c r="Q20" s="1"/>
      <c r="R20" s="1"/>
      <c r="S20" s="1"/>
      <c r="T20" s="1"/>
      <c r="U20" s="7">
        <f>U16/$I16</f>
        <v>0.99034489949134663</v>
      </c>
      <c r="V20" s="7"/>
      <c r="W20" s="1"/>
      <c r="X20" s="1"/>
      <c r="Y20" s="1"/>
      <c r="Z20" s="1"/>
      <c r="AA20" s="7">
        <f>AA16/$I16</f>
        <v>0.93590229845873818</v>
      </c>
      <c r="AB20" s="7"/>
      <c r="AC20" s="1"/>
      <c r="AD20" s="1"/>
      <c r="AE20" s="1"/>
      <c r="AF20" s="1"/>
      <c r="AG20" s="7">
        <f>AG16/$I16</f>
        <v>0.86583877917923835</v>
      </c>
    </row>
    <row r="21" spans="4:34" x14ac:dyDescent="0.2">
      <c r="E21" s="1"/>
      <c r="F21" s="1"/>
      <c r="G21" s="1"/>
      <c r="H21" s="1"/>
      <c r="I21" s="7">
        <f t="shared" ref="I21:I23" si="42">I17/$I17</f>
        <v>1</v>
      </c>
      <c r="J21" s="7"/>
      <c r="K21" s="1"/>
      <c r="L21" s="1"/>
      <c r="M21" s="1"/>
      <c r="N21" s="1"/>
      <c r="O21" s="7">
        <f t="shared" ref="O21:O23" si="43">O17/$I17</f>
        <v>0.98943842218271383</v>
      </c>
      <c r="P21" s="7"/>
      <c r="Q21" s="1"/>
      <c r="R21" s="1"/>
      <c r="S21" s="1"/>
      <c r="T21" s="1"/>
      <c r="U21" s="7">
        <f t="shared" ref="U21:U23" si="44">U17/$I17</f>
        <v>0.92576324820407219</v>
      </c>
      <c r="V21" s="7"/>
      <c r="W21" s="1"/>
      <c r="X21" s="1"/>
      <c r="Y21" s="1"/>
      <c r="Z21" s="1"/>
      <c r="AA21" s="7">
        <f t="shared" ref="AA21:AA23" si="45">AA17/$I17</f>
        <v>0.85332495257092067</v>
      </c>
      <c r="AB21" s="7"/>
      <c r="AC21" s="1"/>
      <c r="AD21" s="1"/>
      <c r="AE21" s="1"/>
      <c r="AF21" s="1"/>
      <c r="AG21" s="7">
        <f t="shared" ref="AG21:AG23" si="46">AG17/$I17</f>
        <v>0.88360310139619036</v>
      </c>
    </row>
    <row r="22" spans="4:34" x14ac:dyDescent="0.2">
      <c r="E22" s="1"/>
      <c r="F22" s="1"/>
      <c r="G22" s="1"/>
      <c r="H22" s="1"/>
      <c r="I22" s="7">
        <f t="shared" si="42"/>
        <v>1</v>
      </c>
      <c r="J22" s="7"/>
      <c r="K22" s="1"/>
      <c r="L22" s="1"/>
      <c r="M22" s="1"/>
      <c r="N22" s="1"/>
      <c r="O22" s="7">
        <f t="shared" si="43"/>
        <v>1.4381782706606161</v>
      </c>
      <c r="P22" s="7"/>
      <c r="Q22" s="1"/>
      <c r="R22" s="1"/>
      <c r="S22" s="1"/>
      <c r="T22" s="1"/>
      <c r="U22" s="7">
        <f t="shared" si="44"/>
        <v>1.2468372830739853</v>
      </c>
      <c r="V22" s="7"/>
      <c r="W22" s="1"/>
      <c r="X22" s="1"/>
      <c r="Y22" s="1"/>
      <c r="Z22" s="1"/>
      <c r="AA22" s="7">
        <f t="shared" si="45"/>
        <v>2.1464904437858241</v>
      </c>
      <c r="AB22" s="7"/>
      <c r="AC22" s="1"/>
      <c r="AD22" s="1"/>
      <c r="AE22" s="1"/>
      <c r="AF22" s="1"/>
      <c r="AG22" s="7">
        <f t="shared" si="46"/>
        <v>1.7534869196368543</v>
      </c>
    </row>
    <row r="23" spans="4:34" x14ac:dyDescent="0.2">
      <c r="I23" s="7">
        <f t="shared" si="42"/>
        <v>1</v>
      </c>
      <c r="J23" s="7"/>
      <c r="K23" s="1"/>
      <c r="L23" s="1"/>
      <c r="M23" s="1"/>
      <c r="N23" s="1"/>
      <c r="O23" s="7">
        <f t="shared" si="43"/>
        <v>0.97733397155058599</v>
      </c>
      <c r="P23" s="7"/>
      <c r="U23" s="7">
        <f t="shared" si="44"/>
        <v>0.95096670705810127</v>
      </c>
      <c r="V23" s="7"/>
      <c r="AA23" s="7">
        <f t="shared" si="45"/>
        <v>0.88555136205216356</v>
      </c>
      <c r="AB23" s="7"/>
      <c r="AG23" s="7">
        <f t="shared" si="46"/>
        <v>0.87667044552350171</v>
      </c>
    </row>
    <row r="26" spans="4:34" x14ac:dyDescent="0.2">
      <c r="H26">
        <v>0</v>
      </c>
      <c r="I26">
        <v>1224.5952</v>
      </c>
      <c r="J26">
        <v>-1312.8021000000001</v>
      </c>
      <c r="K26">
        <v>4478.5294999999996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5797.0779000000002</v>
      </c>
    </row>
    <row r="27" spans="4:34" x14ac:dyDescent="0.2">
      <c r="H27">
        <v>1000</v>
      </c>
      <c r="I27">
        <v>1170.8536999999999</v>
      </c>
      <c r="J27">
        <v>-1315.7636</v>
      </c>
      <c r="K27">
        <v>1391.1913999999999</v>
      </c>
      <c r="L27">
        <v>6515.6397999999999</v>
      </c>
      <c r="M27">
        <v>3659.9933000000001</v>
      </c>
      <c r="N27">
        <v>3496.5628000000002</v>
      </c>
      <c r="O27">
        <v>992.67357000000004</v>
      </c>
      <c r="P27">
        <v>-396.42516999999998</v>
      </c>
      <c r="Q27">
        <v>194.15353999999999</v>
      </c>
      <c r="R27">
        <v>5797.0779000000002</v>
      </c>
    </row>
    <row r="28" spans="4:34" x14ac:dyDescent="0.2">
      <c r="H28">
        <v>2000</v>
      </c>
      <c r="I28">
        <v>1215.7572</v>
      </c>
      <c r="J28">
        <v>-1312.6805999999999</v>
      </c>
      <c r="K28">
        <v>6155.1318000000001</v>
      </c>
      <c r="L28">
        <v>3373.2597000000001</v>
      </c>
      <c r="M28">
        <v>2295.8384000000001</v>
      </c>
      <c r="N28">
        <v>-2678.5376000000001</v>
      </c>
      <c r="O28">
        <v>1724.1303</v>
      </c>
      <c r="P28">
        <v>1425.6365000000001</v>
      </c>
      <c r="Q28">
        <v>-1298.6739</v>
      </c>
      <c r="R28">
        <v>5797.0779000000002</v>
      </c>
    </row>
    <row r="29" spans="4:34" x14ac:dyDescent="0.2">
      <c r="H29">
        <v>3000</v>
      </c>
      <c r="I29">
        <v>1304.213</v>
      </c>
      <c r="J29">
        <v>-1313.5567000000001</v>
      </c>
      <c r="K29">
        <v>6833.3860000000004</v>
      </c>
      <c r="L29">
        <v>4807.7811000000002</v>
      </c>
      <c r="M29">
        <v>6654.2118</v>
      </c>
      <c r="N29">
        <v>2645.4014999999999</v>
      </c>
      <c r="O29">
        <v>2669.8669</v>
      </c>
      <c r="P29">
        <v>1662.9331999999999</v>
      </c>
      <c r="Q29">
        <v>472.49500999999998</v>
      </c>
      <c r="R29">
        <v>5797.0779000000002</v>
      </c>
    </row>
    <row r="30" spans="4:34" x14ac:dyDescent="0.2">
      <c r="H30">
        <v>4000</v>
      </c>
      <c r="I30">
        <v>1209.4742000000001</v>
      </c>
      <c r="J30">
        <v>-1318.4643000000001</v>
      </c>
      <c r="K30">
        <v>-3631.6361000000002</v>
      </c>
      <c r="L30">
        <v>1525.3832</v>
      </c>
      <c r="M30">
        <v>3104.0165000000002</v>
      </c>
      <c r="N30">
        <v>-2316.1644000000001</v>
      </c>
      <c r="O30">
        <v>2492.9627999999998</v>
      </c>
      <c r="P30">
        <v>404.21735999999999</v>
      </c>
      <c r="Q30">
        <v>-1056.7913000000001</v>
      </c>
      <c r="R30">
        <v>5797.0779000000002</v>
      </c>
    </row>
    <row r="31" spans="4:34" x14ac:dyDescent="0.2">
      <c r="H31">
        <v>5000</v>
      </c>
      <c r="I31">
        <v>1046.4102</v>
      </c>
      <c r="J31">
        <v>-1316.1913999999999</v>
      </c>
      <c r="K31">
        <v>-4011.1651000000002</v>
      </c>
      <c r="L31">
        <v>-1238.422</v>
      </c>
      <c r="M31">
        <v>-1562.6083000000001</v>
      </c>
      <c r="N31">
        <v>-3022.5418</v>
      </c>
      <c r="O31">
        <v>2042.7445</v>
      </c>
      <c r="P31">
        <v>708.89823000000001</v>
      </c>
      <c r="Q31">
        <v>-637.78989999999999</v>
      </c>
      <c r="R31">
        <v>5797.0779000000002</v>
      </c>
    </row>
    <row r="32" spans="4:34" x14ac:dyDescent="0.2">
      <c r="H32">
        <v>6000</v>
      </c>
      <c r="I32">
        <v>1141.4842000000001</v>
      </c>
      <c r="J32">
        <v>-1316.8784000000001</v>
      </c>
      <c r="K32">
        <v>804.27882999999997</v>
      </c>
      <c r="L32">
        <v>-1869.7614000000001</v>
      </c>
      <c r="M32">
        <v>181.49136999999999</v>
      </c>
      <c r="N32">
        <v>-463.98318</v>
      </c>
      <c r="O32">
        <v>1380.6349</v>
      </c>
      <c r="P32">
        <v>2172.5542</v>
      </c>
      <c r="Q32">
        <v>-1099.8820000000001</v>
      </c>
      <c r="R32">
        <v>5797.0779000000002</v>
      </c>
    </row>
    <row r="33" spans="8:18" x14ac:dyDescent="0.2">
      <c r="H33">
        <v>7000</v>
      </c>
      <c r="I33">
        <v>1256.2726</v>
      </c>
      <c r="J33">
        <v>-1317.0469000000001</v>
      </c>
      <c r="K33">
        <v>-1496.4961000000001</v>
      </c>
      <c r="L33">
        <v>-1320.6156000000001</v>
      </c>
      <c r="M33">
        <v>340.02463999999998</v>
      </c>
      <c r="N33">
        <v>2920.1556</v>
      </c>
      <c r="O33">
        <v>-2236.9367000000002</v>
      </c>
      <c r="P33">
        <v>1247.3728000000001</v>
      </c>
      <c r="Q33">
        <v>1414.347</v>
      </c>
      <c r="R33">
        <v>5797.0779000000002</v>
      </c>
    </row>
    <row r="34" spans="8:18" x14ac:dyDescent="0.2">
      <c r="H34">
        <v>8000</v>
      </c>
      <c r="I34">
        <v>1257.5911000000001</v>
      </c>
      <c r="J34">
        <v>-1318.9688000000001</v>
      </c>
      <c r="K34">
        <v>-660.26783</v>
      </c>
      <c r="L34">
        <v>-4859.3510999999999</v>
      </c>
      <c r="M34">
        <v>-3712.6567</v>
      </c>
      <c r="N34">
        <v>-2351.0237999999999</v>
      </c>
      <c r="O34">
        <v>-844.56538999999998</v>
      </c>
      <c r="P34">
        <v>1315.2157</v>
      </c>
      <c r="Q34">
        <v>-109.17492</v>
      </c>
      <c r="R34">
        <v>5797.0779000000002</v>
      </c>
    </row>
    <row r="35" spans="8:18" x14ac:dyDescent="0.2">
      <c r="H35">
        <v>9000</v>
      </c>
      <c r="I35">
        <v>1247.3200999999999</v>
      </c>
      <c r="J35">
        <v>-1317.2303999999999</v>
      </c>
      <c r="K35">
        <v>-1113.4187999999999</v>
      </c>
      <c r="L35">
        <v>-754.27056000000005</v>
      </c>
      <c r="M35">
        <v>-2927.366</v>
      </c>
      <c r="N35">
        <v>-5391.308</v>
      </c>
      <c r="O35">
        <v>-393.48495000000003</v>
      </c>
      <c r="P35">
        <v>-2311.7174</v>
      </c>
      <c r="Q35">
        <v>1161.472</v>
      </c>
      <c r="R35">
        <v>5797.0779000000002</v>
      </c>
    </row>
    <row r="36" spans="8:18" x14ac:dyDescent="0.2">
      <c r="H36">
        <v>10000</v>
      </c>
      <c r="I36">
        <v>1249.5924</v>
      </c>
      <c r="J36">
        <v>-1313.9494</v>
      </c>
      <c r="K36">
        <v>1444.2402999999999</v>
      </c>
      <c r="L36">
        <v>-1931.4259999999999</v>
      </c>
      <c r="M36">
        <v>-54.204174000000002</v>
      </c>
      <c r="N36">
        <v>-3210.3733999999999</v>
      </c>
      <c r="O36">
        <v>-2424.0302999999999</v>
      </c>
      <c r="P36">
        <v>740.58561999999995</v>
      </c>
      <c r="Q36">
        <v>-76.941575</v>
      </c>
      <c r="R36">
        <v>5797.0779000000002</v>
      </c>
    </row>
    <row r="37" spans="8:18" x14ac:dyDescent="0.2">
      <c r="H37">
        <v>11000</v>
      </c>
      <c r="I37">
        <v>1192.4811</v>
      </c>
      <c r="J37">
        <v>-1315.0197000000001</v>
      </c>
      <c r="K37">
        <v>2383.4200999999998</v>
      </c>
      <c r="L37">
        <v>1299.7180000000001</v>
      </c>
      <c r="M37">
        <v>644.93955000000005</v>
      </c>
      <c r="N37">
        <v>4278.1318000000001</v>
      </c>
      <c r="O37">
        <v>-2651.1876000000002</v>
      </c>
      <c r="P37">
        <v>1414.6913</v>
      </c>
      <c r="Q37">
        <v>-2216.864</v>
      </c>
      <c r="R37">
        <v>5797.0779000000002</v>
      </c>
    </row>
    <row r="38" spans="8:18" x14ac:dyDescent="0.2">
      <c r="H38">
        <v>12000</v>
      </c>
      <c r="I38">
        <v>1193.4686999999999</v>
      </c>
      <c r="J38">
        <v>-1316.3241</v>
      </c>
      <c r="K38">
        <v>2295.3829999999998</v>
      </c>
      <c r="L38">
        <v>-649.86505</v>
      </c>
      <c r="M38">
        <v>908.06314999999995</v>
      </c>
      <c r="N38">
        <v>305.92268999999999</v>
      </c>
      <c r="O38">
        <v>-1487.2579000000001</v>
      </c>
      <c r="P38">
        <v>-195.46917999999999</v>
      </c>
      <c r="Q38">
        <v>-1180.0866000000001</v>
      </c>
      <c r="R38">
        <v>5797.0779000000002</v>
      </c>
    </row>
    <row r="39" spans="8:18" x14ac:dyDescent="0.2">
      <c r="H39">
        <v>13000</v>
      </c>
      <c r="I39">
        <v>1177.7642000000001</v>
      </c>
      <c r="J39">
        <v>-1316.2071000000001</v>
      </c>
      <c r="K39">
        <v>5056.1370999999999</v>
      </c>
      <c r="L39">
        <v>3928.3537000000001</v>
      </c>
      <c r="M39">
        <v>3251.5381000000002</v>
      </c>
      <c r="N39">
        <v>-927.36865999999998</v>
      </c>
      <c r="O39">
        <v>-1997.5319</v>
      </c>
      <c r="P39">
        <v>-1513.829</v>
      </c>
      <c r="Q39">
        <v>-356.88040999999998</v>
      </c>
      <c r="R39">
        <v>5797.0779000000002</v>
      </c>
    </row>
    <row r="40" spans="8:18" x14ac:dyDescent="0.2">
      <c r="H40">
        <v>14000</v>
      </c>
      <c r="I40">
        <v>1189.5921000000001</v>
      </c>
      <c r="J40">
        <v>-1313.6029000000001</v>
      </c>
      <c r="K40">
        <v>8301.1080999999995</v>
      </c>
      <c r="L40">
        <v>4813.5991999999997</v>
      </c>
      <c r="M40">
        <v>4400.3199000000004</v>
      </c>
      <c r="N40">
        <v>1448.8009</v>
      </c>
      <c r="O40">
        <v>-3982.3971999999999</v>
      </c>
      <c r="P40">
        <v>-839.86406999999997</v>
      </c>
      <c r="Q40">
        <v>-1330.7325000000001</v>
      </c>
      <c r="R40">
        <v>5797.0779000000002</v>
      </c>
    </row>
    <row r="41" spans="8:18" x14ac:dyDescent="0.2">
      <c r="H41">
        <v>15000</v>
      </c>
      <c r="I41">
        <v>1279.1454000000001</v>
      </c>
      <c r="J41">
        <v>-1315.8299</v>
      </c>
      <c r="K41">
        <v>1859.6215999999999</v>
      </c>
      <c r="L41">
        <v>6790.3041000000003</v>
      </c>
      <c r="M41">
        <v>2520.5079999999998</v>
      </c>
      <c r="N41">
        <v>2449.2384000000002</v>
      </c>
      <c r="O41">
        <v>591.07664999999997</v>
      </c>
      <c r="P41">
        <v>2703.1947</v>
      </c>
      <c r="Q41">
        <v>1393.5003999999999</v>
      </c>
      <c r="R41">
        <v>5797.0779000000002</v>
      </c>
    </row>
    <row r="42" spans="8:18" x14ac:dyDescent="0.2">
      <c r="H42">
        <v>16000</v>
      </c>
      <c r="I42">
        <v>1202.3532</v>
      </c>
      <c r="J42">
        <v>-1317.4758999999999</v>
      </c>
      <c r="K42">
        <v>-2171.2411999999999</v>
      </c>
      <c r="L42">
        <v>3635.1936999999998</v>
      </c>
      <c r="M42">
        <v>-618.07268999999997</v>
      </c>
      <c r="N42">
        <v>1594.0435</v>
      </c>
      <c r="O42">
        <v>1562.3634999999999</v>
      </c>
      <c r="P42">
        <v>-1542.1632</v>
      </c>
      <c r="Q42">
        <v>720.43197999999995</v>
      </c>
      <c r="R42">
        <v>5797.0779000000002</v>
      </c>
    </row>
    <row r="43" spans="8:18" x14ac:dyDescent="0.2">
      <c r="H43">
        <v>17000</v>
      </c>
      <c r="I43">
        <v>1216.0328999999999</v>
      </c>
      <c r="J43">
        <v>-1316.4534000000001</v>
      </c>
      <c r="K43">
        <v>219.87861000000001</v>
      </c>
      <c r="L43">
        <v>-436.10178999999999</v>
      </c>
      <c r="M43">
        <v>-2886.7044999999998</v>
      </c>
      <c r="N43">
        <v>2068.0291999999999</v>
      </c>
      <c r="O43">
        <v>-2749.8508999999999</v>
      </c>
      <c r="P43">
        <v>-1292.2593999999999</v>
      </c>
      <c r="Q43">
        <v>846.68223</v>
      </c>
      <c r="R43">
        <v>5797.0779000000002</v>
      </c>
    </row>
    <row r="44" spans="8:18" x14ac:dyDescent="0.2">
      <c r="H44">
        <v>18000</v>
      </c>
      <c r="I44">
        <v>1302.9131</v>
      </c>
      <c r="J44">
        <v>-1314.6785</v>
      </c>
      <c r="K44">
        <v>1124.4482</v>
      </c>
      <c r="L44">
        <v>-950.16223000000002</v>
      </c>
      <c r="M44">
        <v>-3957.5010000000002</v>
      </c>
      <c r="N44">
        <v>-1623.7261000000001</v>
      </c>
      <c r="O44">
        <v>-1905.8924</v>
      </c>
      <c r="P44">
        <v>-1614.2943</v>
      </c>
      <c r="Q44">
        <v>3397.2984999999999</v>
      </c>
      <c r="R44">
        <v>5797.0779000000002</v>
      </c>
    </row>
    <row r="45" spans="8:18" x14ac:dyDescent="0.2">
      <c r="H45">
        <v>19000</v>
      </c>
      <c r="I45">
        <v>1230.2003999999999</v>
      </c>
      <c r="J45">
        <v>-1316.9604999999999</v>
      </c>
      <c r="K45">
        <v>-4260.0568999999996</v>
      </c>
      <c r="L45">
        <v>999.06704000000002</v>
      </c>
      <c r="M45">
        <v>-2717.5378000000001</v>
      </c>
      <c r="N45">
        <v>-757.16967</v>
      </c>
      <c r="O45">
        <v>-1197.1632</v>
      </c>
      <c r="P45">
        <v>-344.96820000000002</v>
      </c>
      <c r="Q45">
        <v>3216.0176000000001</v>
      </c>
      <c r="R45">
        <v>5797.0779000000002</v>
      </c>
    </row>
    <row r="46" spans="8:18" x14ac:dyDescent="0.2">
      <c r="H46">
        <v>20000</v>
      </c>
      <c r="I46">
        <v>1246.5024000000001</v>
      </c>
      <c r="J46">
        <v>-1315.6424999999999</v>
      </c>
      <c r="K46">
        <v>992.82599000000005</v>
      </c>
      <c r="L46">
        <v>-618.38194999999996</v>
      </c>
      <c r="M46">
        <v>-1599.2148999999999</v>
      </c>
      <c r="N46">
        <v>1607.2947999999999</v>
      </c>
      <c r="O46">
        <v>-2286.6736000000001</v>
      </c>
      <c r="P46">
        <v>2633.2835</v>
      </c>
      <c r="Q46">
        <v>2472.9888999999998</v>
      </c>
      <c r="R46">
        <v>5797.0779000000002</v>
      </c>
    </row>
    <row r="47" spans="8:18" x14ac:dyDescent="0.2">
      <c r="H47">
        <v>21000</v>
      </c>
      <c r="I47">
        <v>1224.3602000000001</v>
      </c>
      <c r="J47">
        <v>-1318.3061</v>
      </c>
      <c r="K47">
        <v>-3702.9126999999999</v>
      </c>
      <c r="L47">
        <v>-1487.1175000000001</v>
      </c>
      <c r="M47">
        <v>-415.35358000000002</v>
      </c>
      <c r="N47">
        <v>-1839.6117999999999</v>
      </c>
      <c r="O47">
        <v>1186.0707</v>
      </c>
      <c r="P47">
        <v>448.62317999999999</v>
      </c>
      <c r="Q47">
        <v>2547.7566000000002</v>
      </c>
      <c r="R47">
        <v>5797.0779000000002</v>
      </c>
    </row>
    <row r="48" spans="8:18" x14ac:dyDescent="0.2">
      <c r="H48">
        <v>22000</v>
      </c>
      <c r="I48">
        <v>1134.5888</v>
      </c>
      <c r="J48">
        <v>-1315.8726999999999</v>
      </c>
      <c r="K48">
        <v>2514.9693000000002</v>
      </c>
      <c r="L48">
        <v>-1723.0600999999999</v>
      </c>
      <c r="M48">
        <v>-1874.1106</v>
      </c>
      <c r="N48">
        <v>-1130.1405999999999</v>
      </c>
      <c r="O48">
        <v>2676.7444999999998</v>
      </c>
      <c r="P48">
        <v>3700.0428999999999</v>
      </c>
      <c r="Q48">
        <v>2149.4211</v>
      </c>
      <c r="R48">
        <v>5797.0779000000002</v>
      </c>
    </row>
    <row r="49" spans="8:18" x14ac:dyDescent="0.2">
      <c r="H49">
        <v>23000</v>
      </c>
      <c r="I49">
        <v>1311.2639999999999</v>
      </c>
      <c r="J49">
        <v>-1315.1916000000001</v>
      </c>
      <c r="K49">
        <v>133.96947</v>
      </c>
      <c r="L49">
        <v>713.01977999999997</v>
      </c>
      <c r="M49">
        <v>-3706.6871000000001</v>
      </c>
      <c r="N49">
        <v>-1340.2481</v>
      </c>
      <c r="O49">
        <v>-1600.3076000000001</v>
      </c>
      <c r="P49">
        <v>362.26389</v>
      </c>
      <c r="Q49">
        <v>3492.6596</v>
      </c>
      <c r="R49">
        <v>5797.0779000000002</v>
      </c>
    </row>
    <row r="50" spans="8:18" x14ac:dyDescent="0.2">
      <c r="H50">
        <v>24000</v>
      </c>
      <c r="I50">
        <v>1204.4993999999999</v>
      </c>
      <c r="J50">
        <v>-1317.4110000000001</v>
      </c>
      <c r="K50">
        <v>-2189.9784</v>
      </c>
      <c r="L50">
        <v>-115.25827</v>
      </c>
      <c r="M50">
        <v>-4999.1534000000001</v>
      </c>
      <c r="N50">
        <v>-425.19139000000001</v>
      </c>
      <c r="O50">
        <v>-1325.9807000000001</v>
      </c>
      <c r="P50">
        <v>-2501.4459000000002</v>
      </c>
      <c r="Q50">
        <v>1507.4419</v>
      </c>
      <c r="R50">
        <v>5797.0779000000002</v>
      </c>
    </row>
    <row r="51" spans="8:18" x14ac:dyDescent="0.2">
      <c r="H51">
        <v>25000</v>
      </c>
      <c r="I51">
        <v>1204.4799</v>
      </c>
      <c r="J51">
        <v>-1315.4574</v>
      </c>
      <c r="K51">
        <v>1696.1515999999999</v>
      </c>
      <c r="L51">
        <v>-1262.1661999999999</v>
      </c>
      <c r="M51">
        <v>-3099.8829999999998</v>
      </c>
      <c r="N51">
        <v>-5988.8383999999996</v>
      </c>
      <c r="O51">
        <v>2199.5747999999999</v>
      </c>
      <c r="P51">
        <v>22.403276999999999</v>
      </c>
      <c r="Q51">
        <v>1651.9110000000001</v>
      </c>
      <c r="R51">
        <v>5797.0779000000002</v>
      </c>
    </row>
    <row r="52" spans="8:18" x14ac:dyDescent="0.2">
      <c r="H52">
        <v>26000</v>
      </c>
      <c r="I52">
        <v>1224.9511</v>
      </c>
      <c r="J52">
        <v>-1315.6075000000001</v>
      </c>
      <c r="K52">
        <v>2283.5</v>
      </c>
      <c r="L52">
        <v>1202.0826</v>
      </c>
      <c r="M52">
        <v>1677.9429</v>
      </c>
      <c r="N52">
        <v>2908.5785000000001</v>
      </c>
      <c r="O52">
        <v>2801.4832999999999</v>
      </c>
      <c r="P52">
        <v>-11.119286000000001</v>
      </c>
      <c r="Q52">
        <v>-3032.4438</v>
      </c>
      <c r="R52">
        <v>5797.0779000000002</v>
      </c>
    </row>
    <row r="53" spans="8:18" x14ac:dyDescent="0.2">
      <c r="H53">
        <v>27000</v>
      </c>
      <c r="I53">
        <v>1178.1853000000001</v>
      </c>
      <c r="J53">
        <v>-1317.7156</v>
      </c>
      <c r="K53">
        <v>-1269.066</v>
      </c>
      <c r="L53">
        <v>-2019.4422</v>
      </c>
      <c r="M53">
        <v>-1646.7599</v>
      </c>
      <c r="N53">
        <v>-246.02718999999999</v>
      </c>
      <c r="O53">
        <v>3316.5641000000001</v>
      </c>
      <c r="P53">
        <v>1715.9783</v>
      </c>
      <c r="Q53">
        <v>1177.8412000000001</v>
      </c>
      <c r="R53">
        <v>5797.0779000000002</v>
      </c>
    </row>
    <row r="54" spans="8:18" x14ac:dyDescent="0.2">
      <c r="H54">
        <v>28000</v>
      </c>
      <c r="I54">
        <v>1238.5288</v>
      </c>
      <c r="J54">
        <v>-1317.9386999999999</v>
      </c>
      <c r="K54">
        <v>519.07902999999999</v>
      </c>
      <c r="L54">
        <v>1855.1107999999999</v>
      </c>
      <c r="M54">
        <v>2231.7310000000002</v>
      </c>
      <c r="N54">
        <v>1679.8608999999999</v>
      </c>
      <c r="O54">
        <v>-397.12310000000002</v>
      </c>
      <c r="P54">
        <v>4197.1134000000002</v>
      </c>
      <c r="Q54">
        <v>-795.56285000000003</v>
      </c>
      <c r="R54">
        <v>5797.0779000000002</v>
      </c>
    </row>
    <row r="55" spans="8:18" x14ac:dyDescent="0.2">
      <c r="H55">
        <v>29000</v>
      </c>
      <c r="I55">
        <v>1250.5732</v>
      </c>
      <c r="J55">
        <v>-1318.2268999999999</v>
      </c>
      <c r="K55">
        <v>-2606.7784000000001</v>
      </c>
      <c r="L55">
        <v>1881.3775000000001</v>
      </c>
      <c r="M55">
        <v>-1813.7951</v>
      </c>
      <c r="N55">
        <v>-989.3664</v>
      </c>
      <c r="O55">
        <v>2569.5753</v>
      </c>
      <c r="P55">
        <v>594.97712000000001</v>
      </c>
      <c r="Q55">
        <v>1354.414</v>
      </c>
      <c r="R55">
        <v>5797.0779000000002</v>
      </c>
    </row>
    <row r="56" spans="8:18" x14ac:dyDescent="0.2">
      <c r="H56">
        <v>30000</v>
      </c>
      <c r="I56">
        <v>1316.5695000000001</v>
      </c>
      <c r="J56">
        <v>-1318.3416999999999</v>
      </c>
      <c r="K56">
        <v>-131.36930000000001</v>
      </c>
      <c r="L56">
        <v>-1325.6506999999999</v>
      </c>
      <c r="M56">
        <v>-363.18783999999999</v>
      </c>
      <c r="N56">
        <v>-3093.2779999999998</v>
      </c>
      <c r="O56">
        <v>1045.3308999999999</v>
      </c>
      <c r="P56">
        <v>1014.1818</v>
      </c>
      <c r="Q56">
        <v>670.92881</v>
      </c>
      <c r="R56">
        <v>5797.0779000000002</v>
      </c>
    </row>
    <row r="57" spans="8:18" x14ac:dyDescent="0.2">
      <c r="H57">
        <v>31000</v>
      </c>
      <c r="I57">
        <v>1238.0737999999999</v>
      </c>
      <c r="J57">
        <v>-1317.751</v>
      </c>
      <c r="K57">
        <v>-1444.5006000000001</v>
      </c>
      <c r="L57">
        <v>-1821.1358</v>
      </c>
      <c r="M57">
        <v>-1282.3934999999999</v>
      </c>
      <c r="N57">
        <v>-1489.125</v>
      </c>
      <c r="O57">
        <v>-187.39934</v>
      </c>
      <c r="P57">
        <v>1136.6878999999999</v>
      </c>
      <c r="Q57">
        <v>160.86928</v>
      </c>
      <c r="R57">
        <v>5797.0779000000002</v>
      </c>
    </row>
    <row r="58" spans="8:18" x14ac:dyDescent="0.2">
      <c r="H58">
        <v>32000</v>
      </c>
      <c r="I58">
        <v>1313.0001</v>
      </c>
      <c r="J58">
        <v>-1318.4067</v>
      </c>
      <c r="K58">
        <v>-3328.0882000000001</v>
      </c>
      <c r="L58">
        <v>-845.39908000000003</v>
      </c>
      <c r="M58">
        <v>232.63775999999999</v>
      </c>
      <c r="N58">
        <v>-1379.3176000000001</v>
      </c>
      <c r="O58">
        <v>-4203.4377000000004</v>
      </c>
      <c r="P58">
        <v>-479.48658999999998</v>
      </c>
      <c r="Q58">
        <v>2093.7323999999999</v>
      </c>
      <c r="R58">
        <v>5797.0779000000002</v>
      </c>
    </row>
    <row r="59" spans="8:18" x14ac:dyDescent="0.2">
      <c r="H59">
        <v>33000</v>
      </c>
      <c r="I59">
        <v>1347.4222</v>
      </c>
      <c r="J59">
        <v>-1316.6349</v>
      </c>
      <c r="K59">
        <v>1959.8295000000001</v>
      </c>
      <c r="L59">
        <v>-2431.9553000000001</v>
      </c>
      <c r="M59">
        <v>2136.9989999999998</v>
      </c>
      <c r="N59">
        <v>-3312.4983000000002</v>
      </c>
      <c r="O59">
        <v>-916.74905999999999</v>
      </c>
      <c r="P59">
        <v>1886.615</v>
      </c>
      <c r="Q59">
        <v>3140.6873999999998</v>
      </c>
      <c r="R59">
        <v>5797.0779000000002</v>
      </c>
    </row>
    <row r="60" spans="8:18" x14ac:dyDescent="0.2">
      <c r="H60">
        <v>34000</v>
      </c>
      <c r="I60">
        <v>1207.4178999999999</v>
      </c>
      <c r="J60">
        <v>-1314.6833999999999</v>
      </c>
      <c r="K60">
        <v>4727.1606000000002</v>
      </c>
      <c r="L60">
        <v>4358.5721000000003</v>
      </c>
      <c r="M60">
        <v>3979.0457000000001</v>
      </c>
      <c r="N60">
        <v>198.77266</v>
      </c>
      <c r="O60">
        <v>-1661.3821</v>
      </c>
      <c r="P60">
        <v>-155.26882000000001</v>
      </c>
      <c r="Q60">
        <v>967.73812999999996</v>
      </c>
      <c r="R60">
        <v>5797.0779000000002</v>
      </c>
    </row>
    <row r="61" spans="8:18" x14ac:dyDescent="0.2">
      <c r="H61">
        <v>35000</v>
      </c>
      <c r="I61">
        <v>1290.4639</v>
      </c>
      <c r="J61">
        <v>-1316.9690000000001</v>
      </c>
      <c r="K61">
        <v>-2690.2402999999999</v>
      </c>
      <c r="L61">
        <v>-1481.5037</v>
      </c>
      <c r="M61">
        <v>4255.9069</v>
      </c>
      <c r="N61">
        <v>-938.97031000000004</v>
      </c>
      <c r="O61">
        <v>-174.72166000000001</v>
      </c>
      <c r="P61">
        <v>-2947.8323999999998</v>
      </c>
      <c r="Q61">
        <v>-1686.4590000000001</v>
      </c>
      <c r="R61">
        <v>5797.0779000000002</v>
      </c>
    </row>
    <row r="62" spans="8:18" x14ac:dyDescent="0.2">
      <c r="H62">
        <v>36000</v>
      </c>
      <c r="I62">
        <v>1168.2942</v>
      </c>
      <c r="J62">
        <v>-1315.5103999999999</v>
      </c>
      <c r="K62">
        <v>420.69517999999999</v>
      </c>
      <c r="L62">
        <v>2158.3980999999999</v>
      </c>
      <c r="M62">
        <v>4072.4836</v>
      </c>
      <c r="N62">
        <v>-405.75258000000002</v>
      </c>
      <c r="O62">
        <v>-1317.2696000000001</v>
      </c>
      <c r="P62">
        <v>-1528.1969999999999</v>
      </c>
      <c r="Q62">
        <v>-247.03792000000001</v>
      </c>
      <c r="R62">
        <v>5797.0779000000002</v>
      </c>
    </row>
    <row r="63" spans="8:18" x14ac:dyDescent="0.2">
      <c r="H63">
        <v>37000</v>
      </c>
      <c r="I63">
        <v>1277.1990000000001</v>
      </c>
      <c r="J63">
        <v>-1313.7956999999999</v>
      </c>
      <c r="K63">
        <v>3873.2233000000001</v>
      </c>
      <c r="L63">
        <v>3561.2946999999999</v>
      </c>
      <c r="M63">
        <v>1166.0233000000001</v>
      </c>
      <c r="N63">
        <v>75.425651999999999</v>
      </c>
      <c r="O63">
        <v>-3071.3316</v>
      </c>
      <c r="P63">
        <v>1416.9791</v>
      </c>
      <c r="Q63">
        <v>-146.28391999999999</v>
      </c>
      <c r="R63">
        <v>5797.0779000000002</v>
      </c>
    </row>
    <row r="64" spans="8:18" x14ac:dyDescent="0.2">
      <c r="H64">
        <v>38000</v>
      </c>
      <c r="I64">
        <v>1126.3751</v>
      </c>
      <c r="J64">
        <v>-1317.1324999999999</v>
      </c>
      <c r="K64">
        <v>-1538.7674999999999</v>
      </c>
      <c r="L64">
        <v>2778.8177000000001</v>
      </c>
      <c r="M64">
        <v>1646.7436</v>
      </c>
      <c r="N64">
        <v>-1342.3061</v>
      </c>
      <c r="O64">
        <v>-4362.3688000000002</v>
      </c>
      <c r="P64">
        <v>1391.2710999999999</v>
      </c>
      <c r="Q64">
        <v>-131.50058999999999</v>
      </c>
      <c r="R64">
        <v>5797.0779000000002</v>
      </c>
    </row>
    <row r="65" spans="8:18" x14ac:dyDescent="0.2">
      <c r="H65">
        <v>39000</v>
      </c>
      <c r="I65">
        <v>1313.6780000000001</v>
      </c>
      <c r="J65">
        <v>-1317.1125999999999</v>
      </c>
      <c r="K65">
        <v>277.73887999999999</v>
      </c>
      <c r="L65">
        <v>823.87428</v>
      </c>
      <c r="M65">
        <v>948.83244999999999</v>
      </c>
      <c r="N65">
        <v>1023.1144</v>
      </c>
      <c r="O65">
        <v>-2841.8026</v>
      </c>
      <c r="P65">
        <v>261.61178000000001</v>
      </c>
      <c r="Q65">
        <v>-363.80223000000001</v>
      </c>
      <c r="R65">
        <v>5797.0779000000002</v>
      </c>
    </row>
    <row r="66" spans="8:18" x14ac:dyDescent="0.2">
      <c r="H66">
        <v>40000</v>
      </c>
      <c r="I66">
        <v>1167.2464</v>
      </c>
      <c r="J66">
        <v>-1316.1839</v>
      </c>
      <c r="K66">
        <v>-1782.5743</v>
      </c>
      <c r="L66">
        <v>91.868566999999999</v>
      </c>
      <c r="M66">
        <v>268.0668</v>
      </c>
      <c r="N66">
        <v>1585.0028</v>
      </c>
      <c r="O66">
        <v>-2470.0587999999998</v>
      </c>
      <c r="P66">
        <v>2181.4115000000002</v>
      </c>
      <c r="Q66">
        <v>-2304.4149000000002</v>
      </c>
      <c r="R66">
        <v>5797.0779000000002</v>
      </c>
    </row>
    <row r="67" spans="8:18" x14ac:dyDescent="0.2">
      <c r="H67">
        <v>41000</v>
      </c>
      <c r="I67">
        <v>1280.5492999999999</v>
      </c>
      <c r="J67">
        <v>-1316.3553999999999</v>
      </c>
      <c r="K67">
        <v>2151.1378</v>
      </c>
      <c r="L67">
        <v>-448.50459999999998</v>
      </c>
      <c r="M67">
        <v>2225.9794000000002</v>
      </c>
      <c r="N67">
        <v>1314.9531999999999</v>
      </c>
      <c r="O67">
        <v>-1161.4313999999999</v>
      </c>
      <c r="P67">
        <v>-2092.6918000000001</v>
      </c>
      <c r="Q67">
        <v>110.50762</v>
      </c>
      <c r="R67">
        <v>5797.0779000000002</v>
      </c>
    </row>
    <row r="68" spans="8:18" x14ac:dyDescent="0.2">
      <c r="H68">
        <v>42000</v>
      </c>
      <c r="I68">
        <v>1202.0986</v>
      </c>
      <c r="J68">
        <v>-1317.4521</v>
      </c>
      <c r="K68">
        <v>2421.1181999999999</v>
      </c>
      <c r="L68">
        <v>-299.67797999999999</v>
      </c>
      <c r="M68">
        <v>817.77793999999994</v>
      </c>
      <c r="N68">
        <v>137.99686</v>
      </c>
      <c r="O68">
        <v>-776.24701000000005</v>
      </c>
      <c r="P68">
        <v>2678.2498999999998</v>
      </c>
      <c r="Q68">
        <v>-3164.4132</v>
      </c>
      <c r="R68">
        <v>5797.0779000000002</v>
      </c>
    </row>
    <row r="69" spans="8:18" x14ac:dyDescent="0.2">
      <c r="H69">
        <v>43000</v>
      </c>
      <c r="I69">
        <v>1194.2502999999999</v>
      </c>
      <c r="J69">
        <v>-1313.9311</v>
      </c>
      <c r="K69">
        <v>7013.2933999999996</v>
      </c>
      <c r="L69">
        <v>2543.2150999999999</v>
      </c>
      <c r="M69">
        <v>5179.0955999999996</v>
      </c>
      <c r="N69">
        <v>5688.2705999999998</v>
      </c>
      <c r="O69">
        <v>2939.7359999999999</v>
      </c>
      <c r="P69">
        <v>-1384.5849000000001</v>
      </c>
      <c r="Q69">
        <v>454.19736999999998</v>
      </c>
      <c r="R69">
        <v>5797.0779000000002</v>
      </c>
    </row>
    <row r="70" spans="8:18" x14ac:dyDescent="0.2">
      <c r="H70">
        <v>44000</v>
      </c>
      <c r="I70">
        <v>1258.8955000000001</v>
      </c>
      <c r="J70">
        <v>-1317.0527999999999</v>
      </c>
      <c r="K70">
        <v>-3536.3445000000002</v>
      </c>
      <c r="L70">
        <v>946.11497999999995</v>
      </c>
      <c r="M70">
        <v>4458.8690999999999</v>
      </c>
      <c r="N70">
        <v>2240.1061</v>
      </c>
      <c r="O70">
        <v>-166.37866</v>
      </c>
      <c r="P70">
        <v>-996.43521999999996</v>
      </c>
      <c r="Q70">
        <v>3468.8634999999999</v>
      </c>
      <c r="R70">
        <v>5797.0779000000002</v>
      </c>
    </row>
    <row r="71" spans="8:18" x14ac:dyDescent="0.2">
      <c r="H71">
        <v>45000</v>
      </c>
      <c r="I71">
        <v>1209.8425</v>
      </c>
      <c r="J71">
        <v>-1312.4760000000001</v>
      </c>
      <c r="K71">
        <v>6302.4678000000004</v>
      </c>
      <c r="L71">
        <v>-107.73714</v>
      </c>
      <c r="M71">
        <v>4038.3254000000002</v>
      </c>
      <c r="N71">
        <v>-5.2211428</v>
      </c>
      <c r="O71">
        <v>-1389.0811000000001</v>
      </c>
      <c r="P71">
        <v>-4910.7773999999999</v>
      </c>
      <c r="Q71">
        <v>-1715.6159</v>
      </c>
      <c r="R71">
        <v>5797.0779000000002</v>
      </c>
    </row>
    <row r="72" spans="8:18" x14ac:dyDescent="0.2">
      <c r="H72">
        <v>46000</v>
      </c>
      <c r="I72">
        <v>1095.5135</v>
      </c>
      <c r="J72">
        <v>-1317.3584000000001</v>
      </c>
      <c r="K72">
        <v>-2581.4506000000001</v>
      </c>
      <c r="L72">
        <v>-1568.7933</v>
      </c>
      <c r="M72">
        <v>2035.6217999999999</v>
      </c>
      <c r="N72">
        <v>2220.1554000000001</v>
      </c>
      <c r="O72">
        <v>-2706.9569000000001</v>
      </c>
      <c r="P72">
        <v>-2046.7684999999999</v>
      </c>
      <c r="Q72">
        <v>-882.07966999999996</v>
      </c>
      <c r="R72">
        <v>5797.0779000000002</v>
      </c>
    </row>
    <row r="73" spans="8:18" x14ac:dyDescent="0.2">
      <c r="H73">
        <v>47000</v>
      </c>
      <c r="I73">
        <v>1190.4459999999999</v>
      </c>
      <c r="J73">
        <v>-1313.7881</v>
      </c>
      <c r="K73">
        <v>3476.0691000000002</v>
      </c>
      <c r="L73">
        <v>-1215.0913</v>
      </c>
      <c r="M73">
        <v>6948.6535000000003</v>
      </c>
      <c r="N73">
        <v>5874.9384</v>
      </c>
      <c r="O73">
        <v>-1828.8601000000001</v>
      </c>
      <c r="P73">
        <v>-1420.896</v>
      </c>
      <c r="Q73">
        <v>-2228.6732999999999</v>
      </c>
      <c r="R73">
        <v>5797.0779000000002</v>
      </c>
    </row>
    <row r="74" spans="8:18" x14ac:dyDescent="0.2">
      <c r="H74">
        <v>48000</v>
      </c>
      <c r="I74">
        <v>1117.3317999999999</v>
      </c>
      <c r="J74">
        <v>-1316.1016</v>
      </c>
      <c r="K74">
        <v>918.84086000000002</v>
      </c>
      <c r="L74">
        <v>1330.3715</v>
      </c>
      <c r="M74">
        <v>6868.3837000000003</v>
      </c>
      <c r="N74">
        <v>5675.4035999999996</v>
      </c>
      <c r="O74">
        <v>2121.5672</v>
      </c>
      <c r="P74">
        <v>2558.9252999999999</v>
      </c>
      <c r="Q74">
        <v>856.61012000000005</v>
      </c>
      <c r="R74">
        <v>5797.0779000000002</v>
      </c>
    </row>
    <row r="75" spans="8:18" x14ac:dyDescent="0.2">
      <c r="H75">
        <v>49000</v>
      </c>
      <c r="I75">
        <v>1257.374</v>
      </c>
      <c r="J75">
        <v>-1316.3983000000001</v>
      </c>
      <c r="K75">
        <v>22.820620999999999</v>
      </c>
      <c r="L75">
        <v>-53.343615</v>
      </c>
      <c r="M75">
        <v>3691.3507</v>
      </c>
      <c r="N75">
        <v>3076.7294999999999</v>
      </c>
      <c r="O75">
        <v>725.33831999999995</v>
      </c>
      <c r="P75">
        <v>4003.4785000000002</v>
      </c>
      <c r="Q75">
        <v>-1992.8280999999999</v>
      </c>
      <c r="R75">
        <v>5797.0779000000002</v>
      </c>
    </row>
    <row r="76" spans="8:18" x14ac:dyDescent="0.2">
      <c r="H76">
        <v>50000</v>
      </c>
      <c r="I76">
        <v>1124.9951000000001</v>
      </c>
      <c r="J76">
        <v>-1317.0503000000001</v>
      </c>
      <c r="K76">
        <v>-2637.8856000000001</v>
      </c>
      <c r="L76">
        <v>-68.329851000000005</v>
      </c>
      <c r="M76">
        <v>651.68053999999995</v>
      </c>
      <c r="N76">
        <v>1425.9817</v>
      </c>
      <c r="O76">
        <v>-3430.6052</v>
      </c>
      <c r="P76">
        <v>3001.0113000000001</v>
      </c>
      <c r="Q76">
        <v>-1679.5909999999999</v>
      </c>
      <c r="R76">
        <v>5797.0779000000002</v>
      </c>
    </row>
    <row r="77" spans="8:18" x14ac:dyDescent="0.2">
      <c r="K77">
        <f>AVERAGE(K26:K76)</f>
        <v>730.73346550980375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AF73"/>
  <sheetViews>
    <sheetView workbookViewId="0">
      <selection activeCell="M18" sqref="M18"/>
    </sheetView>
  </sheetViews>
  <sheetFormatPr baseColWidth="10" defaultRowHeight="16" x14ac:dyDescent="0.2"/>
  <sheetData>
    <row r="2" spans="2:32" x14ac:dyDescent="0.2">
      <c r="C2" t="s">
        <v>68</v>
      </c>
    </row>
    <row r="3" spans="2:32" x14ac:dyDescent="0.2">
      <c r="C3">
        <v>3.4834000000000001</v>
      </c>
      <c r="D3">
        <v>3.4834000000000001</v>
      </c>
      <c r="E3">
        <v>3.4834000000000001</v>
      </c>
      <c r="F3">
        <v>3.4834000000000001</v>
      </c>
    </row>
    <row r="4" spans="2:32" x14ac:dyDescent="0.2">
      <c r="B4" t="s">
        <v>25</v>
      </c>
      <c r="C4" s="1">
        <v>800</v>
      </c>
      <c r="D4" s="1">
        <v>800</v>
      </c>
      <c r="E4" s="1">
        <v>800</v>
      </c>
      <c r="F4" s="1">
        <v>800</v>
      </c>
      <c r="G4" s="7"/>
      <c r="H4" s="7"/>
      <c r="I4" s="1">
        <v>900</v>
      </c>
      <c r="J4" s="1">
        <v>900</v>
      </c>
      <c r="K4" s="1">
        <v>900</v>
      </c>
      <c r="L4" s="1">
        <v>900</v>
      </c>
      <c r="M4" s="7"/>
      <c r="N4" s="7"/>
      <c r="O4" s="1">
        <v>1000</v>
      </c>
      <c r="P4" s="1">
        <v>1000</v>
      </c>
      <c r="Q4" s="1">
        <v>1000</v>
      </c>
      <c r="R4" s="1">
        <v>1000</v>
      </c>
      <c r="S4" s="7"/>
      <c r="T4" s="7"/>
      <c r="U4" s="1">
        <v>1100</v>
      </c>
      <c r="V4" s="1">
        <v>1100</v>
      </c>
      <c r="W4" s="1">
        <v>1100</v>
      </c>
      <c r="X4" s="1">
        <v>1100</v>
      </c>
      <c r="Y4" s="7"/>
      <c r="Z4" s="7"/>
      <c r="AA4" s="1">
        <v>1200</v>
      </c>
      <c r="AB4" s="1">
        <v>1200</v>
      </c>
      <c r="AC4" s="1">
        <v>1200</v>
      </c>
      <c r="AD4" s="1">
        <v>1200</v>
      </c>
      <c r="AE4" s="7"/>
      <c r="AF4" s="7"/>
    </row>
    <row r="5" spans="2:32" x14ac:dyDescent="0.2">
      <c r="B5" t="s">
        <v>54</v>
      </c>
      <c r="C5" s="1">
        <v>105.051279204716</v>
      </c>
      <c r="D5" s="1">
        <v>96.0207008062158</v>
      </c>
      <c r="E5" s="1">
        <v>107.34507702903799</v>
      </c>
      <c r="F5" s="1">
        <v>90.200653081037501</v>
      </c>
      <c r="G5" s="7"/>
      <c r="H5" s="7"/>
      <c r="I5" s="1">
        <v>104.438687355453</v>
      </c>
      <c r="J5" s="1">
        <v>100.30281019155601</v>
      </c>
      <c r="K5" s="1">
        <v>96.6798343401517</v>
      </c>
      <c r="L5" s="1">
        <v>97.343522123500307</v>
      </c>
      <c r="M5" s="7"/>
      <c r="N5" s="7"/>
      <c r="O5" s="1">
        <v>66.458582257115907</v>
      </c>
      <c r="P5" s="1">
        <v>95.742431583688798</v>
      </c>
      <c r="Q5" s="1">
        <v>102.166112205256</v>
      </c>
      <c r="R5" s="1">
        <v>89.776804982729502</v>
      </c>
      <c r="S5" s="7"/>
      <c r="T5" s="7"/>
      <c r="U5" s="1">
        <v>84.898778463160696</v>
      </c>
      <c r="V5" s="1">
        <v>100.46180923417501</v>
      </c>
      <c r="W5" s="1">
        <v>113.056493609302</v>
      </c>
      <c r="X5" s="1">
        <v>94.319173148868302</v>
      </c>
      <c r="Y5" s="7"/>
      <c r="Z5" s="7"/>
      <c r="AA5" s="1">
        <v>92.535370155381003</v>
      </c>
      <c r="AB5" s="1">
        <v>85.161059347009299</v>
      </c>
      <c r="AC5" s="1">
        <v>66.360374958636001</v>
      </c>
      <c r="AD5" s="1">
        <v>85.250114050630302</v>
      </c>
      <c r="AE5" s="7"/>
      <c r="AF5" s="7"/>
    </row>
    <row r="6" spans="2:32" x14ac:dyDescent="0.2">
      <c r="B6" t="s">
        <v>55</v>
      </c>
      <c r="C6" s="1">
        <v>92.0604693367343</v>
      </c>
      <c r="D6" s="1">
        <v>98.852519573070097</v>
      </c>
      <c r="E6" s="1">
        <v>101.92670914131401</v>
      </c>
      <c r="F6" s="1">
        <v>101.338323902887</v>
      </c>
      <c r="G6" s="7"/>
      <c r="H6" s="7"/>
      <c r="I6" s="1">
        <v>92.746260827709605</v>
      </c>
      <c r="J6" s="1">
        <v>94.132185869032199</v>
      </c>
      <c r="K6" s="1">
        <v>92.706567915535899</v>
      </c>
      <c r="L6" s="1">
        <v>87.053452341241297</v>
      </c>
      <c r="M6" s="7"/>
      <c r="N6" s="7"/>
      <c r="O6" s="1">
        <v>107.243055181255</v>
      </c>
      <c r="P6" s="1">
        <v>93.889373593969907</v>
      </c>
      <c r="Q6" s="1">
        <v>90.844607182289906</v>
      </c>
      <c r="R6" s="1">
        <v>79.787845420785203</v>
      </c>
      <c r="S6" s="7"/>
      <c r="T6" s="7"/>
      <c r="U6" s="1">
        <v>82.782752607258701</v>
      </c>
      <c r="V6" s="1">
        <v>82.6559887185755</v>
      </c>
      <c r="W6" s="1">
        <v>102.297363169384</v>
      </c>
      <c r="X6" s="1">
        <v>86.267613193286707</v>
      </c>
      <c r="Y6" s="7"/>
      <c r="Z6" s="7"/>
      <c r="AA6" s="1">
        <v>78.373699656769006</v>
      </c>
      <c r="AB6" s="1">
        <v>71.203409618055204</v>
      </c>
      <c r="AC6" s="1">
        <v>93.204558628819001</v>
      </c>
      <c r="AD6" s="1">
        <v>61.477851850355101</v>
      </c>
      <c r="AE6" s="7"/>
      <c r="AF6" s="7"/>
    </row>
    <row r="7" spans="2:32" x14ac:dyDescent="0.2">
      <c r="B7" t="s">
        <v>56</v>
      </c>
      <c r="C7" s="1">
        <v>94.4782951524585</v>
      </c>
      <c r="D7" s="1">
        <v>92.622217303559907</v>
      </c>
      <c r="E7" s="1">
        <v>88.071203355363096</v>
      </c>
      <c r="F7" s="1">
        <v>102.4487891422</v>
      </c>
      <c r="G7" s="7"/>
      <c r="H7" s="7"/>
      <c r="I7" s="1">
        <v>99.381070573822896</v>
      </c>
      <c r="J7" s="1">
        <v>88.305452074518499</v>
      </c>
      <c r="K7" s="1">
        <v>81.956799009468995</v>
      </c>
      <c r="L7" s="1">
        <v>90.615594752388702</v>
      </c>
      <c r="M7" s="7"/>
      <c r="N7" s="7"/>
      <c r="O7" s="1">
        <v>92.139615976136795</v>
      </c>
      <c r="P7" s="1">
        <v>74.970320925807798</v>
      </c>
      <c r="Q7" s="1">
        <v>93.241871443585595</v>
      </c>
      <c r="R7" s="1">
        <v>78.667262907557202</v>
      </c>
      <c r="S7" s="7"/>
      <c r="T7" s="7"/>
      <c r="U7" s="1">
        <v>89.792422456566598</v>
      </c>
      <c r="V7" s="1">
        <v>76.964198356571799</v>
      </c>
      <c r="W7" s="1">
        <v>86.382105087622705</v>
      </c>
      <c r="X7" s="1">
        <v>98.372854556253102</v>
      </c>
      <c r="Y7" s="7"/>
      <c r="Z7" s="7"/>
      <c r="AA7" s="1">
        <v>77.525199538980502</v>
      </c>
      <c r="AB7" s="1">
        <v>77.021405474765999</v>
      </c>
      <c r="AC7" s="1">
        <v>65.973896982795793</v>
      </c>
      <c r="AD7" s="1">
        <v>79.072964931292802</v>
      </c>
      <c r="AE7" s="7"/>
      <c r="AF7" s="7"/>
    </row>
    <row r="8" spans="2:32" x14ac:dyDescent="0.2">
      <c r="B8" t="s">
        <v>57</v>
      </c>
      <c r="C8" s="1">
        <v>83.735171931526097</v>
      </c>
      <c r="D8" s="1">
        <v>92.582083305351503</v>
      </c>
      <c r="E8" s="1">
        <v>99.018928168444404</v>
      </c>
      <c r="F8" s="1">
        <v>88.387425606544497</v>
      </c>
      <c r="G8" s="7"/>
      <c r="H8" s="7"/>
      <c r="I8" s="1">
        <v>88.819402057081007</v>
      </c>
      <c r="J8" s="1">
        <v>90.221229381190099</v>
      </c>
      <c r="K8" s="1">
        <v>86.126793123124202</v>
      </c>
      <c r="L8" s="1">
        <v>88.773541947109607</v>
      </c>
      <c r="M8" s="7"/>
      <c r="N8" s="7"/>
      <c r="O8" s="1">
        <v>73.280190155585402</v>
      </c>
      <c r="P8" s="1">
        <v>85.434419251130095</v>
      </c>
      <c r="Q8" s="1">
        <v>93.142365070789793</v>
      </c>
      <c r="R8" s="1">
        <v>82.630859016915693</v>
      </c>
      <c r="S8" s="7"/>
      <c r="T8" s="7"/>
      <c r="U8" s="1">
        <v>76.951699170412994</v>
      </c>
      <c r="V8" s="1">
        <v>84.221383332690493</v>
      </c>
      <c r="W8" s="1">
        <v>92.078385928840703</v>
      </c>
      <c r="X8" s="1">
        <v>78.305578945365298</v>
      </c>
      <c r="Y8" s="7"/>
      <c r="Z8" s="7"/>
      <c r="AA8" s="1">
        <v>81.892364002705094</v>
      </c>
      <c r="AB8" s="1">
        <v>75.679204647420093</v>
      </c>
      <c r="AC8" s="1">
        <v>68.379233685698395</v>
      </c>
      <c r="AD8" s="1">
        <v>73.029585900036807</v>
      </c>
      <c r="AE8" s="7"/>
      <c r="AF8" s="7"/>
    </row>
    <row r="9" spans="2:32" x14ac:dyDescent="0.2">
      <c r="B9" t="s">
        <v>58</v>
      </c>
      <c r="C9" s="1">
        <v>90.132460566153995</v>
      </c>
      <c r="D9" s="1">
        <v>92.246778863575301</v>
      </c>
      <c r="E9" s="1">
        <v>89.664608844692296</v>
      </c>
      <c r="F9" s="1">
        <v>89.961890601223899</v>
      </c>
      <c r="G9" s="7"/>
      <c r="H9" s="7"/>
      <c r="I9" s="1">
        <v>95.5321496540966</v>
      </c>
      <c r="J9" s="1">
        <v>84.154090062971306</v>
      </c>
      <c r="K9" s="1">
        <v>76.174437488912105</v>
      </c>
      <c r="L9" s="1">
        <v>90.082121367238202</v>
      </c>
      <c r="M9" s="7"/>
      <c r="N9" s="7"/>
      <c r="O9" s="1">
        <v>73.426796255216004</v>
      </c>
      <c r="P9" s="1">
        <v>75.270628346966603</v>
      </c>
      <c r="Q9" s="1">
        <v>78.395326731096901</v>
      </c>
      <c r="R9" s="1">
        <v>78.448219555427002</v>
      </c>
      <c r="S9" s="7"/>
      <c r="T9" s="7"/>
      <c r="U9" s="1">
        <v>91.411229833993204</v>
      </c>
      <c r="V9" s="1">
        <v>74.873198182882106</v>
      </c>
      <c r="W9" s="1">
        <v>94.704554074899406</v>
      </c>
      <c r="X9" s="1">
        <v>84.062484417824507</v>
      </c>
      <c r="Y9" s="7"/>
      <c r="Z9" s="7"/>
      <c r="AA9" s="1">
        <v>79.608275830508006</v>
      </c>
      <c r="AB9" s="1">
        <v>70.353704507170804</v>
      </c>
      <c r="AC9" s="1">
        <v>59.785749246222899</v>
      </c>
      <c r="AD9" s="1">
        <v>78.170449091724294</v>
      </c>
      <c r="AE9" s="7"/>
      <c r="AF9" s="7"/>
    </row>
    <row r="10" spans="2:32" x14ac:dyDescent="0.2">
      <c r="B10" t="s">
        <v>59</v>
      </c>
      <c r="C10" s="1">
        <v>86.636741046319599</v>
      </c>
      <c r="D10" s="1">
        <v>90.677044427850305</v>
      </c>
      <c r="E10" s="1">
        <v>86.379330517468802</v>
      </c>
      <c r="F10" s="1">
        <v>84.0016527583076</v>
      </c>
      <c r="G10" s="7"/>
      <c r="H10" s="7"/>
      <c r="I10" s="1">
        <v>90.040709794260906</v>
      </c>
      <c r="J10" s="1">
        <v>94.396668698849794</v>
      </c>
      <c r="K10" s="1">
        <v>75.163444124423606</v>
      </c>
      <c r="L10" s="1">
        <v>87.864161838682804</v>
      </c>
      <c r="M10" s="7"/>
      <c r="N10" s="7"/>
      <c r="O10" s="1">
        <v>77.064120904954805</v>
      </c>
      <c r="P10" s="1">
        <v>79.084335977456604</v>
      </c>
      <c r="Q10" s="1">
        <v>84.043637697418802</v>
      </c>
      <c r="R10" s="1">
        <v>80.7205195299981</v>
      </c>
      <c r="S10" s="7"/>
      <c r="T10" s="7"/>
      <c r="U10" s="1">
        <v>69.417252005212504</v>
      </c>
      <c r="V10" s="1">
        <v>70.873876496124296</v>
      </c>
      <c r="W10" s="1">
        <v>86.600416918877997</v>
      </c>
      <c r="X10" s="1">
        <v>84.548626259076499</v>
      </c>
      <c r="Y10" s="7"/>
      <c r="Z10" s="7"/>
      <c r="AA10" s="1">
        <v>72.783176673062897</v>
      </c>
      <c r="AB10" s="1">
        <v>82.620843037560704</v>
      </c>
      <c r="AC10" s="1">
        <v>73.930914476785205</v>
      </c>
      <c r="AD10" s="1">
        <v>72.794323242824106</v>
      </c>
      <c r="AE10" s="7"/>
      <c r="AF10" s="7"/>
    </row>
    <row r="11" spans="2:32" x14ac:dyDescent="0.2">
      <c r="B11" t="s">
        <v>60</v>
      </c>
      <c r="C11" s="1">
        <v>27.6408361287004</v>
      </c>
      <c r="D11" s="1">
        <v>34.332658379400897</v>
      </c>
      <c r="E11" s="1">
        <v>23.250079058823601</v>
      </c>
      <c r="F11" s="1">
        <v>32.626378122919903</v>
      </c>
      <c r="G11" s="7"/>
      <c r="H11" s="7"/>
      <c r="I11" s="1">
        <v>33.518450213979499</v>
      </c>
      <c r="J11" s="1">
        <v>39.771234456883299</v>
      </c>
      <c r="K11" s="1">
        <v>18.6824644349349</v>
      </c>
      <c r="L11" s="1">
        <v>28.392051060564999</v>
      </c>
      <c r="M11" s="7"/>
      <c r="N11" s="7"/>
      <c r="O11" s="1">
        <v>26.440889474488799</v>
      </c>
      <c r="P11" s="1">
        <v>35.696428639185299</v>
      </c>
      <c r="Q11" s="1">
        <v>33.948036015050803</v>
      </c>
      <c r="R11" s="1">
        <v>31.890598854955201</v>
      </c>
      <c r="S11" s="7"/>
      <c r="T11" s="7"/>
      <c r="U11" s="1">
        <v>35.340466457563302</v>
      </c>
      <c r="V11" s="1">
        <v>27.151674382371901</v>
      </c>
      <c r="W11" s="1">
        <v>11.698785768975499</v>
      </c>
      <c r="X11" s="1">
        <v>25.900757142646601</v>
      </c>
      <c r="Y11" s="7"/>
      <c r="Z11" s="7"/>
      <c r="AA11" s="1">
        <v>22.200543572963401</v>
      </c>
      <c r="AB11" s="1">
        <v>31.687935034470701</v>
      </c>
      <c r="AC11" s="1">
        <v>7.7450678537795703</v>
      </c>
      <c r="AD11" s="1">
        <v>15.5653507104567</v>
      </c>
      <c r="AE11" s="7"/>
      <c r="AF11" s="7"/>
    </row>
    <row r="12" spans="2:32" x14ac:dyDescent="0.2">
      <c r="B12" t="s">
        <v>61</v>
      </c>
      <c r="C12" s="1">
        <v>29.6668903239662</v>
      </c>
      <c r="D12" s="1">
        <v>34.338739822732698</v>
      </c>
      <c r="E12" s="1">
        <v>29.977427525865199</v>
      </c>
      <c r="F12" s="1">
        <v>26.706109479409101</v>
      </c>
      <c r="G12" s="7"/>
      <c r="H12" s="7"/>
      <c r="I12" s="1">
        <v>25.449599697183402</v>
      </c>
      <c r="J12" s="1">
        <v>26.9686240297365</v>
      </c>
      <c r="K12" s="1">
        <v>26.4272249375746</v>
      </c>
      <c r="L12" s="1">
        <v>25.002854593181102</v>
      </c>
      <c r="M12" s="7"/>
      <c r="N12" s="7"/>
      <c r="O12" s="1">
        <v>27.440071742285799</v>
      </c>
      <c r="P12" s="1">
        <v>27.7840870318682</v>
      </c>
      <c r="Q12" s="1">
        <v>21.453574109344</v>
      </c>
      <c r="R12" s="1">
        <v>32.329933926339898</v>
      </c>
      <c r="S12" s="7"/>
      <c r="T12" s="7"/>
      <c r="U12" s="1">
        <v>34.632621425048299</v>
      </c>
      <c r="V12" s="1">
        <v>29.3985690041652</v>
      </c>
      <c r="W12" s="1">
        <v>39.125396097739397</v>
      </c>
      <c r="X12" s="1">
        <v>28.851955875684901</v>
      </c>
      <c r="Y12" s="7"/>
      <c r="Z12" s="7"/>
      <c r="AA12" s="1">
        <v>25.780778214034999</v>
      </c>
      <c r="AB12" s="1">
        <v>22.5880475610291</v>
      </c>
      <c r="AC12" s="1">
        <v>11.802815616101901</v>
      </c>
      <c r="AD12" s="1">
        <v>22.753649532677901</v>
      </c>
      <c r="AE12" s="7"/>
      <c r="AF12" s="7"/>
    </row>
    <row r="13" spans="2:32" x14ac:dyDescent="0.2">
      <c r="B13" t="s">
        <v>62</v>
      </c>
      <c r="C13" s="1">
        <v>27.5529549689516</v>
      </c>
      <c r="D13" s="1">
        <v>26.0480620916492</v>
      </c>
      <c r="E13" s="1">
        <v>29.7257707627498</v>
      </c>
      <c r="F13" s="1">
        <v>22.703275023764402</v>
      </c>
      <c r="G13" s="7"/>
      <c r="H13" s="7"/>
      <c r="I13" s="1">
        <v>20.045636808799902</v>
      </c>
      <c r="J13" s="1">
        <v>29.189618919845099</v>
      </c>
      <c r="K13" s="1">
        <v>26.900498187586201</v>
      </c>
      <c r="L13" s="1">
        <v>29.411245503181199</v>
      </c>
      <c r="M13" s="7"/>
      <c r="N13" s="7"/>
      <c r="O13" s="1">
        <v>34.881059432470899</v>
      </c>
      <c r="P13" s="1">
        <v>33.2747896461984</v>
      </c>
      <c r="Q13" s="1">
        <v>23.074180759549701</v>
      </c>
      <c r="R13" s="1">
        <v>21.722008114361699</v>
      </c>
      <c r="S13" s="7"/>
      <c r="T13" s="7"/>
      <c r="U13" s="1">
        <v>18.819992419104601</v>
      </c>
      <c r="V13" s="1">
        <v>42.287023077085102</v>
      </c>
      <c r="W13" s="1">
        <v>28.032611459302299</v>
      </c>
      <c r="X13" s="1">
        <v>25.948602515824899</v>
      </c>
      <c r="Y13" s="7"/>
      <c r="Z13" s="7"/>
      <c r="AA13" s="1">
        <v>33.718803468812702</v>
      </c>
      <c r="AB13" s="1">
        <v>14.637048153823301</v>
      </c>
      <c r="AC13" s="1">
        <v>3.5505699939836002</v>
      </c>
      <c r="AD13" s="1">
        <v>11.2430740837932</v>
      </c>
      <c r="AE13" s="7"/>
      <c r="AF13" s="7"/>
    </row>
    <row r="14" spans="2:32" x14ac:dyDescent="0.2">
      <c r="B14" t="s">
        <v>65</v>
      </c>
      <c r="C14" s="1">
        <v>-689.03590798039227</v>
      </c>
      <c r="D14" s="1"/>
      <c r="E14" s="1"/>
      <c r="F14" s="1"/>
      <c r="G14" s="7"/>
      <c r="H14" s="7"/>
      <c r="I14" s="1">
        <v>-735.37679847058814</v>
      </c>
      <c r="J14" s="1"/>
      <c r="K14" s="1"/>
      <c r="L14" s="1"/>
      <c r="M14" s="7"/>
      <c r="N14" s="7"/>
      <c r="O14" s="1">
        <v>-299.28243156862771</v>
      </c>
      <c r="P14" s="1"/>
      <c r="Q14" s="1"/>
      <c r="R14" s="1"/>
      <c r="S14" s="7"/>
      <c r="T14" s="7"/>
      <c r="U14" s="1">
        <v>-480.86017607843144</v>
      </c>
      <c r="V14" s="1"/>
      <c r="W14" s="1"/>
      <c r="X14" s="1"/>
      <c r="Y14" s="7"/>
      <c r="Z14" s="7"/>
      <c r="AA14" s="1">
        <v>-998.27537013725498</v>
      </c>
      <c r="AB14" s="1"/>
      <c r="AC14" s="1"/>
      <c r="AD14" s="1"/>
      <c r="AE14" s="7"/>
      <c r="AF14" s="7"/>
    </row>
    <row r="15" spans="2:32" x14ac:dyDescent="0.2">
      <c r="C15" s="1"/>
      <c r="D15" s="1"/>
      <c r="E15" s="1"/>
      <c r="F15" s="1"/>
      <c r="G15" s="7" t="s">
        <v>24</v>
      </c>
      <c r="H15" s="7" t="s">
        <v>48</v>
      </c>
      <c r="I15" s="1"/>
      <c r="J15" s="1"/>
      <c r="K15" s="1"/>
      <c r="L15" s="1"/>
      <c r="M15" s="7" t="s">
        <v>24</v>
      </c>
      <c r="N15" s="7" t="s">
        <v>48</v>
      </c>
      <c r="O15" s="1"/>
      <c r="P15" s="1"/>
      <c r="Q15" s="1"/>
      <c r="R15" s="1"/>
      <c r="S15" s="7" t="s">
        <v>24</v>
      </c>
      <c r="T15" s="7" t="s">
        <v>48</v>
      </c>
      <c r="U15" s="1"/>
      <c r="V15" s="1"/>
      <c r="W15" s="1"/>
      <c r="X15" s="1"/>
      <c r="Y15" s="7" t="s">
        <v>24</v>
      </c>
      <c r="Z15" s="7" t="s">
        <v>48</v>
      </c>
      <c r="AA15" s="1"/>
      <c r="AB15" s="1"/>
      <c r="AC15" s="1"/>
      <c r="AD15" s="1"/>
      <c r="AE15" s="7" t="s">
        <v>24</v>
      </c>
      <c r="AF15" s="7" t="s">
        <v>48</v>
      </c>
    </row>
    <row r="16" spans="2:32" x14ac:dyDescent="0.2">
      <c r="B16" t="s">
        <v>54</v>
      </c>
      <c r="C16" s="1">
        <f>AVERAGE(C5:C7)</f>
        <v>97.196681231302932</v>
      </c>
      <c r="D16" s="1">
        <f t="shared" ref="D16:F16" si="0">AVERAGE(D5:D7)</f>
        <v>95.831812560948606</v>
      </c>
      <c r="E16" s="1">
        <f t="shared" si="0"/>
        <v>99.114329841905032</v>
      </c>
      <c r="F16" s="1">
        <f t="shared" si="0"/>
        <v>97.995922042041499</v>
      </c>
      <c r="G16" s="7">
        <f>AVERAGE(C16:F16)</f>
        <v>97.534686419049521</v>
      </c>
      <c r="H16" s="7">
        <f>STDEV(C16:F16)/SQRT(COUNT(C16:F16))</f>
        <v>0.69053352120145584</v>
      </c>
      <c r="I16" s="1">
        <f t="shared" ref="I16:L16" si="1">AVERAGE(I5:I7)</f>
        <v>98.855339585661838</v>
      </c>
      <c r="J16" s="1">
        <f t="shared" si="1"/>
        <v>94.246816045035573</v>
      </c>
      <c r="K16" s="1">
        <f t="shared" si="1"/>
        <v>90.447733755052198</v>
      </c>
      <c r="L16" s="1">
        <f t="shared" si="1"/>
        <v>91.670856405710097</v>
      </c>
      <c r="M16" s="7">
        <f>AVERAGE(I16:L16)</f>
        <v>93.805186447864926</v>
      </c>
      <c r="N16" s="7">
        <f>STDEV(I16:L16)/SQRT(COUNT(I16:L16))</f>
        <v>1.8602629009904572</v>
      </c>
      <c r="O16" s="1">
        <f t="shared" ref="O16:R16" si="2">AVERAGE(O5:O7)</f>
        <v>88.613751138169235</v>
      </c>
      <c r="P16" s="1">
        <f t="shared" si="2"/>
        <v>88.200708701155506</v>
      </c>
      <c r="Q16" s="1">
        <f t="shared" si="2"/>
        <v>95.417530277043838</v>
      </c>
      <c r="R16" s="1">
        <f t="shared" si="2"/>
        <v>82.743971103690626</v>
      </c>
      <c r="S16" s="7">
        <f>AVERAGE(O16:R16)</f>
        <v>88.743990305014805</v>
      </c>
      <c r="T16" s="7">
        <f>STDEV(O16:R16)/SQRT(COUNT(O16:R16))</f>
        <v>2.5956451239881364</v>
      </c>
      <c r="U16" s="1">
        <f t="shared" ref="U16:X16" si="3">AVERAGE(U5:U7)</f>
        <v>85.824651175661998</v>
      </c>
      <c r="V16" s="1">
        <f t="shared" si="3"/>
        <v>86.693998769774097</v>
      </c>
      <c r="W16" s="1">
        <f t="shared" si="3"/>
        <v>100.57865395543622</v>
      </c>
      <c r="X16" s="1">
        <f t="shared" si="3"/>
        <v>92.986546966136032</v>
      </c>
      <c r="Y16" s="7">
        <f>AVERAGE(U16:X16)</f>
        <v>91.520962716752081</v>
      </c>
      <c r="Z16" s="7">
        <f>STDEV(U16:X16)/SQRT(COUNT(U16:X16))</f>
        <v>3.4148847453215647</v>
      </c>
      <c r="AA16" s="1">
        <f t="shared" ref="AA16:AD16" si="4">AVERAGE(AA5:AA7)</f>
        <v>82.811423117043503</v>
      </c>
      <c r="AB16" s="1">
        <f t="shared" si="4"/>
        <v>77.795291479943501</v>
      </c>
      <c r="AC16" s="1">
        <f t="shared" si="4"/>
        <v>75.179610190083608</v>
      </c>
      <c r="AD16" s="1">
        <f t="shared" si="4"/>
        <v>75.266976944092733</v>
      </c>
      <c r="AE16" s="7">
        <f>AVERAGE(AA16:AD16)</f>
        <v>77.763325432790836</v>
      </c>
      <c r="AF16" s="7">
        <f>STDEV(AA16:AD16)/SQRT(COUNT(AA16:AD16))</f>
        <v>1.7886599334499624</v>
      </c>
    </row>
    <row r="17" spans="2:32" x14ac:dyDescent="0.2">
      <c r="B17" t="s">
        <v>57</v>
      </c>
      <c r="C17" s="1">
        <f t="shared" ref="C17:F17" si="5">AVERAGE(C8:C10)</f>
        <v>86.83479118133323</v>
      </c>
      <c r="D17" s="1">
        <f t="shared" si="5"/>
        <v>91.835302198925703</v>
      </c>
      <c r="E17" s="1">
        <f t="shared" si="5"/>
        <v>91.687622510201834</v>
      </c>
      <c r="F17" s="1">
        <f t="shared" si="5"/>
        <v>87.450322988691994</v>
      </c>
      <c r="G17" s="7">
        <f t="shared" ref="G17:G19" si="6">AVERAGE(C17:F17)</f>
        <v>89.452009719788194</v>
      </c>
      <c r="H17" s="7">
        <f t="shared" ref="H17:H19" si="7">STDEV(C17:F17)/SQRT(COUNT(C17:F17))</f>
        <v>1.3396090921500634</v>
      </c>
      <c r="I17" s="1">
        <f t="shared" ref="I17:L17" si="8">AVERAGE(I8:I10)</f>
        <v>91.464087168479509</v>
      </c>
      <c r="J17" s="1">
        <f t="shared" si="8"/>
        <v>89.590662714337057</v>
      </c>
      <c r="K17" s="1">
        <f t="shared" si="8"/>
        <v>79.154891578819971</v>
      </c>
      <c r="L17" s="1">
        <f t="shared" si="8"/>
        <v>88.906608384343528</v>
      </c>
      <c r="M17" s="7">
        <f t="shared" ref="M17:M19" si="9">AVERAGE(I17:L17)</f>
        <v>87.279062461495016</v>
      </c>
      <c r="N17" s="7">
        <f t="shared" ref="N17:N19" si="10">STDEV(I17:L17)/SQRT(COUNT(I17:L17))</f>
        <v>2.761475840151661</v>
      </c>
      <c r="O17" s="1">
        <f t="shared" ref="O17:R17" si="11">AVERAGE(O8:O10)</f>
        <v>74.590369105252066</v>
      </c>
      <c r="P17" s="1">
        <f t="shared" si="11"/>
        <v>79.929794525184434</v>
      </c>
      <c r="Q17" s="1">
        <f t="shared" si="11"/>
        <v>85.193776499768504</v>
      </c>
      <c r="R17" s="1">
        <f t="shared" si="11"/>
        <v>80.599866034113589</v>
      </c>
      <c r="S17" s="7">
        <f t="shared" ref="S17:S19" si="12">AVERAGE(O17:R17)</f>
        <v>80.078451541079644</v>
      </c>
      <c r="T17" s="7">
        <f t="shared" ref="T17:T19" si="13">STDEV(O17:R17)/SQRT(COUNT(O17:R17))</f>
        <v>2.1713968284137799</v>
      </c>
      <c r="U17" s="1">
        <f t="shared" ref="U17:X17" si="14">AVERAGE(U8:U10)</f>
        <v>79.260060336539567</v>
      </c>
      <c r="V17" s="1">
        <f t="shared" si="14"/>
        <v>76.656152670565632</v>
      </c>
      <c r="W17" s="1">
        <f t="shared" si="14"/>
        <v>91.127785640872716</v>
      </c>
      <c r="X17" s="1">
        <f t="shared" si="14"/>
        <v>82.305563207422097</v>
      </c>
      <c r="Y17" s="7">
        <f t="shared" ref="Y17:Y19" si="15">AVERAGE(U17:X17)</f>
        <v>82.337390463849999</v>
      </c>
      <c r="Z17" s="7">
        <f t="shared" ref="Z17:Z19" si="16">STDEV(U17:X17)/SQRT(COUNT(U17:X17))</f>
        <v>3.1493184966323935</v>
      </c>
      <c r="AA17" s="1">
        <f t="shared" ref="AA17:AD17" si="17">AVERAGE(AA8:AA10)</f>
        <v>78.094605502091994</v>
      </c>
      <c r="AB17" s="1">
        <f t="shared" si="17"/>
        <v>76.217917397383872</v>
      </c>
      <c r="AC17" s="1">
        <f t="shared" si="17"/>
        <v>67.365299136235492</v>
      </c>
      <c r="AD17" s="1">
        <f t="shared" si="17"/>
        <v>74.664786078195064</v>
      </c>
      <c r="AE17" s="7">
        <f t="shared" ref="AE17:AE19" si="18">AVERAGE(AA17:AD17)</f>
        <v>74.085652028476602</v>
      </c>
      <c r="AF17" s="7">
        <f t="shared" ref="AF17:AF19" si="19">STDEV(AA17:AD17)/SQRT(COUNT(AA17:AD17))</f>
        <v>2.3472821659820911</v>
      </c>
    </row>
    <row r="18" spans="2:32" x14ac:dyDescent="0.2">
      <c r="B18" t="s">
        <v>60</v>
      </c>
      <c r="C18" s="1">
        <f t="shared" ref="C18:F18" si="20">AVERAGE(C11:C13)</f>
        <v>28.286893807206066</v>
      </c>
      <c r="D18" s="1">
        <f t="shared" si="20"/>
        <v>31.573153431260931</v>
      </c>
      <c r="E18" s="1">
        <f t="shared" si="20"/>
        <v>27.651092449146201</v>
      </c>
      <c r="F18" s="1">
        <f t="shared" si="20"/>
        <v>27.345254208697799</v>
      </c>
      <c r="G18" s="7">
        <f t="shared" si="6"/>
        <v>28.714098474077748</v>
      </c>
      <c r="H18" s="7">
        <f t="shared" si="7"/>
        <v>0.9729857616076667</v>
      </c>
      <c r="I18" s="1">
        <f t="shared" ref="I18:L18" si="21">AVERAGE(I11:I13)</f>
        <v>26.337895573320935</v>
      </c>
      <c r="J18" s="1">
        <f t="shared" si="21"/>
        <v>31.976492468821633</v>
      </c>
      <c r="K18" s="1">
        <f t="shared" si="21"/>
        <v>24.003395853365234</v>
      </c>
      <c r="L18" s="1">
        <f t="shared" si="21"/>
        <v>27.602050385642432</v>
      </c>
      <c r="M18" s="7">
        <f t="shared" si="9"/>
        <v>27.479958570287558</v>
      </c>
      <c r="N18" s="7">
        <f t="shared" si="10"/>
        <v>1.6739304975062348</v>
      </c>
      <c r="O18" s="1">
        <f t="shared" ref="O18:R18" si="22">AVERAGE(O11:O13)</f>
        <v>29.587340216415168</v>
      </c>
      <c r="P18" s="1">
        <f t="shared" si="22"/>
        <v>32.251768439083968</v>
      </c>
      <c r="Q18" s="1">
        <f t="shared" si="22"/>
        <v>26.158596961314839</v>
      </c>
      <c r="R18" s="1">
        <f t="shared" si="22"/>
        <v>28.647513631885602</v>
      </c>
      <c r="S18" s="7">
        <f t="shared" si="12"/>
        <v>29.161304812174894</v>
      </c>
      <c r="T18" s="7">
        <f t="shared" si="13"/>
        <v>1.2587264532545661</v>
      </c>
      <c r="U18" s="1">
        <f t="shared" ref="U18:X18" si="23">AVERAGE(U11:U13)</f>
        <v>29.597693433905402</v>
      </c>
      <c r="V18" s="1">
        <f t="shared" si="23"/>
        <v>32.945755487874067</v>
      </c>
      <c r="W18" s="1">
        <f t="shared" si="23"/>
        <v>26.285597775339067</v>
      </c>
      <c r="X18" s="1">
        <f t="shared" si="23"/>
        <v>26.90043851138547</v>
      </c>
      <c r="Y18" s="7">
        <f t="shared" si="15"/>
        <v>28.932371302126004</v>
      </c>
      <c r="Z18" s="7">
        <f t="shared" si="16"/>
        <v>1.5188830087061482</v>
      </c>
      <c r="AA18" s="1">
        <f t="shared" ref="AA18:AD18" si="24">AVERAGE(AA11:AA13)</f>
        <v>27.233375085270367</v>
      </c>
      <c r="AB18" s="1">
        <f t="shared" si="24"/>
        <v>22.971010249774366</v>
      </c>
      <c r="AC18" s="1">
        <f t="shared" si="24"/>
        <v>7.699484487955023</v>
      </c>
      <c r="AD18" s="1">
        <f t="shared" si="24"/>
        <v>16.520691442309268</v>
      </c>
      <c r="AE18" s="7">
        <f t="shared" si="18"/>
        <v>18.606140316327256</v>
      </c>
      <c r="AF18" s="7">
        <f t="shared" si="19"/>
        <v>4.2503481000489867</v>
      </c>
    </row>
    <row r="19" spans="2:32" x14ac:dyDescent="0.2">
      <c r="B19" t="s">
        <v>66</v>
      </c>
      <c r="C19" s="1">
        <f t="shared" ref="C19:F19" si="25">(C16+2*C17)/3</f>
        <v>90.288754531323136</v>
      </c>
      <c r="D19" s="1">
        <f t="shared" si="25"/>
        <v>93.167472319600009</v>
      </c>
      <c r="E19" s="1">
        <f t="shared" si="25"/>
        <v>94.163191620769567</v>
      </c>
      <c r="F19" s="1">
        <f t="shared" si="25"/>
        <v>90.965522673141834</v>
      </c>
      <c r="G19" s="7">
        <f t="shared" si="6"/>
        <v>92.146235286208636</v>
      </c>
      <c r="H19" s="7">
        <f t="shared" si="7"/>
        <v>0.91083089188391253</v>
      </c>
      <c r="I19" s="1">
        <f t="shared" ref="I19:L19" si="26">(I16+2*I17)/3</f>
        <v>93.927837974206952</v>
      </c>
      <c r="J19" s="1">
        <f t="shared" si="26"/>
        <v>91.142713824569896</v>
      </c>
      <c r="K19" s="1">
        <f t="shared" si="26"/>
        <v>82.919172304230713</v>
      </c>
      <c r="L19" s="1">
        <f t="shared" si="26"/>
        <v>89.828024391465718</v>
      </c>
      <c r="M19" s="7">
        <f t="shared" si="9"/>
        <v>89.45443712361832</v>
      </c>
      <c r="N19" s="7">
        <f t="shared" si="10"/>
        <v>2.3400649402535474</v>
      </c>
      <c r="O19" s="1">
        <f t="shared" ref="O19:R19" si="27">(O16+2*O17)/3</f>
        <v>79.264829782891127</v>
      </c>
      <c r="P19" s="1">
        <f t="shared" si="27"/>
        <v>82.686765917174796</v>
      </c>
      <c r="Q19" s="1">
        <f t="shared" si="27"/>
        <v>88.601694425526944</v>
      </c>
      <c r="R19" s="1">
        <f t="shared" si="27"/>
        <v>81.314567723972601</v>
      </c>
      <c r="S19" s="7">
        <f t="shared" si="12"/>
        <v>82.96696446239136</v>
      </c>
      <c r="T19" s="7">
        <f t="shared" si="13"/>
        <v>2.0055113468575927</v>
      </c>
      <c r="U19" s="1">
        <f t="shared" ref="U19:X19" si="28">(U16+2*U17)/3</f>
        <v>81.448257282913701</v>
      </c>
      <c r="V19" s="1">
        <f t="shared" si="28"/>
        <v>80.002101370301787</v>
      </c>
      <c r="W19" s="1">
        <f t="shared" si="28"/>
        <v>94.278075079060557</v>
      </c>
      <c r="X19" s="1">
        <f t="shared" si="28"/>
        <v>85.865891126993404</v>
      </c>
      <c r="Y19" s="7">
        <f t="shared" si="15"/>
        <v>85.398581214817369</v>
      </c>
      <c r="Z19" s="7">
        <f t="shared" si="16"/>
        <v>3.2118380474735462</v>
      </c>
      <c r="AA19" s="1">
        <f t="shared" ref="AA19:AD19" si="29">(AA16+2*AA17)/3</f>
        <v>79.666878040409173</v>
      </c>
      <c r="AB19" s="1">
        <f t="shared" si="29"/>
        <v>76.743708758237076</v>
      </c>
      <c r="AC19" s="1">
        <f t="shared" si="29"/>
        <v>69.970069487518188</v>
      </c>
      <c r="AD19" s="1">
        <f t="shared" si="29"/>
        <v>74.86551636682762</v>
      </c>
      <c r="AE19" s="7">
        <f t="shared" si="18"/>
        <v>75.311543163248018</v>
      </c>
      <c r="AF19" s="7">
        <f t="shared" si="19"/>
        <v>2.0361385249888762</v>
      </c>
    </row>
    <row r="22" spans="2:32" x14ac:dyDescent="0.2">
      <c r="C22">
        <v>0</v>
      </c>
      <c r="D22">
        <v>1214.7707</v>
      </c>
      <c r="E22">
        <v>-1278.7134000000001</v>
      </c>
      <c r="F22">
        <v>2043.6165000000001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5394.3634000000002</v>
      </c>
    </row>
    <row r="23" spans="2:32" x14ac:dyDescent="0.2">
      <c r="C23">
        <v>1000</v>
      </c>
      <c r="D23">
        <v>1263.8708999999999</v>
      </c>
      <c r="E23">
        <v>-1282.251</v>
      </c>
      <c r="F23">
        <v>-1934.2159999999999</v>
      </c>
      <c r="G23">
        <v>2775.5553</v>
      </c>
      <c r="H23">
        <v>1830.5012999999999</v>
      </c>
      <c r="I23">
        <v>2002.0565999999999</v>
      </c>
      <c r="J23">
        <v>128.19200000000001</v>
      </c>
      <c r="K23">
        <v>-922.46447000000001</v>
      </c>
      <c r="L23">
        <v>-336.74752999999998</v>
      </c>
      <c r="M23">
        <v>5394.3634000000002</v>
      </c>
    </row>
    <row r="24" spans="2:32" x14ac:dyDescent="0.2">
      <c r="C24">
        <v>2000</v>
      </c>
      <c r="D24">
        <v>1184.1871000000001</v>
      </c>
      <c r="E24">
        <v>-1282.7238</v>
      </c>
      <c r="F24">
        <v>-2200.3651</v>
      </c>
      <c r="G24">
        <v>592.46538999999996</v>
      </c>
      <c r="H24">
        <v>-412.55558000000002</v>
      </c>
      <c r="I24">
        <v>-1174.2061000000001</v>
      </c>
      <c r="J24">
        <v>-2593.1921000000002</v>
      </c>
      <c r="K24">
        <v>-3907.0614999999998</v>
      </c>
      <c r="L24">
        <v>1643.4955</v>
      </c>
      <c r="M24">
        <v>5394.3634000000002</v>
      </c>
    </row>
    <row r="25" spans="2:32" x14ac:dyDescent="0.2">
      <c r="C25">
        <v>3000</v>
      </c>
      <c r="D25">
        <v>1170.1610000000001</v>
      </c>
      <c r="E25">
        <v>-1282.758</v>
      </c>
      <c r="F25">
        <v>-3610.6441</v>
      </c>
      <c r="G25">
        <v>-1113.1146000000001</v>
      </c>
      <c r="H25">
        <v>-689.44241</v>
      </c>
      <c r="I25">
        <v>-1490.8843999999999</v>
      </c>
      <c r="J25">
        <v>-1864.7629999999999</v>
      </c>
      <c r="K25">
        <v>-4463.1961000000001</v>
      </c>
      <c r="L25">
        <v>-1282.5592999999999</v>
      </c>
      <c r="M25">
        <v>5394.3634000000002</v>
      </c>
    </row>
    <row r="26" spans="2:32" x14ac:dyDescent="0.2">
      <c r="C26">
        <v>4000</v>
      </c>
      <c r="D26">
        <v>1196.2189000000001</v>
      </c>
      <c r="E26">
        <v>-1279.0537999999999</v>
      </c>
      <c r="F26">
        <v>414.22007000000002</v>
      </c>
      <c r="G26">
        <v>-3348.4389999999999</v>
      </c>
      <c r="H26">
        <v>-2261.8867</v>
      </c>
      <c r="I26">
        <v>-1006.2665</v>
      </c>
      <c r="J26">
        <v>798.88031000000001</v>
      </c>
      <c r="K26">
        <v>-1422.4544000000001</v>
      </c>
      <c r="L26">
        <v>961.73743999999999</v>
      </c>
      <c r="M26">
        <v>5394.3634000000002</v>
      </c>
    </row>
    <row r="27" spans="2:32" x14ac:dyDescent="0.2">
      <c r="C27">
        <v>5000</v>
      </c>
      <c r="D27">
        <v>1196.9407000000001</v>
      </c>
      <c r="E27">
        <v>-1278.6939</v>
      </c>
      <c r="F27">
        <v>966.48569999999995</v>
      </c>
      <c r="G27">
        <v>-11.916024</v>
      </c>
      <c r="H27">
        <v>-871.97542999999996</v>
      </c>
      <c r="I27">
        <v>699.50085000000001</v>
      </c>
      <c r="J27">
        <v>132.54490000000001</v>
      </c>
      <c r="K27">
        <v>-114.63454</v>
      </c>
      <c r="L27">
        <v>-3319.8425999999999</v>
      </c>
      <c r="M27">
        <v>5394.3634000000002</v>
      </c>
    </row>
    <row r="28" spans="2:32" x14ac:dyDescent="0.2">
      <c r="C28">
        <v>6000</v>
      </c>
      <c r="D28">
        <v>1262.9459999999999</v>
      </c>
      <c r="E28">
        <v>-1281.2099000000001</v>
      </c>
      <c r="F28">
        <v>-1442.6475</v>
      </c>
      <c r="G28">
        <v>-1275.2819999999999</v>
      </c>
      <c r="H28">
        <v>667.04377999999997</v>
      </c>
      <c r="I28">
        <v>1022.8834000000001</v>
      </c>
      <c r="J28">
        <v>-75.372567000000004</v>
      </c>
      <c r="K28">
        <v>-733.37743999999998</v>
      </c>
      <c r="L28">
        <v>-3204.3328000000001</v>
      </c>
      <c r="M28">
        <v>5394.3634000000002</v>
      </c>
    </row>
    <row r="29" spans="2:32" x14ac:dyDescent="0.2">
      <c r="C29">
        <v>7000</v>
      </c>
      <c r="D29">
        <v>1199.7837999999999</v>
      </c>
      <c r="E29">
        <v>-1280.0427999999999</v>
      </c>
      <c r="F29">
        <v>1307.6412</v>
      </c>
      <c r="G29">
        <v>-1352.0925999999999</v>
      </c>
      <c r="H29">
        <v>-882.10679000000005</v>
      </c>
      <c r="I29">
        <v>2254.1325000000002</v>
      </c>
      <c r="J29">
        <v>-1555.9576999999999</v>
      </c>
      <c r="K29">
        <v>2105.1118000000001</v>
      </c>
      <c r="L29">
        <v>-1859.5451</v>
      </c>
      <c r="M29">
        <v>5394.3634000000002</v>
      </c>
    </row>
    <row r="30" spans="2:32" x14ac:dyDescent="0.2">
      <c r="C30">
        <v>8000</v>
      </c>
      <c r="D30">
        <v>1077.5872999999999</v>
      </c>
      <c r="E30">
        <v>-1283.5853</v>
      </c>
      <c r="F30">
        <v>-7735.1527999999998</v>
      </c>
      <c r="G30">
        <v>-3774.7946999999999</v>
      </c>
      <c r="H30">
        <v>-3187.5398</v>
      </c>
      <c r="I30">
        <v>-3962.8321000000001</v>
      </c>
      <c r="J30">
        <v>844.30939000000001</v>
      </c>
      <c r="K30">
        <v>1431.1233</v>
      </c>
      <c r="L30">
        <v>972.67643999999996</v>
      </c>
      <c r="M30">
        <v>5394.3634000000002</v>
      </c>
    </row>
    <row r="31" spans="2:32" x14ac:dyDescent="0.2">
      <c r="C31">
        <v>9000</v>
      </c>
      <c r="D31">
        <v>1228.4426000000001</v>
      </c>
      <c r="E31">
        <v>-1283.0614</v>
      </c>
      <c r="F31">
        <v>-2990.6815000000001</v>
      </c>
      <c r="G31">
        <v>-4969.1505999999999</v>
      </c>
      <c r="H31">
        <v>-4191.2583999999997</v>
      </c>
      <c r="I31">
        <v>-4685.6871000000001</v>
      </c>
      <c r="J31">
        <v>-1129.1211000000001</v>
      </c>
      <c r="K31">
        <v>1425.3635999999999</v>
      </c>
      <c r="L31">
        <v>-52.873235000000001</v>
      </c>
      <c r="M31">
        <v>5394.3634000000002</v>
      </c>
    </row>
    <row r="32" spans="2:32" x14ac:dyDescent="0.2">
      <c r="C32">
        <v>10000</v>
      </c>
      <c r="D32">
        <v>1226.4175</v>
      </c>
      <c r="E32">
        <v>-1281.4317000000001</v>
      </c>
      <c r="F32">
        <v>-1191.1917000000001</v>
      </c>
      <c r="G32">
        <v>-2356.5603000000001</v>
      </c>
      <c r="H32">
        <v>-1845.3948</v>
      </c>
      <c r="I32">
        <v>-1280.7618</v>
      </c>
      <c r="J32">
        <v>2138.8778000000002</v>
      </c>
      <c r="K32">
        <v>-1223.6016999999999</v>
      </c>
      <c r="L32">
        <v>-671.57164</v>
      </c>
      <c r="M32">
        <v>5394.3634000000002</v>
      </c>
    </row>
    <row r="33" spans="3:13" x14ac:dyDescent="0.2">
      <c r="C33">
        <v>11000</v>
      </c>
      <c r="D33">
        <v>1270.402</v>
      </c>
      <c r="E33">
        <v>-1283.4290000000001</v>
      </c>
      <c r="F33">
        <v>-4868.8437000000004</v>
      </c>
      <c r="G33">
        <v>-301.14470999999998</v>
      </c>
      <c r="H33">
        <v>921.17015000000004</v>
      </c>
      <c r="I33">
        <v>-289.56214999999997</v>
      </c>
      <c r="J33">
        <v>2180.5091000000002</v>
      </c>
      <c r="K33">
        <v>1354.1638</v>
      </c>
      <c r="L33">
        <v>-644.73092999999994</v>
      </c>
      <c r="M33">
        <v>5394.3634000000002</v>
      </c>
    </row>
    <row r="34" spans="3:13" x14ac:dyDescent="0.2">
      <c r="C34">
        <v>12000</v>
      </c>
      <c r="D34">
        <v>1258.9534000000001</v>
      </c>
      <c r="E34">
        <v>-1284.7833000000001</v>
      </c>
      <c r="F34">
        <v>-7828.2329</v>
      </c>
      <c r="G34">
        <v>-2755.556</v>
      </c>
      <c r="H34">
        <v>-2013.9903999999999</v>
      </c>
      <c r="I34">
        <v>-2633.6419999999998</v>
      </c>
      <c r="J34">
        <v>543.54727000000003</v>
      </c>
      <c r="K34">
        <v>2127.5461</v>
      </c>
      <c r="L34">
        <v>430.15899000000002</v>
      </c>
      <c r="M34">
        <v>5394.3634000000002</v>
      </c>
    </row>
    <row r="35" spans="3:13" x14ac:dyDescent="0.2">
      <c r="C35">
        <v>13000</v>
      </c>
      <c r="D35">
        <v>1218.0917999999999</v>
      </c>
      <c r="E35">
        <v>-1279.0993000000001</v>
      </c>
      <c r="F35">
        <v>1961.4237000000001</v>
      </c>
      <c r="G35">
        <v>-793.18719999999996</v>
      </c>
      <c r="H35">
        <v>-900.60720000000003</v>
      </c>
      <c r="I35">
        <v>71.776853000000003</v>
      </c>
      <c r="J35">
        <v>-1475.1614</v>
      </c>
      <c r="K35">
        <v>-1085.4366</v>
      </c>
      <c r="L35">
        <v>-718.40542000000005</v>
      </c>
      <c r="M35">
        <v>5394.3634000000002</v>
      </c>
    </row>
    <row r="36" spans="3:13" x14ac:dyDescent="0.2">
      <c r="C36">
        <v>14000</v>
      </c>
      <c r="D36">
        <v>1211.5132000000001</v>
      </c>
      <c r="E36">
        <v>-1277.1196</v>
      </c>
      <c r="F36">
        <v>4765.9264000000003</v>
      </c>
      <c r="G36">
        <v>1679.7919999999999</v>
      </c>
      <c r="H36">
        <v>1990.6116999999999</v>
      </c>
      <c r="I36">
        <v>1810.0186000000001</v>
      </c>
      <c r="J36">
        <v>-265.53998000000001</v>
      </c>
      <c r="K36">
        <v>1609.8461</v>
      </c>
      <c r="L36">
        <v>158.12407999999999</v>
      </c>
      <c r="M36">
        <v>5394.3634000000002</v>
      </c>
    </row>
    <row r="37" spans="3:13" x14ac:dyDescent="0.2">
      <c r="C37">
        <v>15000</v>
      </c>
      <c r="D37">
        <v>1247.8938000000001</v>
      </c>
      <c r="E37">
        <v>-1277.5582999999999</v>
      </c>
      <c r="F37">
        <v>3779.3874999999998</v>
      </c>
      <c r="G37">
        <v>502.67750000000001</v>
      </c>
      <c r="H37">
        <v>385.33089999999999</v>
      </c>
      <c r="I37">
        <v>-306.63493</v>
      </c>
      <c r="J37">
        <v>377.73952000000003</v>
      </c>
      <c r="K37">
        <v>3766.8980999999999</v>
      </c>
      <c r="L37">
        <v>-837.23158000000001</v>
      </c>
      <c r="M37">
        <v>5394.3634000000002</v>
      </c>
    </row>
    <row r="38" spans="3:13" x14ac:dyDescent="0.2">
      <c r="C38">
        <v>16000</v>
      </c>
      <c r="D38">
        <v>1063.4336000000001</v>
      </c>
      <c r="E38">
        <v>-1277.9722999999999</v>
      </c>
      <c r="F38">
        <v>2383.4000999999998</v>
      </c>
      <c r="G38">
        <v>-693.00972000000002</v>
      </c>
      <c r="H38">
        <v>-3945.5515</v>
      </c>
      <c r="I38">
        <v>497.55795000000001</v>
      </c>
      <c r="J38">
        <v>473.44632000000001</v>
      </c>
      <c r="K38">
        <v>3755.7815000000001</v>
      </c>
      <c r="L38">
        <v>10.485721</v>
      </c>
      <c r="M38">
        <v>5394.3634000000002</v>
      </c>
    </row>
    <row r="39" spans="3:13" x14ac:dyDescent="0.2">
      <c r="C39">
        <v>17000</v>
      </c>
      <c r="D39">
        <v>1239.6211000000001</v>
      </c>
      <c r="E39">
        <v>-1279.5355999999999</v>
      </c>
      <c r="F39">
        <v>874.65066999999999</v>
      </c>
      <c r="G39">
        <v>-842.36262999999997</v>
      </c>
      <c r="H39">
        <v>-2291.3348999999998</v>
      </c>
      <c r="I39">
        <v>-1069.1487999999999</v>
      </c>
      <c r="J39">
        <v>-628.09086000000002</v>
      </c>
      <c r="K39">
        <v>2598.7462</v>
      </c>
      <c r="L39">
        <v>-144.19658000000001</v>
      </c>
      <c r="M39">
        <v>5394.3634000000002</v>
      </c>
    </row>
    <row r="40" spans="3:13" x14ac:dyDescent="0.2">
      <c r="C40">
        <v>18000</v>
      </c>
      <c r="D40">
        <v>1203.7194999999999</v>
      </c>
      <c r="E40">
        <v>-1281.056</v>
      </c>
      <c r="F40">
        <v>-2632.4324999999999</v>
      </c>
      <c r="G40">
        <v>-469.89060999999998</v>
      </c>
      <c r="H40">
        <v>-268.93401999999998</v>
      </c>
      <c r="I40">
        <v>454.10816</v>
      </c>
      <c r="J40">
        <v>-3852.0731000000001</v>
      </c>
      <c r="K40">
        <v>1039.6485</v>
      </c>
      <c r="L40">
        <v>2207.7211000000002</v>
      </c>
      <c r="M40">
        <v>5394.3634000000002</v>
      </c>
    </row>
    <row r="41" spans="3:13" x14ac:dyDescent="0.2">
      <c r="C41">
        <v>19000</v>
      </c>
      <c r="D41">
        <v>1220.9884</v>
      </c>
      <c r="E41">
        <v>-1279.8226999999999</v>
      </c>
      <c r="F41">
        <v>915.52955999999995</v>
      </c>
      <c r="G41">
        <v>-1281.1206</v>
      </c>
      <c r="H41">
        <v>-2308.8948999999998</v>
      </c>
      <c r="I41">
        <v>-2108.1547999999998</v>
      </c>
      <c r="J41">
        <v>-1828.8155999999999</v>
      </c>
      <c r="K41">
        <v>1041.2162000000001</v>
      </c>
      <c r="L41">
        <v>196.28538</v>
      </c>
      <c r="M41">
        <v>5394.3634000000002</v>
      </c>
    </row>
    <row r="42" spans="3:13" x14ac:dyDescent="0.2">
      <c r="C42">
        <v>20000</v>
      </c>
      <c r="D42">
        <v>1094.2240999999999</v>
      </c>
      <c r="E42">
        <v>-1286.242</v>
      </c>
      <c r="F42">
        <v>-9754.2191000000003</v>
      </c>
      <c r="G42">
        <v>-5008.2790999999997</v>
      </c>
      <c r="H42">
        <v>-5200.0806000000002</v>
      </c>
      <c r="I42">
        <v>-2778.2366000000002</v>
      </c>
      <c r="J42">
        <v>-1191.52</v>
      </c>
      <c r="K42">
        <v>728.50508000000002</v>
      </c>
      <c r="L42">
        <v>106.77070000000001</v>
      </c>
      <c r="M42">
        <v>5394.3634000000002</v>
      </c>
    </row>
    <row r="43" spans="3:13" x14ac:dyDescent="0.2">
      <c r="C43">
        <v>21000</v>
      </c>
      <c r="D43">
        <v>1198.2401</v>
      </c>
      <c r="E43">
        <v>-1282.1088</v>
      </c>
      <c r="F43">
        <v>-5200.8855999999996</v>
      </c>
      <c r="G43">
        <v>-2396.2881000000002</v>
      </c>
      <c r="H43">
        <v>-2274.6765</v>
      </c>
      <c r="I43">
        <v>-2467.0167000000001</v>
      </c>
      <c r="J43">
        <v>-832.21950000000004</v>
      </c>
      <c r="K43">
        <v>-1469.9607000000001</v>
      </c>
      <c r="L43">
        <v>-3157.2629000000002</v>
      </c>
      <c r="M43">
        <v>5394.3634000000002</v>
      </c>
    </row>
    <row r="44" spans="3:13" x14ac:dyDescent="0.2">
      <c r="C44">
        <v>22000</v>
      </c>
      <c r="D44">
        <v>1074.2022999999999</v>
      </c>
      <c r="E44">
        <v>-1283.5567000000001</v>
      </c>
      <c r="F44">
        <v>-6612.1669000000002</v>
      </c>
      <c r="G44">
        <v>-4084.2107999999998</v>
      </c>
      <c r="H44">
        <v>-4362.9777999999997</v>
      </c>
      <c r="I44">
        <v>-4220.7404999999999</v>
      </c>
      <c r="J44">
        <v>173.35670999999999</v>
      </c>
      <c r="K44">
        <v>-955.17624000000001</v>
      </c>
      <c r="L44">
        <v>-1555.2556</v>
      </c>
      <c r="M44">
        <v>5394.3634000000002</v>
      </c>
    </row>
    <row r="45" spans="3:13" x14ac:dyDescent="0.2">
      <c r="C45">
        <v>23000</v>
      </c>
      <c r="D45">
        <v>1207.3780999999999</v>
      </c>
      <c r="E45">
        <v>-1279.3968</v>
      </c>
      <c r="F45">
        <v>-930.70100000000002</v>
      </c>
      <c r="G45">
        <v>-2843.6606999999999</v>
      </c>
      <c r="H45">
        <v>-4142.0537999999997</v>
      </c>
      <c r="I45">
        <v>-4075.3959</v>
      </c>
      <c r="J45">
        <v>526.87780999999995</v>
      </c>
      <c r="K45">
        <v>2228.2069000000001</v>
      </c>
      <c r="L45">
        <v>-1051.2798</v>
      </c>
      <c r="M45">
        <v>5394.3634000000002</v>
      </c>
    </row>
    <row r="46" spans="3:13" x14ac:dyDescent="0.2">
      <c r="C46">
        <v>24000</v>
      </c>
      <c r="D46">
        <v>1179.9698000000001</v>
      </c>
      <c r="E46">
        <v>-1281.1944000000001</v>
      </c>
      <c r="F46">
        <v>-2083.2543000000001</v>
      </c>
      <c r="G46">
        <v>-2957.2935000000002</v>
      </c>
      <c r="H46">
        <v>-3758.2808</v>
      </c>
      <c r="I46">
        <v>-2400.9991</v>
      </c>
      <c r="J46">
        <v>860.12855000000002</v>
      </c>
      <c r="K46">
        <v>277.66453999999999</v>
      </c>
      <c r="L46">
        <v>-4179.9288999999999</v>
      </c>
      <c r="M46">
        <v>5394.3634000000002</v>
      </c>
    </row>
    <row r="47" spans="3:13" x14ac:dyDescent="0.2">
      <c r="C47">
        <v>25000</v>
      </c>
      <c r="D47">
        <v>1183.8128999999999</v>
      </c>
      <c r="E47">
        <v>-1277.9354000000001</v>
      </c>
      <c r="F47">
        <v>848.68538999999998</v>
      </c>
      <c r="G47">
        <v>-683.93164000000002</v>
      </c>
      <c r="H47">
        <v>-951.30918999999994</v>
      </c>
      <c r="I47">
        <v>-807.00995</v>
      </c>
      <c r="J47">
        <v>-799.40123000000006</v>
      </c>
      <c r="K47">
        <v>1060.8549</v>
      </c>
      <c r="L47">
        <v>290.72815000000003</v>
      </c>
      <c r="M47">
        <v>5394.3634000000002</v>
      </c>
    </row>
    <row r="48" spans="3:13" x14ac:dyDescent="0.2">
      <c r="C48">
        <v>26000</v>
      </c>
      <c r="D48">
        <v>1254.5789</v>
      </c>
      <c r="E48">
        <v>-1278.2275999999999</v>
      </c>
      <c r="F48">
        <v>2990.5311000000002</v>
      </c>
      <c r="G48">
        <v>3831.0911000000001</v>
      </c>
      <c r="H48">
        <v>-564.09595999999999</v>
      </c>
      <c r="I48">
        <v>3698.5102000000002</v>
      </c>
      <c r="J48">
        <v>-1805.1231</v>
      </c>
      <c r="K48">
        <v>-2188.7795999999998</v>
      </c>
      <c r="L48">
        <v>-1673.7431999999999</v>
      </c>
      <c r="M48">
        <v>5394.3634000000002</v>
      </c>
    </row>
    <row r="49" spans="3:13" x14ac:dyDescent="0.2">
      <c r="C49">
        <v>27000</v>
      </c>
      <c r="D49">
        <v>1211.364</v>
      </c>
      <c r="E49">
        <v>-1279.798</v>
      </c>
      <c r="F49">
        <v>145.83551</v>
      </c>
      <c r="G49">
        <v>-16.541649</v>
      </c>
      <c r="H49">
        <v>-495.95022</v>
      </c>
      <c r="I49">
        <v>-318.17586</v>
      </c>
      <c r="J49">
        <v>1381.597</v>
      </c>
      <c r="K49">
        <v>-1312.6507999999999</v>
      </c>
      <c r="L49">
        <v>3444.7593999999999</v>
      </c>
      <c r="M49">
        <v>5394.3634000000002</v>
      </c>
    </row>
    <row r="50" spans="3:13" x14ac:dyDescent="0.2">
      <c r="C50">
        <v>28000</v>
      </c>
      <c r="D50">
        <v>1184.6292000000001</v>
      </c>
      <c r="E50">
        <v>-1280.9152999999999</v>
      </c>
      <c r="F50">
        <v>-2586.9141</v>
      </c>
      <c r="G50">
        <v>255.23580000000001</v>
      </c>
      <c r="H50">
        <v>-562.15493000000004</v>
      </c>
      <c r="I50">
        <v>-3427.8643999999999</v>
      </c>
      <c r="J50">
        <v>114.23913</v>
      </c>
      <c r="K50">
        <v>457.08591999999999</v>
      </c>
      <c r="L50">
        <v>-453.74932999999999</v>
      </c>
      <c r="M50">
        <v>5394.3634000000002</v>
      </c>
    </row>
    <row r="51" spans="3:13" x14ac:dyDescent="0.2">
      <c r="C51">
        <v>29000</v>
      </c>
      <c r="D51">
        <v>1182.9490000000001</v>
      </c>
      <c r="E51">
        <v>-1279.6828</v>
      </c>
      <c r="F51">
        <v>524.94353999999998</v>
      </c>
      <c r="G51">
        <v>1419.8262999999999</v>
      </c>
      <c r="H51">
        <v>712.32489999999996</v>
      </c>
      <c r="I51">
        <v>58.928413999999997</v>
      </c>
      <c r="J51">
        <v>1342.6513</v>
      </c>
      <c r="K51">
        <v>-1710.8734999999999</v>
      </c>
      <c r="L51">
        <v>-2683.1482000000001</v>
      </c>
      <c r="M51">
        <v>5394.3634000000002</v>
      </c>
    </row>
    <row r="52" spans="3:13" x14ac:dyDescent="0.2">
      <c r="C52">
        <v>30000</v>
      </c>
      <c r="D52">
        <v>1182.1904</v>
      </c>
      <c r="E52">
        <v>-1279.1437000000001</v>
      </c>
      <c r="F52">
        <v>38.434272999999997</v>
      </c>
      <c r="G52">
        <v>867.27704000000006</v>
      </c>
      <c r="H52">
        <v>-1900.9463000000001</v>
      </c>
      <c r="I52">
        <v>-349.02650999999997</v>
      </c>
      <c r="J52">
        <v>1692.115</v>
      </c>
      <c r="K52">
        <v>-506.85235999999998</v>
      </c>
      <c r="L52">
        <v>-1128.1016</v>
      </c>
      <c r="M52">
        <v>5394.3634000000002</v>
      </c>
    </row>
    <row r="53" spans="3:13" x14ac:dyDescent="0.2">
      <c r="C53">
        <v>31000</v>
      </c>
      <c r="D53">
        <v>1218.414</v>
      </c>
      <c r="E53">
        <v>-1281.2293</v>
      </c>
      <c r="F53">
        <v>-2233.8616000000002</v>
      </c>
      <c r="G53">
        <v>925.55650000000003</v>
      </c>
      <c r="H53">
        <v>898.04759999999999</v>
      </c>
      <c r="I53">
        <v>1665.3719000000001</v>
      </c>
      <c r="J53">
        <v>335.71163000000001</v>
      </c>
      <c r="K53">
        <v>-1031.0315000000001</v>
      </c>
      <c r="L53">
        <v>1403.3978999999999</v>
      </c>
      <c r="M53">
        <v>5394.3634000000002</v>
      </c>
    </row>
    <row r="54" spans="3:13" x14ac:dyDescent="0.2">
      <c r="C54">
        <v>32000</v>
      </c>
      <c r="D54">
        <v>1251.3769</v>
      </c>
      <c r="E54">
        <v>-1280.7914000000001</v>
      </c>
      <c r="F54">
        <v>-319.42379</v>
      </c>
      <c r="G54">
        <v>-679.29872</v>
      </c>
      <c r="H54">
        <v>-1988.9737</v>
      </c>
      <c r="I54">
        <v>622.95946000000004</v>
      </c>
      <c r="J54">
        <v>705.48560999999995</v>
      </c>
      <c r="K54">
        <v>-274.30115000000001</v>
      </c>
      <c r="L54">
        <v>-1151.8306</v>
      </c>
      <c r="M54">
        <v>5394.3634000000002</v>
      </c>
    </row>
    <row r="55" spans="3:13" x14ac:dyDescent="0.2">
      <c r="C55">
        <v>33000</v>
      </c>
      <c r="D55">
        <v>1178.9762000000001</v>
      </c>
      <c r="E55">
        <v>-1282.0045</v>
      </c>
      <c r="F55">
        <v>-3570.9119000000001</v>
      </c>
      <c r="G55">
        <v>-3510.9151000000002</v>
      </c>
      <c r="H55">
        <v>-3546.6705000000002</v>
      </c>
      <c r="I55">
        <v>-48.954994999999997</v>
      </c>
      <c r="J55">
        <v>-1067.9809</v>
      </c>
      <c r="K55">
        <v>1530.4165</v>
      </c>
      <c r="L55">
        <v>-82.788304999999994</v>
      </c>
      <c r="M55">
        <v>5394.3634000000002</v>
      </c>
    </row>
    <row r="56" spans="3:13" x14ac:dyDescent="0.2">
      <c r="C56">
        <v>34000</v>
      </c>
      <c r="D56">
        <v>1214.0572999999999</v>
      </c>
      <c r="E56">
        <v>-1280.1496999999999</v>
      </c>
      <c r="F56">
        <v>104.84472</v>
      </c>
      <c r="G56">
        <v>-1610.3275000000001</v>
      </c>
      <c r="H56">
        <v>843.78718000000003</v>
      </c>
      <c r="I56">
        <v>771.63576999999998</v>
      </c>
      <c r="J56">
        <v>2410.0603999999998</v>
      </c>
      <c r="K56">
        <v>-265.52541000000002</v>
      </c>
      <c r="L56">
        <v>2030.8149000000001</v>
      </c>
      <c r="M56">
        <v>5394.3634000000002</v>
      </c>
    </row>
    <row r="57" spans="3:13" x14ac:dyDescent="0.2">
      <c r="C57">
        <v>35000</v>
      </c>
      <c r="D57">
        <v>1117.6608000000001</v>
      </c>
      <c r="E57">
        <v>-1279.3366000000001</v>
      </c>
      <c r="F57">
        <v>-1209.3855000000001</v>
      </c>
      <c r="G57">
        <v>416.34505000000001</v>
      </c>
      <c r="H57">
        <v>-924.71225000000004</v>
      </c>
      <c r="I57">
        <v>798.80814999999996</v>
      </c>
      <c r="J57">
        <v>2194.1889000000001</v>
      </c>
      <c r="K57">
        <v>1614.2641000000001</v>
      </c>
      <c r="L57">
        <v>-269.73588000000001</v>
      </c>
      <c r="M57">
        <v>5394.3634000000002</v>
      </c>
    </row>
    <row r="58" spans="3:13" x14ac:dyDescent="0.2">
      <c r="C58">
        <v>36000</v>
      </c>
      <c r="D58">
        <v>1222.4267</v>
      </c>
      <c r="E58">
        <v>-1283.9387999999999</v>
      </c>
      <c r="F58">
        <v>-3517.2552000000001</v>
      </c>
      <c r="G58">
        <v>-1317.1002000000001</v>
      </c>
      <c r="H58">
        <v>-2182.0050000000001</v>
      </c>
      <c r="I58">
        <v>-3438.8503999999998</v>
      </c>
      <c r="J58">
        <v>-672.27629999999999</v>
      </c>
      <c r="K58">
        <v>2410.4892</v>
      </c>
      <c r="L58">
        <v>243.31927999999999</v>
      </c>
      <c r="M58">
        <v>5394.3634000000002</v>
      </c>
    </row>
    <row r="59" spans="3:13" x14ac:dyDescent="0.2">
      <c r="C59">
        <v>37000</v>
      </c>
      <c r="D59">
        <v>1248.9436000000001</v>
      </c>
      <c r="E59">
        <v>-1282.4323999999999</v>
      </c>
      <c r="F59">
        <v>-3059.9881999999998</v>
      </c>
      <c r="G59">
        <v>-898.18868999999995</v>
      </c>
      <c r="H59">
        <v>-425.56229999999999</v>
      </c>
      <c r="I59">
        <v>-646.04129</v>
      </c>
      <c r="J59">
        <v>227.94871000000001</v>
      </c>
      <c r="K59">
        <v>-1678.7073</v>
      </c>
      <c r="L59">
        <v>53.390853</v>
      </c>
      <c r="M59">
        <v>5394.3634000000002</v>
      </c>
    </row>
    <row r="60" spans="3:13" x14ac:dyDescent="0.2">
      <c r="C60">
        <v>38000</v>
      </c>
      <c r="D60">
        <v>1226.8091999999999</v>
      </c>
      <c r="E60">
        <v>-1275.5681999999999</v>
      </c>
      <c r="F60">
        <v>5659.4395999999997</v>
      </c>
      <c r="G60">
        <v>810.71619999999996</v>
      </c>
      <c r="H60">
        <v>1533.9718</v>
      </c>
      <c r="I60">
        <v>1213.4123</v>
      </c>
      <c r="J60">
        <v>-1506.2047</v>
      </c>
      <c r="K60">
        <v>-3410.7986000000001</v>
      </c>
      <c r="L60">
        <v>-469.59143</v>
      </c>
      <c r="M60">
        <v>5394.3634000000002</v>
      </c>
    </row>
    <row r="61" spans="3:13" x14ac:dyDescent="0.2">
      <c r="C61">
        <v>39000</v>
      </c>
      <c r="D61">
        <v>1191.4856</v>
      </c>
      <c r="E61">
        <v>-1281.2564</v>
      </c>
      <c r="F61">
        <v>-3095.1597000000002</v>
      </c>
      <c r="G61">
        <v>1383.5739000000001</v>
      </c>
      <c r="H61">
        <v>473.74781999999999</v>
      </c>
      <c r="I61">
        <v>-872.21780999999999</v>
      </c>
      <c r="J61">
        <v>467.25335999999999</v>
      </c>
      <c r="K61">
        <v>-109.03522</v>
      </c>
      <c r="L61">
        <v>835.25361999999996</v>
      </c>
      <c r="M61">
        <v>5394.3634000000002</v>
      </c>
    </row>
    <row r="62" spans="3:13" x14ac:dyDescent="0.2">
      <c r="C62">
        <v>40000</v>
      </c>
      <c r="D62">
        <v>1199.0942</v>
      </c>
      <c r="E62">
        <v>-1282.0835999999999</v>
      </c>
      <c r="F62">
        <v>-4203.7079999999996</v>
      </c>
      <c r="G62">
        <v>-153.12262000000001</v>
      </c>
      <c r="H62">
        <v>200.95848000000001</v>
      </c>
      <c r="I62">
        <v>-2551.3314</v>
      </c>
      <c r="J62">
        <v>314.09496000000001</v>
      </c>
      <c r="K62">
        <v>-732.91753000000006</v>
      </c>
      <c r="L62">
        <v>2836.1277</v>
      </c>
      <c r="M62">
        <v>5394.3634000000002</v>
      </c>
    </row>
    <row r="63" spans="3:13" x14ac:dyDescent="0.2">
      <c r="C63">
        <v>41000</v>
      </c>
      <c r="D63">
        <v>1238.5334</v>
      </c>
      <c r="E63">
        <v>-1279.2935</v>
      </c>
      <c r="F63">
        <v>638.81475999999998</v>
      </c>
      <c r="G63">
        <v>-2727.0933</v>
      </c>
      <c r="H63">
        <v>-2068.0311999999999</v>
      </c>
      <c r="I63">
        <v>-2893.1035000000002</v>
      </c>
      <c r="J63">
        <v>-455.61928999999998</v>
      </c>
      <c r="K63">
        <v>1226.5890999999999</v>
      </c>
      <c r="L63">
        <v>571.74108999999999</v>
      </c>
      <c r="M63">
        <v>5394.3634000000002</v>
      </c>
    </row>
    <row r="64" spans="3:13" x14ac:dyDescent="0.2">
      <c r="C64">
        <v>42000</v>
      </c>
      <c r="D64">
        <v>1142.6286</v>
      </c>
      <c r="E64">
        <v>-1281.1376</v>
      </c>
      <c r="F64">
        <v>-2166.9794999999999</v>
      </c>
      <c r="G64">
        <v>-3139.2422999999999</v>
      </c>
      <c r="H64">
        <v>-2586.4362000000001</v>
      </c>
      <c r="I64">
        <v>-2154.2876000000001</v>
      </c>
      <c r="J64">
        <v>-413.12603999999999</v>
      </c>
      <c r="K64">
        <v>-1608.0888</v>
      </c>
      <c r="L64">
        <v>-924.53318999999999</v>
      </c>
      <c r="M64">
        <v>5394.3634000000002</v>
      </c>
    </row>
    <row r="65" spans="3:13" x14ac:dyDescent="0.2">
      <c r="C65">
        <v>43000</v>
      </c>
      <c r="D65">
        <v>1126.4865</v>
      </c>
      <c r="E65">
        <v>-1278.5872999999999</v>
      </c>
      <c r="F65">
        <v>158.88165000000001</v>
      </c>
      <c r="G65">
        <v>-257.24038999999999</v>
      </c>
      <c r="H65">
        <v>-2545.3948</v>
      </c>
      <c r="I65">
        <v>1596.8958</v>
      </c>
      <c r="J65">
        <v>2924.5075999999999</v>
      </c>
      <c r="K65">
        <v>646.48581000000001</v>
      </c>
      <c r="L65">
        <v>1345.712</v>
      </c>
      <c r="M65">
        <v>5394.3634000000002</v>
      </c>
    </row>
    <row r="66" spans="3:13" x14ac:dyDescent="0.2">
      <c r="C66">
        <v>44000</v>
      </c>
      <c r="D66">
        <v>1249.5302999999999</v>
      </c>
      <c r="E66">
        <v>-1278.9621999999999</v>
      </c>
      <c r="F66">
        <v>-663.96376999999995</v>
      </c>
      <c r="G66">
        <v>4340.3869999999997</v>
      </c>
      <c r="H66">
        <v>1189.4133999999999</v>
      </c>
      <c r="I66">
        <v>4204.2263999999996</v>
      </c>
      <c r="J66">
        <v>964.68003999999996</v>
      </c>
      <c r="K66">
        <v>-2437.8285999999998</v>
      </c>
      <c r="L66">
        <v>158.62860000000001</v>
      </c>
      <c r="M66">
        <v>5394.3634000000002</v>
      </c>
    </row>
    <row r="67" spans="3:13" x14ac:dyDescent="0.2">
      <c r="C67">
        <v>45000</v>
      </c>
      <c r="D67">
        <v>1203.8611000000001</v>
      </c>
      <c r="E67">
        <v>-1275.7262000000001</v>
      </c>
      <c r="F67">
        <v>4384.3852999999999</v>
      </c>
      <c r="G67">
        <v>-488.81272000000001</v>
      </c>
      <c r="H67">
        <v>451.66082999999998</v>
      </c>
      <c r="I67">
        <v>3211.1669000000002</v>
      </c>
      <c r="J67">
        <v>3485.1725999999999</v>
      </c>
      <c r="K67">
        <v>-1585.1273000000001</v>
      </c>
      <c r="L67">
        <v>-826.79765999999995</v>
      </c>
      <c r="M67">
        <v>5394.3634000000002</v>
      </c>
    </row>
    <row r="68" spans="3:13" x14ac:dyDescent="0.2">
      <c r="C68">
        <v>46000</v>
      </c>
      <c r="D68">
        <v>1250.9933000000001</v>
      </c>
      <c r="E68">
        <v>-1275.4911999999999</v>
      </c>
      <c r="F68">
        <v>6060.5775999999996</v>
      </c>
      <c r="G68">
        <v>2022.1123</v>
      </c>
      <c r="H68">
        <v>4038.1889000000001</v>
      </c>
      <c r="I68">
        <v>626.42550000000006</v>
      </c>
      <c r="J68">
        <v>3686.4654999999998</v>
      </c>
      <c r="K68">
        <v>-1322.4248</v>
      </c>
      <c r="L68">
        <v>-387.00209000000001</v>
      </c>
      <c r="M68">
        <v>5394.3634000000002</v>
      </c>
    </row>
    <row r="69" spans="3:13" x14ac:dyDescent="0.2">
      <c r="C69">
        <v>47000</v>
      </c>
      <c r="D69">
        <v>1087.299</v>
      </c>
      <c r="E69">
        <v>-1282.0706</v>
      </c>
      <c r="F69">
        <v>-5095.6228000000001</v>
      </c>
      <c r="G69">
        <v>2345.3434999999999</v>
      </c>
      <c r="H69">
        <v>2117.9065999999998</v>
      </c>
      <c r="I69">
        <v>1943.6029000000001</v>
      </c>
      <c r="J69">
        <v>-557.40912000000003</v>
      </c>
      <c r="K69">
        <v>-1200.1996999999999</v>
      </c>
      <c r="L69">
        <v>-2602.8584999999998</v>
      </c>
      <c r="M69">
        <v>5394.3634000000002</v>
      </c>
    </row>
    <row r="70" spans="3:13" x14ac:dyDescent="0.2">
      <c r="C70">
        <v>48000</v>
      </c>
      <c r="D70">
        <v>1155.1014</v>
      </c>
      <c r="E70">
        <v>-1277.7445</v>
      </c>
      <c r="F70">
        <v>277.48570999999998</v>
      </c>
      <c r="G70">
        <v>2195.0898000000002</v>
      </c>
      <c r="H70">
        <v>-1865.8400999999999</v>
      </c>
      <c r="I70">
        <v>-268.03667999999999</v>
      </c>
      <c r="J70">
        <v>871.59205999999995</v>
      </c>
      <c r="K70">
        <v>-1200.8416</v>
      </c>
      <c r="L70">
        <v>-378.08305000000001</v>
      </c>
      <c r="M70">
        <v>5394.3634000000002</v>
      </c>
    </row>
    <row r="71" spans="3:13" x14ac:dyDescent="0.2">
      <c r="C71">
        <v>49000</v>
      </c>
      <c r="D71">
        <v>1224.6577</v>
      </c>
      <c r="E71">
        <v>-1279.2982</v>
      </c>
      <c r="F71">
        <v>745.57631000000003</v>
      </c>
      <c r="G71">
        <v>5109.6688000000004</v>
      </c>
      <c r="H71">
        <v>-869.72118999999998</v>
      </c>
      <c r="I71">
        <v>1450.9583</v>
      </c>
      <c r="J71">
        <v>2456.3186000000001</v>
      </c>
      <c r="K71">
        <v>2909.5614</v>
      </c>
      <c r="L71">
        <v>-4237.2542999999996</v>
      </c>
      <c r="M71">
        <v>5394.3634000000002</v>
      </c>
    </row>
    <row r="72" spans="3:13" x14ac:dyDescent="0.2">
      <c r="C72">
        <v>50000</v>
      </c>
      <c r="D72">
        <v>1255.7873999999999</v>
      </c>
      <c r="E72">
        <v>-1279.0017</v>
      </c>
      <c r="F72">
        <v>-163.95197999999999</v>
      </c>
      <c r="G72">
        <v>1225.546</v>
      </c>
      <c r="H72">
        <v>311.51754</v>
      </c>
      <c r="I72">
        <v>-369.28836000000001</v>
      </c>
      <c r="J72">
        <v>2070.8670999999999</v>
      </c>
      <c r="K72">
        <v>3473.8164000000002</v>
      </c>
      <c r="L72">
        <v>149.74776</v>
      </c>
      <c r="M72">
        <v>5394.3634000000002</v>
      </c>
    </row>
    <row r="73" spans="3:13" x14ac:dyDescent="0.2">
      <c r="F73">
        <f>AVERAGE(F22:F72)</f>
        <v>-998.27537013725498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AF73"/>
  <sheetViews>
    <sheetView workbookViewId="0">
      <selection activeCell="N22" sqref="N22"/>
    </sheetView>
  </sheetViews>
  <sheetFormatPr baseColWidth="10" defaultRowHeight="16" x14ac:dyDescent="0.2"/>
  <sheetData>
    <row r="2" spans="2:32" x14ac:dyDescent="0.2">
      <c r="C2" t="s">
        <v>68</v>
      </c>
    </row>
    <row r="4" spans="2:32" x14ac:dyDescent="0.2">
      <c r="B4" t="s">
        <v>34</v>
      </c>
      <c r="C4" s="1">
        <v>800</v>
      </c>
      <c r="D4" s="1">
        <v>800</v>
      </c>
      <c r="E4" s="1">
        <v>800</v>
      </c>
      <c r="F4" s="1">
        <v>800</v>
      </c>
      <c r="G4" s="7"/>
      <c r="H4" s="7"/>
      <c r="I4" s="1">
        <v>900</v>
      </c>
      <c r="J4" s="1">
        <v>900</v>
      </c>
      <c r="K4" s="1">
        <v>900</v>
      </c>
      <c r="L4" s="1">
        <v>900</v>
      </c>
      <c r="M4" s="7"/>
      <c r="N4" s="7"/>
      <c r="O4" s="1">
        <v>1000</v>
      </c>
      <c r="P4" s="1">
        <v>1000</v>
      </c>
      <c r="Q4" s="1">
        <v>1000</v>
      </c>
      <c r="R4" s="1">
        <v>1000</v>
      </c>
      <c r="S4" s="7"/>
      <c r="T4" s="7"/>
      <c r="U4" s="1">
        <v>1100</v>
      </c>
      <c r="V4" s="1">
        <v>1100</v>
      </c>
      <c r="W4" s="1">
        <v>1100</v>
      </c>
      <c r="X4" s="1">
        <v>1100</v>
      </c>
      <c r="Y4" s="7"/>
      <c r="Z4" s="7"/>
      <c r="AA4" s="1">
        <v>1200</v>
      </c>
      <c r="AB4" s="1">
        <v>1200</v>
      </c>
      <c r="AC4" s="1">
        <v>1200</v>
      </c>
      <c r="AD4" s="1">
        <v>1200</v>
      </c>
      <c r="AE4" s="7"/>
      <c r="AF4" s="7"/>
    </row>
    <row r="5" spans="2:32" x14ac:dyDescent="0.2">
      <c r="B5" t="s">
        <v>54</v>
      </c>
      <c r="C5" s="1">
        <v>105.91235676042</v>
      </c>
      <c r="D5" s="1">
        <v>86.936089277510305</v>
      </c>
      <c r="E5" s="1">
        <v>127.20531567079701</v>
      </c>
      <c r="F5" s="1">
        <v>92.997152522611501</v>
      </c>
      <c r="G5" s="7"/>
      <c r="H5" s="7"/>
      <c r="I5" s="1">
        <v>92.288092487836806</v>
      </c>
      <c r="J5" s="1">
        <v>100.22692714305001</v>
      </c>
      <c r="K5" s="1">
        <v>96.535988635319896</v>
      </c>
      <c r="L5" s="1">
        <v>94.287477638006294</v>
      </c>
      <c r="M5" s="7"/>
      <c r="N5" s="7"/>
      <c r="O5" s="1">
        <v>75.934975094900295</v>
      </c>
      <c r="P5" s="1">
        <v>99.414258833627898</v>
      </c>
      <c r="Q5" s="1">
        <v>88.620174132211105</v>
      </c>
      <c r="R5" s="1">
        <v>88.912887516557007</v>
      </c>
      <c r="S5" s="7"/>
      <c r="T5" s="7"/>
      <c r="U5" s="1">
        <v>87.996056869351094</v>
      </c>
      <c r="V5" s="1">
        <v>90.321983256791697</v>
      </c>
      <c r="W5" s="1">
        <v>91.465625293898796</v>
      </c>
      <c r="X5" s="1">
        <v>89.307134706598603</v>
      </c>
      <c r="Y5" s="7"/>
      <c r="Z5" s="7"/>
      <c r="AA5" s="1">
        <v>100.176436301517</v>
      </c>
      <c r="AB5" s="1">
        <v>82.266193554301793</v>
      </c>
      <c r="AC5" s="1">
        <v>61.933824967413997</v>
      </c>
      <c r="AD5" s="1">
        <v>99.870800118671696</v>
      </c>
      <c r="AE5" s="7"/>
      <c r="AF5" s="7"/>
    </row>
    <row r="6" spans="2:32" x14ac:dyDescent="0.2">
      <c r="B6" t="s">
        <v>55</v>
      </c>
      <c r="C6" s="1">
        <v>102.316740601853</v>
      </c>
      <c r="D6" s="1">
        <v>107.35778598009399</v>
      </c>
      <c r="E6" s="1">
        <v>101.952247818945</v>
      </c>
      <c r="F6" s="1">
        <v>90.552499863071404</v>
      </c>
      <c r="G6" s="7"/>
      <c r="H6" s="7"/>
      <c r="I6" s="1">
        <v>93.705728867574507</v>
      </c>
      <c r="J6" s="1">
        <v>109.261028606933</v>
      </c>
      <c r="K6" s="1">
        <v>99.6732978250906</v>
      </c>
      <c r="L6" s="1">
        <v>101.351211988202</v>
      </c>
      <c r="M6" s="7"/>
      <c r="N6" s="7"/>
      <c r="O6" s="1">
        <v>110.334177929541</v>
      </c>
      <c r="P6" s="1">
        <v>94.927598760336295</v>
      </c>
      <c r="Q6" s="1">
        <v>89.649189181055206</v>
      </c>
      <c r="R6" s="1">
        <v>107.4963428463</v>
      </c>
      <c r="S6" s="7"/>
      <c r="T6" s="7"/>
      <c r="U6" s="1">
        <v>85.360697253456706</v>
      </c>
      <c r="V6" s="1">
        <v>99.233537807176205</v>
      </c>
      <c r="W6" s="1">
        <v>97.014057556812503</v>
      </c>
      <c r="X6" s="1">
        <v>101.907687996411</v>
      </c>
      <c r="Y6" s="7"/>
      <c r="Z6" s="7"/>
      <c r="AA6" s="1">
        <v>99.7027208860748</v>
      </c>
      <c r="AB6" s="1">
        <v>65.986401097788203</v>
      </c>
      <c r="AC6" s="1">
        <v>78.109131704689801</v>
      </c>
      <c r="AD6" s="1">
        <v>92.101167101915806</v>
      </c>
      <c r="AE6" s="7"/>
      <c r="AF6" s="7"/>
    </row>
    <row r="7" spans="2:32" x14ac:dyDescent="0.2">
      <c r="B7" t="s">
        <v>56</v>
      </c>
      <c r="C7" s="1">
        <v>107.29398158008</v>
      </c>
      <c r="D7" s="1">
        <v>116.632814628462</v>
      </c>
      <c r="E7" s="1">
        <v>99.943304350479494</v>
      </c>
      <c r="F7" s="1">
        <v>117.859156839863</v>
      </c>
      <c r="G7" s="7"/>
      <c r="H7" s="7"/>
      <c r="I7" s="1">
        <v>102.512741194147</v>
      </c>
      <c r="J7" s="1">
        <v>83.970785373262999</v>
      </c>
      <c r="K7" s="1">
        <v>108.97324600823799</v>
      </c>
      <c r="L7" s="1">
        <v>104.5321110679</v>
      </c>
      <c r="M7" s="7"/>
      <c r="N7" s="7"/>
      <c r="O7" s="1">
        <v>103.05205279603901</v>
      </c>
      <c r="P7" s="1">
        <v>86.519756928022801</v>
      </c>
      <c r="Q7" s="1">
        <v>90.3935413030311</v>
      </c>
      <c r="R7" s="1">
        <v>93.861803127664402</v>
      </c>
      <c r="S7" s="7"/>
      <c r="T7" s="7"/>
      <c r="U7" s="1">
        <v>91.346331848334302</v>
      </c>
      <c r="V7" s="1">
        <v>91.932961367556004</v>
      </c>
      <c r="W7" s="1">
        <v>96.538003350159201</v>
      </c>
      <c r="X7" s="1">
        <v>94.749608553541705</v>
      </c>
      <c r="Y7" s="7"/>
      <c r="Z7" s="7"/>
      <c r="AA7" s="1">
        <v>81.302858431944699</v>
      </c>
      <c r="AB7" s="1">
        <v>105.638655411594</v>
      </c>
      <c r="AC7" s="1">
        <v>83.247462486516199</v>
      </c>
      <c r="AD7" s="1">
        <v>68.440341632552006</v>
      </c>
      <c r="AE7" s="7"/>
      <c r="AF7" s="7"/>
    </row>
    <row r="8" spans="2:32" x14ac:dyDescent="0.2">
      <c r="B8" t="s">
        <v>57</v>
      </c>
      <c r="C8" s="1">
        <v>74.951054106399297</v>
      </c>
      <c r="D8" s="1">
        <v>71.347707776923798</v>
      </c>
      <c r="E8" s="1">
        <v>72.229898974081905</v>
      </c>
      <c r="F8" s="1">
        <v>67.534880685674196</v>
      </c>
      <c r="G8" s="7"/>
      <c r="H8" s="7"/>
      <c r="I8" s="1">
        <v>66.771949535285998</v>
      </c>
      <c r="J8" s="1">
        <v>66.1457948992539</v>
      </c>
      <c r="K8" s="1">
        <v>68.564966838971301</v>
      </c>
      <c r="L8" s="1">
        <v>76.329999453301795</v>
      </c>
      <c r="M8" s="7"/>
      <c r="N8" s="7"/>
      <c r="O8" s="1">
        <v>71.034154236754006</v>
      </c>
      <c r="P8" s="1">
        <v>64.446900998113406</v>
      </c>
      <c r="Q8" s="1">
        <v>75.628365637354804</v>
      </c>
      <c r="R8" s="1">
        <v>61.130011922314303</v>
      </c>
      <c r="S8" s="7"/>
      <c r="T8" s="7"/>
      <c r="U8" s="1">
        <v>70.768777914579402</v>
      </c>
      <c r="V8" s="1">
        <v>78.715353414105294</v>
      </c>
      <c r="W8" s="1">
        <v>71.648614256450898</v>
      </c>
      <c r="X8" s="1">
        <v>69.794958552126801</v>
      </c>
      <c r="Y8" s="7"/>
      <c r="Z8" s="7"/>
      <c r="AA8" s="1">
        <v>71.578519232275497</v>
      </c>
      <c r="AB8" s="1">
        <v>59.3574878085915</v>
      </c>
      <c r="AC8" s="1">
        <v>62.022366924983999</v>
      </c>
      <c r="AD8" s="1">
        <v>77.080063641541102</v>
      </c>
      <c r="AE8" s="7"/>
      <c r="AF8" s="7"/>
    </row>
    <row r="9" spans="2:32" x14ac:dyDescent="0.2">
      <c r="B9" t="s">
        <v>58</v>
      </c>
      <c r="C9" s="1">
        <v>68.576222914317995</v>
      </c>
      <c r="D9" s="1">
        <v>68.261766149642597</v>
      </c>
      <c r="E9" s="1">
        <v>78.290688150599294</v>
      </c>
      <c r="F9" s="1">
        <v>65.985291638268805</v>
      </c>
      <c r="G9" s="7"/>
      <c r="H9" s="7"/>
      <c r="I9" s="1">
        <v>67.136285769374993</v>
      </c>
      <c r="J9" s="1">
        <v>67.232769901504</v>
      </c>
      <c r="K9" s="1">
        <v>62.804074546550702</v>
      </c>
      <c r="L9" s="1">
        <v>71.813038911273495</v>
      </c>
      <c r="M9" s="7"/>
      <c r="N9" s="7"/>
      <c r="O9" s="1">
        <v>68.839285170014193</v>
      </c>
      <c r="P9" s="1">
        <v>51.143913137941297</v>
      </c>
      <c r="Q9" s="1">
        <v>58.8297317576395</v>
      </c>
      <c r="R9" s="1">
        <v>63.5203974949317</v>
      </c>
      <c r="S9" s="7"/>
      <c r="T9" s="7"/>
      <c r="U9" s="1">
        <v>77.057262452312401</v>
      </c>
      <c r="V9" s="1">
        <v>75.811610247796494</v>
      </c>
      <c r="W9" s="1">
        <v>80.592521628561499</v>
      </c>
      <c r="X9" s="1">
        <v>80.930932798668806</v>
      </c>
      <c r="Y9" s="7"/>
      <c r="Z9" s="7"/>
      <c r="AA9" s="1">
        <v>56.339754423706502</v>
      </c>
      <c r="AB9" s="1">
        <v>81.908615013900402</v>
      </c>
      <c r="AC9" s="1">
        <v>69.422497989466393</v>
      </c>
      <c r="AD9" s="1">
        <v>72.7478350061008</v>
      </c>
      <c r="AE9" s="7"/>
      <c r="AF9" s="7"/>
    </row>
    <row r="10" spans="2:32" x14ac:dyDescent="0.2">
      <c r="B10" t="s">
        <v>59</v>
      </c>
      <c r="C10" s="1">
        <v>64.029947199009101</v>
      </c>
      <c r="D10" s="1">
        <v>72.871759463317602</v>
      </c>
      <c r="E10" s="1">
        <v>66.1944777182633</v>
      </c>
      <c r="F10" s="1">
        <v>61.328082926488797</v>
      </c>
      <c r="G10" s="7"/>
      <c r="H10" s="7"/>
      <c r="I10" s="1">
        <v>65.179223927619702</v>
      </c>
      <c r="J10" s="1">
        <v>64.390359512767105</v>
      </c>
      <c r="K10" s="1">
        <v>75.644154609151698</v>
      </c>
      <c r="L10" s="1">
        <v>79.644435786546694</v>
      </c>
      <c r="M10" s="7"/>
      <c r="N10" s="7"/>
      <c r="O10" s="1">
        <v>82.841001412398995</v>
      </c>
      <c r="P10" s="1">
        <v>56.2047821594387</v>
      </c>
      <c r="Q10" s="1">
        <v>73.430805082683193</v>
      </c>
      <c r="R10" s="1">
        <v>88.229354903622706</v>
      </c>
      <c r="S10" s="7"/>
      <c r="T10" s="7"/>
      <c r="U10" s="1">
        <v>61.053486196930201</v>
      </c>
      <c r="V10" s="1">
        <v>70.388599583152399</v>
      </c>
      <c r="W10" s="1">
        <v>80.725612192903895</v>
      </c>
      <c r="X10" s="1">
        <v>58.993497427195898</v>
      </c>
      <c r="Y10" s="7"/>
      <c r="Z10" s="7"/>
      <c r="AA10" s="1">
        <v>69.461922616600802</v>
      </c>
      <c r="AB10" s="1">
        <v>63.6372092481758</v>
      </c>
      <c r="AC10" s="1">
        <v>72.156497373708007</v>
      </c>
      <c r="AD10" s="1">
        <v>81.653493886446697</v>
      </c>
      <c r="AE10" s="7"/>
      <c r="AF10" s="7"/>
    </row>
    <row r="11" spans="2:32" x14ac:dyDescent="0.2">
      <c r="B11" t="s">
        <v>60</v>
      </c>
      <c r="C11" s="1">
        <v>36.291486758243202</v>
      </c>
      <c r="D11" s="1">
        <v>37.2532960005001</v>
      </c>
      <c r="E11" s="1">
        <v>39.604189946533197</v>
      </c>
      <c r="F11" s="1">
        <v>39.824319096394099</v>
      </c>
      <c r="G11" s="7"/>
      <c r="H11" s="7"/>
      <c r="I11" s="1">
        <v>36.129884067501102</v>
      </c>
      <c r="J11" s="1">
        <v>30.423960973605698</v>
      </c>
      <c r="K11" s="1">
        <v>31.3985826313702</v>
      </c>
      <c r="L11" s="1">
        <v>37.418328909260701</v>
      </c>
      <c r="M11" s="7"/>
      <c r="N11" s="7"/>
      <c r="O11" s="1">
        <v>30.814487675601701</v>
      </c>
      <c r="P11" s="1">
        <v>41.380401235256997</v>
      </c>
      <c r="Q11" s="1">
        <v>37.362779853169201</v>
      </c>
      <c r="R11" s="1">
        <v>36.7568404177864</v>
      </c>
      <c r="S11" s="7"/>
      <c r="T11" s="7"/>
      <c r="U11" s="1">
        <v>28.879853044861299</v>
      </c>
      <c r="V11" s="1">
        <v>31.7598716009838</v>
      </c>
      <c r="W11" s="1">
        <v>29.630063595761399</v>
      </c>
      <c r="X11" s="1">
        <v>25.709208856015699</v>
      </c>
      <c r="Y11" s="7"/>
      <c r="Z11" s="7"/>
      <c r="AA11" s="1">
        <v>26.443301608351799</v>
      </c>
      <c r="AB11" s="1">
        <v>44.273359810517398</v>
      </c>
      <c r="AC11" s="1">
        <v>24.782343813785602</v>
      </c>
      <c r="AD11" s="1">
        <v>29.6036909657956</v>
      </c>
      <c r="AE11" s="7"/>
      <c r="AF11" s="7"/>
    </row>
    <row r="12" spans="2:32" x14ac:dyDescent="0.2">
      <c r="B12" t="s">
        <v>61</v>
      </c>
      <c r="C12" s="1">
        <v>38.184875838524299</v>
      </c>
      <c r="D12" s="1">
        <v>44.631776876952301</v>
      </c>
      <c r="E12" s="1">
        <v>32.649903822803303</v>
      </c>
      <c r="F12" s="1">
        <v>31.3188960822831</v>
      </c>
      <c r="G12" s="7"/>
      <c r="H12" s="7"/>
      <c r="I12" s="1">
        <v>33.749713508158003</v>
      </c>
      <c r="J12" s="1">
        <v>42.023516735015001</v>
      </c>
      <c r="K12" s="1">
        <v>32.789056928195798</v>
      </c>
      <c r="L12" s="1">
        <v>26.0876762258127</v>
      </c>
      <c r="M12" s="7"/>
      <c r="N12" s="7"/>
      <c r="O12" s="1">
        <v>31.2228143648802</v>
      </c>
      <c r="P12" s="1">
        <v>39.440861142757797</v>
      </c>
      <c r="Q12" s="1">
        <v>38.952973146525999</v>
      </c>
      <c r="R12" s="1">
        <v>32.287723583290401</v>
      </c>
      <c r="S12" s="7"/>
      <c r="T12" s="7"/>
      <c r="U12" s="1">
        <v>16.282305134262</v>
      </c>
      <c r="V12" s="1">
        <v>24.809317011476502</v>
      </c>
      <c r="W12" s="1">
        <v>15.5501554912299</v>
      </c>
      <c r="X12" s="1">
        <v>35.097232756995503</v>
      </c>
      <c r="Y12" s="7"/>
      <c r="Z12" s="7"/>
      <c r="AA12" s="1">
        <v>40.243469994913902</v>
      </c>
      <c r="AB12" s="1">
        <v>10.592718944777401</v>
      </c>
      <c r="AC12" s="1">
        <v>10.496040389522101</v>
      </c>
      <c r="AD12" s="1">
        <v>32.262239804415799</v>
      </c>
      <c r="AE12" s="7"/>
      <c r="AF12" s="7"/>
    </row>
    <row r="13" spans="2:32" x14ac:dyDescent="0.2">
      <c r="B13" t="s">
        <v>62</v>
      </c>
      <c r="C13" s="1">
        <v>31.472079729922001</v>
      </c>
      <c r="D13" s="1">
        <v>39.719965270025597</v>
      </c>
      <c r="E13" s="1">
        <v>30.2107168187237</v>
      </c>
      <c r="F13" s="1">
        <v>47.326552067351201</v>
      </c>
      <c r="G13" s="7"/>
      <c r="H13" s="7"/>
      <c r="I13" s="1">
        <v>41.604682671956802</v>
      </c>
      <c r="J13" s="1">
        <v>32.047721137042501</v>
      </c>
      <c r="K13" s="1">
        <v>38.067199605226897</v>
      </c>
      <c r="L13" s="1">
        <v>29.2462698215827</v>
      </c>
      <c r="M13" s="7"/>
      <c r="N13" s="7"/>
      <c r="O13" s="1">
        <v>25.603780927241399</v>
      </c>
      <c r="P13" s="1">
        <v>30.073739766988201</v>
      </c>
      <c r="Q13" s="1">
        <v>29.585957462554699</v>
      </c>
      <c r="R13" s="1">
        <v>24.9682975945524</v>
      </c>
      <c r="S13" s="7"/>
      <c r="T13" s="7"/>
      <c r="U13" s="1">
        <v>21.623781818865599</v>
      </c>
      <c r="V13" s="1">
        <v>29.057990394523799</v>
      </c>
      <c r="W13" s="1">
        <v>24.831232703008499</v>
      </c>
      <c r="X13" s="1">
        <v>38.1431813239858</v>
      </c>
      <c r="Y13" s="7"/>
      <c r="Z13" s="7"/>
      <c r="AA13" s="1">
        <v>20.885047239941098</v>
      </c>
      <c r="AB13" s="1">
        <v>31.108661150909601</v>
      </c>
      <c r="AC13" s="1">
        <v>31.094941926719699</v>
      </c>
      <c r="AD13" s="1">
        <v>15.2202186185913</v>
      </c>
      <c r="AE13" s="7"/>
      <c r="AF13" s="7"/>
    </row>
    <row r="14" spans="2:32" x14ac:dyDescent="0.2">
      <c r="B14" t="s">
        <v>65</v>
      </c>
      <c r="C14" s="1">
        <v>252.27096584313713</v>
      </c>
      <c r="D14" s="1"/>
      <c r="E14" s="1"/>
      <c r="F14" s="1"/>
      <c r="G14" s="7"/>
      <c r="H14" s="7"/>
      <c r="I14" s="1">
        <v>462.68172296274503</v>
      </c>
      <c r="J14" s="1"/>
      <c r="K14" s="1"/>
      <c r="L14" s="1"/>
      <c r="M14" s="7"/>
      <c r="N14" s="7"/>
      <c r="O14" s="1">
        <v>238.245545029412</v>
      </c>
      <c r="P14" s="1"/>
      <c r="Q14" s="1"/>
      <c r="R14" s="1"/>
      <c r="S14" s="7"/>
      <c r="T14" s="7"/>
      <c r="U14" s="1">
        <v>243.43566843137248</v>
      </c>
      <c r="V14" s="1"/>
      <c r="W14" s="1"/>
      <c r="X14" s="1"/>
      <c r="Y14" s="7"/>
      <c r="Z14" s="7"/>
      <c r="AA14" s="1"/>
      <c r="AB14" s="1"/>
      <c r="AC14" s="1"/>
      <c r="AD14" s="1"/>
      <c r="AE14" s="7"/>
      <c r="AF14" s="7"/>
    </row>
    <row r="15" spans="2:32" x14ac:dyDescent="0.2">
      <c r="C15" s="1"/>
      <c r="D15" s="1"/>
      <c r="E15" s="1"/>
      <c r="F15" s="1"/>
      <c r="G15" s="7" t="s">
        <v>24</v>
      </c>
      <c r="H15" s="7" t="s">
        <v>48</v>
      </c>
      <c r="I15" s="1"/>
      <c r="J15" s="1"/>
      <c r="K15" s="1"/>
      <c r="L15" s="1"/>
      <c r="M15" s="7" t="s">
        <v>24</v>
      </c>
      <c r="N15" s="7" t="s">
        <v>48</v>
      </c>
      <c r="O15" s="1"/>
      <c r="P15" s="1"/>
      <c r="Q15" s="1"/>
      <c r="R15" s="1"/>
      <c r="S15" s="7" t="s">
        <v>24</v>
      </c>
      <c r="T15" s="7" t="s">
        <v>48</v>
      </c>
      <c r="U15" s="1"/>
      <c r="V15" s="1"/>
      <c r="W15" s="1"/>
      <c r="X15" s="1"/>
      <c r="Y15" s="7" t="s">
        <v>24</v>
      </c>
      <c r="Z15" s="7" t="s">
        <v>48</v>
      </c>
      <c r="AA15" s="1"/>
      <c r="AB15" s="1"/>
      <c r="AC15" s="1"/>
      <c r="AD15" s="1"/>
      <c r="AE15" s="7" t="s">
        <v>24</v>
      </c>
      <c r="AF15" s="7" t="s">
        <v>48</v>
      </c>
    </row>
    <row r="16" spans="2:32" x14ac:dyDescent="0.2">
      <c r="B16" t="s">
        <v>54</v>
      </c>
      <c r="C16" s="1">
        <f t="shared" ref="C16:F16" si="0">AVERAGE(C5:C7)</f>
        <v>105.174359647451</v>
      </c>
      <c r="D16" s="1">
        <f t="shared" si="0"/>
        <v>103.6422299620221</v>
      </c>
      <c r="E16" s="1">
        <f t="shared" si="0"/>
        <v>109.70028928007383</v>
      </c>
      <c r="F16" s="1">
        <f t="shared" si="0"/>
        <v>100.46960307518198</v>
      </c>
      <c r="G16" s="7">
        <f>AVERAGE(C16:F16)</f>
        <v>104.74662049118223</v>
      </c>
      <c r="H16" s="7">
        <f>STDEV(C16:F16)/SQRT(COUNT(C16:F16))</f>
        <v>1.9199468671795834</v>
      </c>
      <c r="I16" s="1">
        <f t="shared" ref="I16:L16" si="1">AVERAGE(I5:I7)</f>
        <v>96.168854183186113</v>
      </c>
      <c r="J16" s="1">
        <f t="shared" si="1"/>
        <v>97.819580374415338</v>
      </c>
      <c r="K16" s="1">
        <f t="shared" si="1"/>
        <v>101.72751082288283</v>
      </c>
      <c r="L16" s="1">
        <f t="shared" si="1"/>
        <v>100.05693356470277</v>
      </c>
      <c r="M16" s="7">
        <f>AVERAGE(I16:L16)</f>
        <v>98.943219736296768</v>
      </c>
      <c r="N16" s="7">
        <f>STDEV(I16:L16)/SQRT(COUNT(I16:L16))</f>
        <v>1.2231211777075919</v>
      </c>
      <c r="O16" s="1">
        <f t="shared" ref="O16:R16" si="2">AVERAGE(O5:O7)</f>
        <v>96.4404019401601</v>
      </c>
      <c r="P16" s="1">
        <f t="shared" si="2"/>
        <v>93.620538173995669</v>
      </c>
      <c r="Q16" s="1">
        <f t="shared" si="2"/>
        <v>89.554301538765799</v>
      </c>
      <c r="R16" s="1">
        <f t="shared" si="2"/>
        <v>96.75701116350713</v>
      </c>
      <c r="S16" s="7">
        <f>AVERAGE(O16:R16)</f>
        <v>94.093063204107168</v>
      </c>
      <c r="T16" s="7">
        <f>STDEV(O16:R16)/SQRT(COUNT(O16:R16))</f>
        <v>1.6690879553172153</v>
      </c>
      <c r="U16" s="1">
        <f t="shared" ref="U16:X16" si="3">AVERAGE(U5:U7)</f>
        <v>88.234361990380691</v>
      </c>
      <c r="V16" s="1">
        <f t="shared" si="3"/>
        <v>93.829494143841302</v>
      </c>
      <c r="W16" s="1">
        <f t="shared" si="3"/>
        <v>95.005895400290171</v>
      </c>
      <c r="X16" s="1">
        <f t="shared" si="3"/>
        <v>95.321477085517088</v>
      </c>
      <c r="Y16" s="7">
        <f>AVERAGE(U16:X16)</f>
        <v>93.097807155007317</v>
      </c>
      <c r="Z16" s="7">
        <f>STDEV(U16:X16)/SQRT(COUNT(U16:X16))</f>
        <v>1.6526235059897689</v>
      </c>
      <c r="AA16" s="1">
        <f t="shared" ref="AA16:AD16" si="4">AVERAGE(AA5:AA7)</f>
        <v>93.727338539845505</v>
      </c>
      <c r="AB16" s="1">
        <f t="shared" si="4"/>
        <v>84.63041668789468</v>
      </c>
      <c r="AC16" s="1">
        <f t="shared" si="4"/>
        <v>74.430139719540009</v>
      </c>
      <c r="AD16" s="1">
        <f t="shared" si="4"/>
        <v>86.804102951046502</v>
      </c>
      <c r="AE16" s="7">
        <f>AVERAGE(AA16:AD16)</f>
        <v>84.897999474581681</v>
      </c>
      <c r="AF16" s="7">
        <f>STDEV(AA16:AD16)/SQRT(COUNT(AA16:AD16))</f>
        <v>3.9920561451393421</v>
      </c>
    </row>
    <row r="17" spans="2:32" x14ac:dyDescent="0.2">
      <c r="B17" t="s">
        <v>57</v>
      </c>
      <c r="C17" s="1">
        <f t="shared" ref="C17:F17" si="5">AVERAGE(C8:C10)</f>
        <v>69.18574140657546</v>
      </c>
      <c r="D17" s="1">
        <f t="shared" si="5"/>
        <v>70.827077796628004</v>
      </c>
      <c r="E17" s="1">
        <f t="shared" si="5"/>
        <v>72.238354947648162</v>
      </c>
      <c r="F17" s="1">
        <f t="shared" si="5"/>
        <v>64.949418416810602</v>
      </c>
      <c r="G17" s="7">
        <f t="shared" ref="G17:G19" si="6">AVERAGE(C17:F17)</f>
        <v>69.300148141915557</v>
      </c>
      <c r="H17" s="7">
        <f t="shared" ref="H17:H19" si="7">STDEV(C17:F17)/SQRT(COUNT(C17:F17))</f>
        <v>1.578673268013806</v>
      </c>
      <c r="I17" s="1">
        <f t="shared" ref="I17:L17" si="8">AVERAGE(I8:I10)</f>
        <v>66.362486410760241</v>
      </c>
      <c r="J17" s="1">
        <f t="shared" si="8"/>
        <v>65.922974771174992</v>
      </c>
      <c r="K17" s="1">
        <f t="shared" si="8"/>
        <v>69.004398664891241</v>
      </c>
      <c r="L17" s="1">
        <f t="shared" si="8"/>
        <v>75.929158050373999</v>
      </c>
      <c r="M17" s="7">
        <f t="shared" ref="M17:M19" si="9">AVERAGE(I17:L17)</f>
        <v>69.304754474300111</v>
      </c>
      <c r="N17" s="7">
        <f t="shared" ref="N17:N19" si="10">STDEV(I17:L17)/SQRT(COUNT(I17:L17))</f>
        <v>2.3105971751393235</v>
      </c>
      <c r="O17" s="1">
        <f t="shared" ref="O17:R17" si="11">AVERAGE(O8:O10)</f>
        <v>74.238146939722398</v>
      </c>
      <c r="P17" s="1">
        <f t="shared" si="11"/>
        <v>57.265198765164463</v>
      </c>
      <c r="Q17" s="1">
        <f t="shared" si="11"/>
        <v>69.296300825892502</v>
      </c>
      <c r="R17" s="1">
        <f t="shared" si="11"/>
        <v>70.959921440289577</v>
      </c>
      <c r="S17" s="7">
        <f t="shared" ref="S17:S19" si="12">AVERAGE(O17:R17)</f>
        <v>67.93989199276723</v>
      </c>
      <c r="T17" s="7">
        <f t="shared" ref="T17:T19" si="13">STDEV(O17:R17)/SQRT(COUNT(O17:R17))</f>
        <v>3.7033488636048051</v>
      </c>
      <c r="U17" s="1">
        <f t="shared" ref="U17:X17" si="14">AVERAGE(U8:U10)</f>
        <v>69.626508854607337</v>
      </c>
      <c r="V17" s="1">
        <f t="shared" si="14"/>
        <v>74.971854415018058</v>
      </c>
      <c r="W17" s="1">
        <f t="shared" si="14"/>
        <v>77.65558269263876</v>
      </c>
      <c r="X17" s="1">
        <f t="shared" si="14"/>
        <v>69.906462925997175</v>
      </c>
      <c r="Y17" s="7">
        <f t="shared" ref="Y17:Y19" si="15">AVERAGE(U17:X17)</f>
        <v>73.040102222065329</v>
      </c>
      <c r="Z17" s="7">
        <f t="shared" ref="Z17:Z19" si="16">STDEV(U17:X17)/SQRT(COUNT(U17:X17))</f>
        <v>1.9686425404628041</v>
      </c>
      <c r="AA17" s="1">
        <f t="shared" ref="AA17:AD17" si="17">AVERAGE(AA8:AA10)</f>
        <v>65.793398757527598</v>
      </c>
      <c r="AB17" s="1">
        <f t="shared" si="17"/>
        <v>68.301104023555908</v>
      </c>
      <c r="AC17" s="1">
        <f t="shared" si="17"/>
        <v>67.867120762719466</v>
      </c>
      <c r="AD17" s="1">
        <f t="shared" si="17"/>
        <v>77.160464178029542</v>
      </c>
      <c r="AE17" s="7">
        <f t="shared" ref="AE17:AE19" si="18">AVERAGE(AA17:AD17)</f>
        <v>69.780521930458136</v>
      </c>
      <c r="AF17" s="7">
        <f t="shared" ref="AF17:AF19" si="19">STDEV(AA17:AD17)/SQRT(COUNT(AA17:AD17))</f>
        <v>2.5200939160008775</v>
      </c>
    </row>
    <row r="18" spans="2:32" x14ac:dyDescent="0.2">
      <c r="B18" t="s">
        <v>60</v>
      </c>
      <c r="C18" s="1">
        <f t="shared" ref="C18:F18" si="20">AVERAGE(C11:C13)</f>
        <v>35.316147442229834</v>
      </c>
      <c r="D18" s="1">
        <f t="shared" si="20"/>
        <v>40.535012715825999</v>
      </c>
      <c r="E18" s="1">
        <f t="shared" si="20"/>
        <v>34.154936862686732</v>
      </c>
      <c r="F18" s="1">
        <f t="shared" si="20"/>
        <v>39.489922415342797</v>
      </c>
      <c r="G18" s="7">
        <f t="shared" si="6"/>
        <v>37.374004859021341</v>
      </c>
      <c r="H18" s="7">
        <f t="shared" si="7"/>
        <v>1.556337947683591</v>
      </c>
      <c r="I18" s="1">
        <f t="shared" ref="I18:L18" si="21">AVERAGE(I11:I13)</f>
        <v>37.161426749205305</v>
      </c>
      <c r="J18" s="1">
        <f t="shared" si="21"/>
        <v>34.831732948554397</v>
      </c>
      <c r="K18" s="1">
        <f t="shared" si="21"/>
        <v>34.084946388264292</v>
      </c>
      <c r="L18" s="1">
        <f t="shared" si="21"/>
        <v>30.917424985552032</v>
      </c>
      <c r="M18" s="7">
        <f t="shared" si="9"/>
        <v>34.248882767894003</v>
      </c>
      <c r="N18" s="7">
        <f t="shared" si="10"/>
        <v>1.2893187111888951</v>
      </c>
      <c r="O18" s="1">
        <f t="shared" ref="O18:R18" si="22">AVERAGE(O11:O13)</f>
        <v>29.213694322574437</v>
      </c>
      <c r="P18" s="1">
        <f t="shared" si="22"/>
        <v>36.965000715000997</v>
      </c>
      <c r="Q18" s="1">
        <f t="shared" si="22"/>
        <v>35.300570154083303</v>
      </c>
      <c r="R18" s="1">
        <f t="shared" si="22"/>
        <v>31.337620531876397</v>
      </c>
      <c r="S18" s="7">
        <f t="shared" si="12"/>
        <v>33.204221430883784</v>
      </c>
      <c r="T18" s="7">
        <f t="shared" si="13"/>
        <v>1.7782632986388802</v>
      </c>
      <c r="U18" s="1">
        <f t="shared" ref="U18:X18" si="23">AVERAGE(U11:U13)</f>
        <v>22.261979999329629</v>
      </c>
      <c r="V18" s="1">
        <f t="shared" si="23"/>
        <v>28.542393002328037</v>
      </c>
      <c r="W18" s="1">
        <f t="shared" si="23"/>
        <v>23.3371505966666</v>
      </c>
      <c r="X18" s="1">
        <f t="shared" si="23"/>
        <v>32.983207645665665</v>
      </c>
      <c r="Y18" s="7">
        <f t="shared" si="15"/>
        <v>26.781182810997485</v>
      </c>
      <c r="Z18" s="7">
        <f t="shared" si="16"/>
        <v>2.4807849116462872</v>
      </c>
      <c r="AA18" s="1">
        <f t="shared" ref="AA18:AD18" si="24">AVERAGE(AA11:AA13)</f>
        <v>29.190606281068934</v>
      </c>
      <c r="AB18" s="1">
        <f t="shared" si="24"/>
        <v>28.658246635401468</v>
      </c>
      <c r="AC18" s="1">
        <f t="shared" si="24"/>
        <v>22.124442043342469</v>
      </c>
      <c r="AD18" s="1">
        <f t="shared" si="24"/>
        <v>25.695383129600899</v>
      </c>
      <c r="AE18" s="7">
        <f t="shared" si="18"/>
        <v>26.417169522353444</v>
      </c>
      <c r="AF18" s="7">
        <f t="shared" si="19"/>
        <v>1.6243681563159751</v>
      </c>
    </row>
    <row r="19" spans="2:32" x14ac:dyDescent="0.2">
      <c r="B19" t="s">
        <v>66</v>
      </c>
      <c r="C19" s="1">
        <f t="shared" ref="C19:F19" si="25">(C16+2*C17)/3</f>
        <v>81.181947486867315</v>
      </c>
      <c r="D19" s="1">
        <f t="shared" si="25"/>
        <v>81.765461851759369</v>
      </c>
      <c r="E19" s="1">
        <f t="shared" si="25"/>
        <v>84.725666391790057</v>
      </c>
      <c r="F19" s="1">
        <f t="shared" si="25"/>
        <v>76.789479969601061</v>
      </c>
      <c r="G19" s="7">
        <f t="shared" si="6"/>
        <v>81.115638925004461</v>
      </c>
      <c r="H19" s="7">
        <f t="shared" si="7"/>
        <v>1.6374425251968414</v>
      </c>
      <c r="I19" s="1">
        <f t="shared" ref="I19:L19" si="26">(I16+2*I17)/3</f>
        <v>76.297942334902203</v>
      </c>
      <c r="J19" s="1">
        <f t="shared" si="26"/>
        <v>76.555176638921765</v>
      </c>
      <c r="K19" s="1">
        <f t="shared" si="26"/>
        <v>79.912102717555101</v>
      </c>
      <c r="L19" s="1">
        <f t="shared" si="26"/>
        <v>83.971749888483586</v>
      </c>
      <c r="M19" s="7">
        <f t="shared" si="9"/>
        <v>79.184242894965664</v>
      </c>
      <c r="N19" s="7">
        <f t="shared" si="10"/>
        <v>1.7956596614246967</v>
      </c>
      <c r="O19" s="1">
        <f t="shared" ref="O19:R19" si="27">(O16+2*O17)/3</f>
        <v>81.638898606534966</v>
      </c>
      <c r="P19" s="1">
        <f t="shared" si="27"/>
        <v>69.38364523477486</v>
      </c>
      <c r="Q19" s="1">
        <f t="shared" si="27"/>
        <v>76.048967730183605</v>
      </c>
      <c r="R19" s="1">
        <f t="shared" si="27"/>
        <v>79.558951348028756</v>
      </c>
      <c r="S19" s="7">
        <f t="shared" si="12"/>
        <v>76.657615729880547</v>
      </c>
      <c r="T19" s="7">
        <f t="shared" si="13"/>
        <v>2.6850205867862096</v>
      </c>
      <c r="U19" s="1">
        <f t="shared" ref="U19:X19" si="28">(U16+2*U17)/3</f>
        <v>75.829126566531784</v>
      </c>
      <c r="V19" s="1">
        <f t="shared" si="28"/>
        <v>81.257734324625801</v>
      </c>
      <c r="W19" s="1">
        <f t="shared" si="28"/>
        <v>83.439020261855902</v>
      </c>
      <c r="X19" s="1">
        <f t="shared" si="28"/>
        <v>78.378134312503803</v>
      </c>
      <c r="Y19" s="7">
        <f t="shared" si="15"/>
        <v>79.726003866379315</v>
      </c>
      <c r="Z19" s="7">
        <f t="shared" si="16"/>
        <v>1.6617032921606245</v>
      </c>
      <c r="AA19" s="1">
        <f t="shared" ref="AA19:AD19" si="29">(AA16+2*AA17)/3</f>
        <v>75.104712018300233</v>
      </c>
      <c r="AB19" s="1">
        <f t="shared" si="29"/>
        <v>73.744208245002156</v>
      </c>
      <c r="AC19" s="1">
        <f t="shared" si="29"/>
        <v>70.054793748326304</v>
      </c>
      <c r="AD19" s="1">
        <f t="shared" si="29"/>
        <v>80.375010435701867</v>
      </c>
      <c r="AE19" s="7">
        <f t="shared" si="18"/>
        <v>74.819681111832637</v>
      </c>
      <c r="AF19" s="7">
        <f t="shared" si="19"/>
        <v>2.1370485875866665</v>
      </c>
    </row>
    <row r="22" spans="2:32" x14ac:dyDescent="0.2">
      <c r="C22">
        <v>0</v>
      </c>
      <c r="D22">
        <v>1099.2701999999999</v>
      </c>
      <c r="E22">
        <v>-1015.7207</v>
      </c>
      <c r="F22">
        <v>-888.51351999999997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5466.1925000000001</v>
      </c>
    </row>
    <row r="23" spans="2:32" x14ac:dyDescent="0.2">
      <c r="C23">
        <v>1000</v>
      </c>
      <c r="D23">
        <v>1112.7141999999999</v>
      </c>
      <c r="E23">
        <v>-1011.9421</v>
      </c>
      <c r="F23">
        <v>3622.6628999999998</v>
      </c>
      <c r="G23">
        <v>3360.1356000000001</v>
      </c>
      <c r="H23">
        <v>3232.3427999999999</v>
      </c>
      <c r="I23">
        <v>3784.5636</v>
      </c>
      <c r="J23">
        <v>121.32761000000001</v>
      </c>
      <c r="K23">
        <v>1161.0265999999999</v>
      </c>
      <c r="L23">
        <v>-598.30492000000004</v>
      </c>
      <c r="M23">
        <v>5466.1925000000001</v>
      </c>
    </row>
    <row r="24" spans="2:32" x14ac:dyDescent="0.2">
      <c r="C24">
        <v>2000</v>
      </c>
      <c r="D24">
        <v>1120.6101000000001</v>
      </c>
      <c r="E24">
        <v>-1014.6679</v>
      </c>
      <c r="F24">
        <v>-1273.7345</v>
      </c>
      <c r="G24">
        <v>-1903.1039000000001</v>
      </c>
      <c r="H24">
        <v>3583.0437999999999</v>
      </c>
      <c r="I24">
        <v>222.54512</v>
      </c>
      <c r="J24">
        <v>342.02215000000001</v>
      </c>
      <c r="K24">
        <v>12.987857</v>
      </c>
      <c r="L24">
        <v>-1130.7887000000001</v>
      </c>
      <c r="M24">
        <v>5466.1925000000001</v>
      </c>
    </row>
    <row r="25" spans="2:32" x14ac:dyDescent="0.2">
      <c r="C25">
        <v>3000</v>
      </c>
      <c r="D25">
        <v>1268.1024</v>
      </c>
      <c r="E25">
        <v>-1012.5099</v>
      </c>
      <c r="F25">
        <v>747.18632000000002</v>
      </c>
      <c r="G25">
        <v>-2548.3901000000001</v>
      </c>
      <c r="H25">
        <v>638.45438999999999</v>
      </c>
      <c r="I25">
        <v>-2798.3775999999998</v>
      </c>
      <c r="J25">
        <v>-235.90084999999999</v>
      </c>
      <c r="K25">
        <v>-1798.8710000000001</v>
      </c>
      <c r="L25">
        <v>-1531.6858</v>
      </c>
      <c r="M25">
        <v>5466.1925000000001</v>
      </c>
    </row>
    <row r="26" spans="2:32" x14ac:dyDescent="0.2">
      <c r="C26">
        <v>4000</v>
      </c>
      <c r="D26">
        <v>1082.1693</v>
      </c>
      <c r="E26">
        <v>-1014.3733999999999</v>
      </c>
      <c r="F26">
        <v>-657.53254000000004</v>
      </c>
      <c r="G26">
        <v>-1767.0037</v>
      </c>
      <c r="H26">
        <v>1933.1877999999999</v>
      </c>
      <c r="I26">
        <v>-3171.5736000000002</v>
      </c>
      <c r="J26">
        <v>-2075.0592999999999</v>
      </c>
      <c r="K26">
        <v>-277.45339999999999</v>
      </c>
      <c r="L26">
        <v>-1587.2615000000001</v>
      </c>
      <c r="M26">
        <v>5466.1925000000001</v>
      </c>
    </row>
    <row r="27" spans="2:32" x14ac:dyDescent="0.2">
      <c r="C27">
        <v>5000</v>
      </c>
      <c r="D27">
        <v>1139.8575000000001</v>
      </c>
      <c r="E27">
        <v>-1011.2208000000001</v>
      </c>
      <c r="F27">
        <v>1421.0564999999999</v>
      </c>
      <c r="G27">
        <v>2611.8919999999998</v>
      </c>
      <c r="H27">
        <v>2882.6509999999998</v>
      </c>
      <c r="I27">
        <v>1839.9517000000001</v>
      </c>
      <c r="J27">
        <v>-371.29448000000002</v>
      </c>
      <c r="K27">
        <v>-921.50221999999997</v>
      </c>
      <c r="L27">
        <v>-616.41603999999995</v>
      </c>
      <c r="M27">
        <v>5466.1925000000001</v>
      </c>
    </row>
    <row r="28" spans="2:32" x14ac:dyDescent="0.2">
      <c r="C28">
        <v>6000</v>
      </c>
      <c r="D28">
        <v>1106.6405</v>
      </c>
      <c r="E28">
        <v>-1016.8805</v>
      </c>
      <c r="F28">
        <v>220.06395000000001</v>
      </c>
      <c r="G28">
        <v>3358.3746999999998</v>
      </c>
      <c r="H28">
        <v>3132.0405000000001</v>
      </c>
      <c r="I28">
        <v>3548.8508000000002</v>
      </c>
      <c r="J28">
        <v>-708.72906999999998</v>
      </c>
      <c r="K28">
        <v>185.49115</v>
      </c>
      <c r="L28">
        <v>-376.76280000000003</v>
      </c>
      <c r="M28">
        <v>5466.1925000000001</v>
      </c>
    </row>
    <row r="29" spans="2:32" x14ac:dyDescent="0.2">
      <c r="C29">
        <v>7000</v>
      </c>
      <c r="D29">
        <v>1114.4184</v>
      </c>
      <c r="E29">
        <v>-1014.5273</v>
      </c>
      <c r="F29">
        <v>1052.0664999999999</v>
      </c>
      <c r="G29">
        <v>-587.41628000000003</v>
      </c>
      <c r="H29">
        <v>311.71776999999997</v>
      </c>
      <c r="I29">
        <v>2053.9580999999998</v>
      </c>
      <c r="J29">
        <v>-1751.5409</v>
      </c>
      <c r="K29">
        <v>1529.3661</v>
      </c>
      <c r="L29">
        <v>-876.62261000000001</v>
      </c>
      <c r="M29">
        <v>5466.1925000000001</v>
      </c>
    </row>
    <row r="30" spans="2:32" x14ac:dyDescent="0.2">
      <c r="C30">
        <v>8000</v>
      </c>
      <c r="D30">
        <v>1086.6066000000001</v>
      </c>
      <c r="E30">
        <v>-1016.6818</v>
      </c>
      <c r="F30">
        <v>2362.4596000000001</v>
      </c>
      <c r="G30">
        <v>-1127.193</v>
      </c>
      <c r="H30">
        <v>-880.71915999999999</v>
      </c>
      <c r="I30">
        <v>680.47193000000004</v>
      </c>
      <c r="J30">
        <v>-1586.0608</v>
      </c>
      <c r="K30">
        <v>1083.4974</v>
      </c>
      <c r="L30">
        <v>86.387761999999995</v>
      </c>
      <c r="M30">
        <v>5466.1925000000001</v>
      </c>
    </row>
    <row r="31" spans="2:32" x14ac:dyDescent="0.2">
      <c r="C31">
        <v>9000</v>
      </c>
      <c r="D31">
        <v>1174.5309999999999</v>
      </c>
      <c r="E31">
        <v>-1018.207</v>
      </c>
      <c r="F31">
        <v>1254.8407999999999</v>
      </c>
      <c r="G31">
        <v>2264.4762000000001</v>
      </c>
      <c r="H31">
        <v>-592.07378000000006</v>
      </c>
      <c r="I31">
        <v>1047.7396000000001</v>
      </c>
      <c r="J31">
        <v>241.15021999999999</v>
      </c>
      <c r="K31">
        <v>-1415.6377</v>
      </c>
      <c r="L31">
        <v>-1232.4981</v>
      </c>
      <c r="M31">
        <v>5466.1925000000001</v>
      </c>
    </row>
    <row r="32" spans="2:32" x14ac:dyDescent="0.2">
      <c r="C32">
        <v>10000</v>
      </c>
      <c r="D32">
        <v>1107.4395999999999</v>
      </c>
      <c r="E32">
        <v>-1016.2732999999999</v>
      </c>
      <c r="F32">
        <v>4280.8663999999999</v>
      </c>
      <c r="G32">
        <v>3015.5589</v>
      </c>
      <c r="H32">
        <v>3418.3310999999999</v>
      </c>
      <c r="I32">
        <v>2128.0772999999999</v>
      </c>
      <c r="J32">
        <v>441.75407999999999</v>
      </c>
      <c r="K32">
        <v>-34.727715000000003</v>
      </c>
      <c r="L32">
        <v>-209.24401</v>
      </c>
      <c r="M32">
        <v>5466.1925000000001</v>
      </c>
    </row>
    <row r="33" spans="3:13" x14ac:dyDescent="0.2">
      <c r="C33">
        <v>11000</v>
      </c>
      <c r="D33">
        <v>1045.7016000000001</v>
      </c>
      <c r="E33">
        <v>-1015.4283</v>
      </c>
      <c r="F33">
        <v>446.23496</v>
      </c>
      <c r="G33">
        <v>2773.1597000000002</v>
      </c>
      <c r="H33">
        <v>670.66747999999995</v>
      </c>
      <c r="I33">
        <v>2493.029</v>
      </c>
      <c r="J33">
        <v>2964.9220999999998</v>
      </c>
      <c r="K33">
        <v>1507.9301</v>
      </c>
      <c r="L33">
        <v>1513.7863</v>
      </c>
      <c r="M33">
        <v>5466.1925000000001</v>
      </c>
    </row>
    <row r="34" spans="3:13" x14ac:dyDescent="0.2">
      <c r="C34">
        <v>12000</v>
      </c>
      <c r="D34">
        <v>1102.4099000000001</v>
      </c>
      <c r="E34">
        <v>-1016.4321</v>
      </c>
      <c r="F34">
        <v>-1391.5262</v>
      </c>
      <c r="G34">
        <v>753.72546999999997</v>
      </c>
      <c r="H34">
        <v>768.03355999999997</v>
      </c>
      <c r="I34">
        <v>2118.6214</v>
      </c>
      <c r="J34">
        <v>1385.6849999999999</v>
      </c>
      <c r="K34">
        <v>-1579.0749000000001</v>
      </c>
      <c r="L34">
        <v>-925.03096000000005</v>
      </c>
      <c r="M34">
        <v>5466.1925000000001</v>
      </c>
    </row>
    <row r="35" spans="3:13" x14ac:dyDescent="0.2">
      <c r="C35">
        <v>13000</v>
      </c>
      <c r="D35">
        <v>1069.9122</v>
      </c>
      <c r="E35">
        <v>-1014.9068</v>
      </c>
      <c r="F35">
        <v>182.22971000000001</v>
      </c>
      <c r="G35">
        <v>-2882.0140000000001</v>
      </c>
      <c r="H35">
        <v>-59.466656</v>
      </c>
      <c r="I35">
        <v>2543.6963999999998</v>
      </c>
      <c r="J35">
        <v>880.26187000000004</v>
      </c>
      <c r="K35">
        <v>-1678.4373000000001</v>
      </c>
      <c r="L35">
        <v>-1268.3054999999999</v>
      </c>
      <c r="M35">
        <v>5466.1925000000001</v>
      </c>
    </row>
    <row r="36" spans="3:13" x14ac:dyDescent="0.2">
      <c r="C36">
        <v>14000</v>
      </c>
      <c r="D36">
        <v>1033.1972000000001</v>
      </c>
      <c r="E36">
        <v>-1014.6291</v>
      </c>
      <c r="F36">
        <v>698.39932999999996</v>
      </c>
      <c r="G36">
        <v>-1035.6684</v>
      </c>
      <c r="H36">
        <v>-1023.8662</v>
      </c>
      <c r="I36">
        <v>-367.43833999999998</v>
      </c>
      <c r="J36">
        <v>1060.4356</v>
      </c>
      <c r="K36">
        <v>-159.35106999999999</v>
      </c>
      <c r="L36">
        <v>-1920.0046</v>
      </c>
      <c r="M36">
        <v>5466.1925000000001</v>
      </c>
    </row>
    <row r="37" spans="3:13" x14ac:dyDescent="0.2">
      <c r="C37">
        <v>15000</v>
      </c>
      <c r="D37">
        <v>1187.3584000000001</v>
      </c>
      <c r="E37">
        <v>-1015.1028</v>
      </c>
      <c r="F37">
        <v>549.49607000000003</v>
      </c>
      <c r="G37">
        <v>-3524.1981000000001</v>
      </c>
      <c r="H37">
        <v>-1187.5607</v>
      </c>
      <c r="I37">
        <v>1220.9806000000001</v>
      </c>
      <c r="J37">
        <v>2453.7260999999999</v>
      </c>
      <c r="K37">
        <v>1300.2534000000001</v>
      </c>
      <c r="L37">
        <v>-1131.7280000000001</v>
      </c>
      <c r="M37">
        <v>5466.1925000000001</v>
      </c>
    </row>
    <row r="38" spans="3:13" x14ac:dyDescent="0.2">
      <c r="C38">
        <v>16000</v>
      </c>
      <c r="D38">
        <v>1126.7635</v>
      </c>
      <c r="E38">
        <v>-1015.4515</v>
      </c>
      <c r="F38">
        <v>1158.7063000000001</v>
      </c>
      <c r="G38">
        <v>-2813.7842000000001</v>
      </c>
      <c r="H38">
        <v>-3335.4859000000001</v>
      </c>
      <c r="I38">
        <v>532.18264999999997</v>
      </c>
      <c r="J38">
        <v>1551.6996999999999</v>
      </c>
      <c r="K38">
        <v>795.77720999999997</v>
      </c>
      <c r="L38">
        <v>84.827780000000004</v>
      </c>
      <c r="M38">
        <v>5466.1925000000001</v>
      </c>
    </row>
    <row r="39" spans="3:13" x14ac:dyDescent="0.2">
      <c r="C39">
        <v>17000</v>
      </c>
      <c r="D39">
        <v>1065.1619000000001</v>
      </c>
      <c r="E39">
        <v>-1015.0451</v>
      </c>
      <c r="F39">
        <v>412.50986999999998</v>
      </c>
      <c r="G39">
        <v>-1406.5201</v>
      </c>
      <c r="H39">
        <v>704.43499999999995</v>
      </c>
      <c r="I39">
        <v>2020.6112000000001</v>
      </c>
      <c r="J39">
        <v>513.80172000000005</v>
      </c>
      <c r="K39">
        <v>1349.7391</v>
      </c>
      <c r="L39">
        <v>-1978.2317</v>
      </c>
      <c r="M39">
        <v>5466.1925000000001</v>
      </c>
    </row>
    <row r="40" spans="3:13" x14ac:dyDescent="0.2">
      <c r="C40">
        <v>18000</v>
      </c>
      <c r="D40">
        <v>1170.1911</v>
      </c>
      <c r="E40">
        <v>-1012.082</v>
      </c>
      <c r="F40">
        <v>2302.2849000000001</v>
      </c>
      <c r="G40">
        <v>-1229.3385000000001</v>
      </c>
      <c r="H40">
        <v>914.46920999999998</v>
      </c>
      <c r="I40">
        <v>1138.3726999999999</v>
      </c>
      <c r="J40">
        <v>-37.470168000000001</v>
      </c>
      <c r="K40">
        <v>-493.22672</v>
      </c>
      <c r="L40">
        <v>-16.838303</v>
      </c>
      <c r="M40">
        <v>5466.1925000000001</v>
      </c>
    </row>
    <row r="41" spans="3:13" x14ac:dyDescent="0.2">
      <c r="C41">
        <v>19000</v>
      </c>
      <c r="D41">
        <v>1173.7212999999999</v>
      </c>
      <c r="E41">
        <v>-1016.5022</v>
      </c>
      <c r="F41">
        <v>-1653.6695</v>
      </c>
      <c r="G41">
        <v>1880.9765</v>
      </c>
      <c r="H41">
        <v>719.38589999999999</v>
      </c>
      <c r="I41">
        <v>1498.7851000000001</v>
      </c>
      <c r="J41">
        <v>1962.5894000000001</v>
      </c>
      <c r="K41">
        <v>-1318.1391000000001</v>
      </c>
      <c r="L41">
        <v>245.79648</v>
      </c>
      <c r="M41">
        <v>5466.1925000000001</v>
      </c>
    </row>
    <row r="42" spans="3:13" x14ac:dyDescent="0.2">
      <c r="C42">
        <v>20000</v>
      </c>
      <c r="D42">
        <v>1156.7218</v>
      </c>
      <c r="E42">
        <v>-1016.1932</v>
      </c>
      <c r="F42">
        <v>662.09735000000001</v>
      </c>
      <c r="G42">
        <v>5711.7101000000002</v>
      </c>
      <c r="H42">
        <v>-2049.4904000000001</v>
      </c>
      <c r="I42">
        <v>3241.1163999999999</v>
      </c>
      <c r="J42">
        <v>-933.22522000000004</v>
      </c>
      <c r="K42">
        <v>1162.7108000000001</v>
      </c>
      <c r="L42">
        <v>557.97253999999998</v>
      </c>
      <c r="M42">
        <v>5466.1925000000001</v>
      </c>
    </row>
    <row r="43" spans="3:13" x14ac:dyDescent="0.2">
      <c r="C43">
        <v>21000</v>
      </c>
      <c r="D43">
        <v>999.58556999999996</v>
      </c>
      <c r="E43">
        <v>-1017.2003999999999</v>
      </c>
      <c r="F43">
        <v>-1493.9852000000001</v>
      </c>
      <c r="G43">
        <v>4809.4228999999996</v>
      </c>
      <c r="H43">
        <v>-2639.4890999999998</v>
      </c>
      <c r="I43">
        <v>798.00022000000001</v>
      </c>
      <c r="J43">
        <v>-189.56384</v>
      </c>
      <c r="K43">
        <v>-1098.6633999999999</v>
      </c>
      <c r="L43">
        <v>1368.3861999999999</v>
      </c>
      <c r="M43">
        <v>5466.1925000000001</v>
      </c>
    </row>
    <row r="44" spans="3:13" x14ac:dyDescent="0.2">
      <c r="C44">
        <v>22000</v>
      </c>
      <c r="D44">
        <v>1040.7614000000001</v>
      </c>
      <c r="E44">
        <v>-1015.6087</v>
      </c>
      <c r="F44">
        <v>-833.39558</v>
      </c>
      <c r="G44">
        <v>2092.3733999999999</v>
      </c>
      <c r="H44">
        <v>1729.4353000000001</v>
      </c>
      <c r="I44">
        <v>3874.2417</v>
      </c>
      <c r="J44">
        <v>636.33056999999997</v>
      </c>
      <c r="K44">
        <v>-1271.6433999999999</v>
      </c>
      <c r="L44">
        <v>2506.6489000000001</v>
      </c>
      <c r="M44">
        <v>5466.1925000000001</v>
      </c>
    </row>
    <row r="45" spans="3:13" x14ac:dyDescent="0.2">
      <c r="C45">
        <v>23000</v>
      </c>
      <c r="D45">
        <v>1064.694</v>
      </c>
      <c r="E45">
        <v>-1014.8115</v>
      </c>
      <c r="F45">
        <v>-1712.2303999999999</v>
      </c>
      <c r="G45">
        <v>1509.5458000000001</v>
      </c>
      <c r="H45">
        <v>1267.857</v>
      </c>
      <c r="I45">
        <v>-3801.9402</v>
      </c>
      <c r="J45">
        <v>-901.60335999999995</v>
      </c>
      <c r="K45">
        <v>-1447.1759999999999</v>
      </c>
      <c r="L45">
        <v>685.68196</v>
      </c>
      <c r="M45">
        <v>5466.1925000000001</v>
      </c>
    </row>
    <row r="46" spans="3:13" x14ac:dyDescent="0.2">
      <c r="C46">
        <v>24000</v>
      </c>
      <c r="D46">
        <v>1076.9385</v>
      </c>
      <c r="E46">
        <v>-1015.6004</v>
      </c>
      <c r="F46">
        <v>1717.8544999999999</v>
      </c>
      <c r="G46">
        <v>1000.93</v>
      </c>
      <c r="H46">
        <v>10.256690000000001</v>
      </c>
      <c r="I46">
        <v>-4136.5389999999998</v>
      </c>
      <c r="J46">
        <v>-930.17562999999996</v>
      </c>
      <c r="K46">
        <v>-891.80922999999996</v>
      </c>
      <c r="L46">
        <v>-218.2576</v>
      </c>
      <c r="M46">
        <v>5466.1925000000001</v>
      </c>
    </row>
    <row r="47" spans="3:13" x14ac:dyDescent="0.2">
      <c r="C47">
        <v>25000</v>
      </c>
      <c r="D47">
        <v>1025.01</v>
      </c>
      <c r="E47">
        <v>-1016.5008</v>
      </c>
      <c r="F47">
        <v>1735.9558999999999</v>
      </c>
      <c r="G47">
        <v>-981.77299000000005</v>
      </c>
      <c r="H47">
        <v>1512.8459</v>
      </c>
      <c r="I47">
        <v>-1680.8339000000001</v>
      </c>
      <c r="J47">
        <v>-2357.1374000000001</v>
      </c>
      <c r="K47">
        <v>-1059.7131999999999</v>
      </c>
      <c r="L47">
        <v>1018.7975</v>
      </c>
      <c r="M47">
        <v>5466.1925000000001</v>
      </c>
    </row>
    <row r="48" spans="3:13" x14ac:dyDescent="0.2">
      <c r="C48">
        <v>26000</v>
      </c>
      <c r="D48">
        <v>1098.8313000000001</v>
      </c>
      <c r="E48">
        <v>-1013.4118999999999</v>
      </c>
      <c r="F48">
        <v>1084.2047</v>
      </c>
      <c r="G48">
        <v>547.20861000000002</v>
      </c>
      <c r="H48">
        <v>1036.6333</v>
      </c>
      <c r="I48">
        <v>-825.44636000000003</v>
      </c>
      <c r="J48">
        <v>-662.79084999999998</v>
      </c>
      <c r="K48">
        <v>-1275.1323</v>
      </c>
      <c r="L48">
        <v>-915.84232999999995</v>
      </c>
      <c r="M48">
        <v>5466.1925000000001</v>
      </c>
    </row>
    <row r="49" spans="3:13" x14ac:dyDescent="0.2">
      <c r="C49">
        <v>27000</v>
      </c>
      <c r="D49">
        <v>1158.3217</v>
      </c>
      <c r="E49">
        <v>-1014.8669</v>
      </c>
      <c r="F49">
        <v>-452.07033000000001</v>
      </c>
      <c r="G49">
        <v>-186.08237</v>
      </c>
      <c r="H49">
        <v>247.38532000000001</v>
      </c>
      <c r="I49">
        <v>-1227.3054</v>
      </c>
      <c r="J49">
        <v>179.46825000000001</v>
      </c>
      <c r="K49">
        <v>-1343.2346</v>
      </c>
      <c r="L49">
        <v>-1542.6578999999999</v>
      </c>
      <c r="M49">
        <v>5466.1925000000001</v>
      </c>
    </row>
    <row r="50" spans="3:13" x14ac:dyDescent="0.2">
      <c r="C50">
        <v>28000</v>
      </c>
      <c r="D50">
        <v>1081.7916</v>
      </c>
      <c r="E50">
        <v>-1014.4121</v>
      </c>
      <c r="F50">
        <v>3394.6325000000002</v>
      </c>
      <c r="G50">
        <v>250.13549</v>
      </c>
      <c r="H50">
        <v>2089.6516999999999</v>
      </c>
      <c r="I50">
        <v>-873.65949000000001</v>
      </c>
      <c r="J50">
        <v>1186.4819</v>
      </c>
      <c r="K50">
        <v>373.90845000000002</v>
      </c>
      <c r="L50">
        <v>-124.61378999999999</v>
      </c>
      <c r="M50">
        <v>5466.1925000000001</v>
      </c>
    </row>
    <row r="51" spans="3:13" x14ac:dyDescent="0.2">
      <c r="C51">
        <v>29000</v>
      </c>
      <c r="D51">
        <v>1097.2639999999999</v>
      </c>
      <c r="E51">
        <v>-1014.4179</v>
      </c>
      <c r="F51">
        <v>1967.2791</v>
      </c>
      <c r="G51">
        <v>3517.8569000000002</v>
      </c>
      <c r="H51">
        <v>77.174862000000005</v>
      </c>
      <c r="I51">
        <v>48.604452999999999</v>
      </c>
      <c r="J51">
        <v>-1521.3597</v>
      </c>
      <c r="K51">
        <v>1439.1292000000001</v>
      </c>
      <c r="L51">
        <v>2513.7053999999998</v>
      </c>
      <c r="M51">
        <v>5466.1925000000001</v>
      </c>
    </row>
    <row r="52" spans="3:13" x14ac:dyDescent="0.2">
      <c r="C52">
        <v>30000</v>
      </c>
      <c r="D52">
        <v>1087.7443000000001</v>
      </c>
      <c r="E52">
        <v>-1013.6073</v>
      </c>
      <c r="F52">
        <v>2548.7691</v>
      </c>
      <c r="G52">
        <v>4443.5069000000003</v>
      </c>
      <c r="H52">
        <v>-2216.5531999999998</v>
      </c>
      <c r="I52">
        <v>-845.69875999999999</v>
      </c>
      <c r="J52">
        <v>627.17112999999995</v>
      </c>
      <c r="K52">
        <v>-1705.8543999999999</v>
      </c>
      <c r="L52">
        <v>-412.95396</v>
      </c>
      <c r="M52">
        <v>5466.1925000000001</v>
      </c>
    </row>
    <row r="53" spans="3:13" x14ac:dyDescent="0.2">
      <c r="C53">
        <v>31000</v>
      </c>
      <c r="D53">
        <v>1190.5979</v>
      </c>
      <c r="E53">
        <v>-1016.7993</v>
      </c>
      <c r="F53">
        <v>-1110.4177</v>
      </c>
      <c r="G53">
        <v>2371.7258000000002</v>
      </c>
      <c r="H53">
        <v>-829.56394</v>
      </c>
      <c r="I53">
        <v>-1529.9657999999999</v>
      </c>
      <c r="J53">
        <v>118.27269</v>
      </c>
      <c r="K53">
        <v>-1177.5509</v>
      </c>
      <c r="L53">
        <v>614.45908999999995</v>
      </c>
      <c r="M53">
        <v>5466.1925000000001</v>
      </c>
    </row>
    <row r="54" spans="3:13" x14ac:dyDescent="0.2">
      <c r="C54">
        <v>32000</v>
      </c>
      <c r="D54">
        <v>1101.1615999999999</v>
      </c>
      <c r="E54">
        <v>-1017.7672</v>
      </c>
      <c r="F54">
        <v>-1634.7606000000001</v>
      </c>
      <c r="G54">
        <v>-620.35729000000003</v>
      </c>
      <c r="H54">
        <v>-2954.2184999999999</v>
      </c>
      <c r="I54">
        <v>-1000.5653</v>
      </c>
      <c r="J54">
        <v>207.58707999999999</v>
      </c>
      <c r="K54">
        <v>471.48907000000003</v>
      </c>
      <c r="L54">
        <v>-624.07602999999995</v>
      </c>
      <c r="M54">
        <v>5466.1925000000001</v>
      </c>
    </row>
    <row r="55" spans="3:13" x14ac:dyDescent="0.2">
      <c r="C55">
        <v>33000</v>
      </c>
      <c r="D55">
        <v>1052.9490000000001</v>
      </c>
      <c r="E55">
        <v>-1012.8806</v>
      </c>
      <c r="F55">
        <v>3428.0684999999999</v>
      </c>
      <c r="G55">
        <v>1921.6687999999999</v>
      </c>
      <c r="H55">
        <v>1636.7253000000001</v>
      </c>
      <c r="I55">
        <v>-2004.6539</v>
      </c>
      <c r="J55">
        <v>-57.195290999999997</v>
      </c>
      <c r="K55">
        <v>-208.65056000000001</v>
      </c>
      <c r="L55">
        <v>1112.7826</v>
      </c>
      <c r="M55">
        <v>5466.1925000000001</v>
      </c>
    </row>
    <row r="56" spans="3:13" x14ac:dyDescent="0.2">
      <c r="C56">
        <v>34000</v>
      </c>
      <c r="D56">
        <v>1052.3009</v>
      </c>
      <c r="E56">
        <v>-1018.3579</v>
      </c>
      <c r="F56">
        <v>-1898.3504</v>
      </c>
      <c r="G56">
        <v>1023.6163</v>
      </c>
      <c r="H56">
        <v>1499.6750999999999</v>
      </c>
      <c r="I56">
        <v>-2542.3341999999998</v>
      </c>
      <c r="J56">
        <v>-906.99836000000005</v>
      </c>
      <c r="K56">
        <v>1025.5132000000001</v>
      </c>
      <c r="L56">
        <v>2531.9513999999999</v>
      </c>
      <c r="M56">
        <v>5466.1925000000001</v>
      </c>
    </row>
    <row r="57" spans="3:13" x14ac:dyDescent="0.2">
      <c r="C57">
        <v>35000</v>
      </c>
      <c r="D57">
        <v>1071.9969000000001</v>
      </c>
      <c r="E57">
        <v>-1015.2612</v>
      </c>
      <c r="F57">
        <v>-1296.2908</v>
      </c>
      <c r="G57">
        <v>-340.08280999999999</v>
      </c>
      <c r="H57">
        <v>-128.72172</v>
      </c>
      <c r="I57">
        <v>257.21480000000003</v>
      </c>
      <c r="J57">
        <v>329.4289</v>
      </c>
      <c r="K57">
        <v>43.059769000000003</v>
      </c>
      <c r="L57">
        <v>1470.5551</v>
      </c>
      <c r="M57">
        <v>5466.1925000000001</v>
      </c>
    </row>
    <row r="58" spans="3:13" x14ac:dyDescent="0.2">
      <c r="C58">
        <v>36000</v>
      </c>
      <c r="D58">
        <v>1152.3231000000001</v>
      </c>
      <c r="E58">
        <v>-1014.583</v>
      </c>
      <c r="F58">
        <v>1724.8746000000001</v>
      </c>
      <c r="G58">
        <v>-300.16394000000003</v>
      </c>
      <c r="H58">
        <v>-215.78421</v>
      </c>
      <c r="I58">
        <v>3849.3670999999999</v>
      </c>
      <c r="J58">
        <v>4.4354171999999998</v>
      </c>
      <c r="K58">
        <v>273.83377000000002</v>
      </c>
      <c r="L58">
        <v>710.95650999999998</v>
      </c>
      <c r="M58">
        <v>5466.1925000000001</v>
      </c>
    </row>
    <row r="59" spans="3:13" x14ac:dyDescent="0.2">
      <c r="C59">
        <v>37000</v>
      </c>
      <c r="D59">
        <v>1069.0530000000001</v>
      </c>
      <c r="E59">
        <v>-1015.0422</v>
      </c>
      <c r="F59">
        <v>1084.8454999999999</v>
      </c>
      <c r="G59">
        <v>-1713.7653</v>
      </c>
      <c r="H59">
        <v>-942.49626000000001</v>
      </c>
      <c r="I59">
        <v>-1793.1693</v>
      </c>
      <c r="J59">
        <v>317.39055000000002</v>
      </c>
      <c r="K59">
        <v>939.66534000000001</v>
      </c>
      <c r="L59">
        <v>1317.8495</v>
      </c>
      <c r="M59">
        <v>5466.1925000000001</v>
      </c>
    </row>
    <row r="60" spans="3:13" x14ac:dyDescent="0.2">
      <c r="C60">
        <v>38000</v>
      </c>
      <c r="D60">
        <v>999.26635999999996</v>
      </c>
      <c r="E60">
        <v>-1014.6864</v>
      </c>
      <c r="F60">
        <v>-5668.1268</v>
      </c>
      <c r="G60">
        <v>-1779.4902999999999</v>
      </c>
      <c r="H60">
        <v>-4130.4908999999998</v>
      </c>
      <c r="I60">
        <v>-2286.7806</v>
      </c>
      <c r="J60">
        <v>-694.22334000000001</v>
      </c>
      <c r="K60">
        <v>-183.54934</v>
      </c>
      <c r="L60">
        <v>-340.64003000000002</v>
      </c>
      <c r="M60">
        <v>5466.1925000000001</v>
      </c>
    </row>
    <row r="61" spans="3:13" x14ac:dyDescent="0.2">
      <c r="C61">
        <v>39000</v>
      </c>
      <c r="D61">
        <v>1196.5392999999999</v>
      </c>
      <c r="E61">
        <v>-1012.0006</v>
      </c>
      <c r="F61">
        <v>-1724.0301999999999</v>
      </c>
      <c r="G61">
        <v>-3001.2127999999998</v>
      </c>
      <c r="H61">
        <v>-2410.3040000000001</v>
      </c>
      <c r="I61">
        <v>-2883.4207999999999</v>
      </c>
      <c r="J61">
        <v>-1289.2927999999999</v>
      </c>
      <c r="K61">
        <v>1010.5778</v>
      </c>
      <c r="L61">
        <v>1455.6814999999999</v>
      </c>
      <c r="M61">
        <v>5466.1925000000001</v>
      </c>
    </row>
    <row r="62" spans="3:13" x14ac:dyDescent="0.2">
      <c r="C62">
        <v>40000</v>
      </c>
      <c r="D62">
        <v>1200.4894999999999</v>
      </c>
      <c r="E62">
        <v>-1012.9295</v>
      </c>
      <c r="F62">
        <v>1166.8897999999999</v>
      </c>
      <c r="G62">
        <v>475.71107999999998</v>
      </c>
      <c r="H62">
        <v>-1753.5586000000001</v>
      </c>
      <c r="I62">
        <v>-3178.0852</v>
      </c>
      <c r="J62">
        <v>-1158.1195</v>
      </c>
      <c r="K62">
        <v>-263.96633000000003</v>
      </c>
      <c r="L62">
        <v>1905.7125000000001</v>
      </c>
      <c r="M62">
        <v>5466.1925000000001</v>
      </c>
    </row>
    <row r="63" spans="3:13" x14ac:dyDescent="0.2">
      <c r="C63">
        <v>41000</v>
      </c>
      <c r="D63">
        <v>1063.0462</v>
      </c>
      <c r="E63">
        <v>-1014.4648</v>
      </c>
      <c r="F63">
        <v>-1777.8244</v>
      </c>
      <c r="G63">
        <v>311.59392000000003</v>
      </c>
      <c r="H63">
        <v>-1328.7379000000001</v>
      </c>
      <c r="I63">
        <v>1616.7365</v>
      </c>
      <c r="J63">
        <v>-1182.7538999999999</v>
      </c>
      <c r="K63">
        <v>-1283.6969999999999</v>
      </c>
      <c r="L63">
        <v>-269.19175000000001</v>
      </c>
      <c r="M63">
        <v>5466.1925000000001</v>
      </c>
    </row>
    <row r="64" spans="3:13" x14ac:dyDescent="0.2">
      <c r="C64">
        <v>42000</v>
      </c>
      <c r="D64">
        <v>1096.0657000000001</v>
      </c>
      <c r="E64">
        <v>-1013.9295</v>
      </c>
      <c r="F64">
        <v>-2613.8782999999999</v>
      </c>
      <c r="G64">
        <v>-3090.6801</v>
      </c>
      <c r="H64">
        <v>-4687.6562999999996</v>
      </c>
      <c r="I64">
        <v>-3145.6115</v>
      </c>
      <c r="J64">
        <v>-786.17195000000004</v>
      </c>
      <c r="K64">
        <v>-2338.6408000000001</v>
      </c>
      <c r="L64">
        <v>19.502594999999999</v>
      </c>
      <c r="M64">
        <v>5466.1925000000001</v>
      </c>
    </row>
    <row r="65" spans="3:13" x14ac:dyDescent="0.2">
      <c r="C65">
        <v>43000</v>
      </c>
      <c r="D65">
        <v>1070.0078000000001</v>
      </c>
      <c r="E65">
        <v>-1012.8348999999999</v>
      </c>
      <c r="F65">
        <v>-2951.9721</v>
      </c>
      <c r="G65">
        <v>-1291.0900999999999</v>
      </c>
      <c r="H65">
        <v>-4378.7237999999998</v>
      </c>
      <c r="I65">
        <v>-1593.8026</v>
      </c>
      <c r="J65">
        <v>-1074.2666999999999</v>
      </c>
      <c r="K65">
        <v>48.062213</v>
      </c>
      <c r="L65">
        <v>609.74617000000001</v>
      </c>
      <c r="M65">
        <v>5466.1925000000001</v>
      </c>
    </row>
    <row r="66" spans="3:13" x14ac:dyDescent="0.2">
      <c r="C66">
        <v>44000</v>
      </c>
      <c r="D66">
        <v>1129.1366</v>
      </c>
      <c r="E66">
        <v>-1013.2863</v>
      </c>
      <c r="F66">
        <v>2351.6477</v>
      </c>
      <c r="G66">
        <v>1592.9412</v>
      </c>
      <c r="H66">
        <v>-2637.2566999999999</v>
      </c>
      <c r="I66">
        <v>1218.3063</v>
      </c>
      <c r="J66">
        <v>-434.87479999999999</v>
      </c>
      <c r="K66">
        <v>-408.62653999999998</v>
      </c>
      <c r="L66">
        <v>-89.932473999999999</v>
      </c>
      <c r="M66">
        <v>5466.1925000000001</v>
      </c>
    </row>
    <row r="67" spans="3:13" x14ac:dyDescent="0.2">
      <c r="C67">
        <v>45000</v>
      </c>
      <c r="D67">
        <v>979.75652000000002</v>
      </c>
      <c r="E67">
        <v>-1016.4894</v>
      </c>
      <c r="F67">
        <v>2850.82</v>
      </c>
      <c r="G67">
        <v>3265.4789000000001</v>
      </c>
      <c r="H67">
        <v>974.57137999999998</v>
      </c>
      <c r="I67">
        <v>-718.78508999999997</v>
      </c>
      <c r="J67">
        <v>431.11626999999999</v>
      </c>
      <c r="K67">
        <v>-101.30432999999999</v>
      </c>
      <c r="L67">
        <v>1396.4622999999999</v>
      </c>
      <c r="M67">
        <v>5466.1925000000001</v>
      </c>
    </row>
    <row r="68" spans="3:13" x14ac:dyDescent="0.2">
      <c r="C68">
        <v>46000</v>
      </c>
      <c r="D68">
        <v>1052.8536999999999</v>
      </c>
      <c r="E68">
        <v>-1014.4773</v>
      </c>
      <c r="F68">
        <v>1216.6646000000001</v>
      </c>
      <c r="G68">
        <v>2162.9749999999999</v>
      </c>
      <c r="H68">
        <v>1590.1307999999999</v>
      </c>
      <c r="I68">
        <v>-1446.7681</v>
      </c>
      <c r="J68">
        <v>218.66193000000001</v>
      </c>
      <c r="K68">
        <v>360.36572999999999</v>
      </c>
      <c r="L68">
        <v>1799.8409999999999</v>
      </c>
      <c r="M68">
        <v>5466.1925000000001</v>
      </c>
    </row>
    <row r="69" spans="3:13" x14ac:dyDescent="0.2">
      <c r="C69">
        <v>47000</v>
      </c>
      <c r="D69">
        <v>1167.0497</v>
      </c>
      <c r="E69">
        <v>-1012.8406</v>
      </c>
      <c r="F69">
        <v>-1574.213</v>
      </c>
      <c r="G69">
        <v>616.59866999999997</v>
      </c>
      <c r="H69">
        <v>-1524.6395</v>
      </c>
      <c r="I69">
        <v>947.45407999999998</v>
      </c>
      <c r="J69">
        <v>235.51543000000001</v>
      </c>
      <c r="K69">
        <v>676.85554000000002</v>
      </c>
      <c r="L69">
        <v>535.11713999999995</v>
      </c>
      <c r="M69">
        <v>5466.1925000000001</v>
      </c>
    </row>
    <row r="70" spans="3:13" x14ac:dyDescent="0.2">
      <c r="C70">
        <v>48000</v>
      </c>
      <c r="D70">
        <v>1124.6142</v>
      </c>
      <c r="E70">
        <v>-1012.4179</v>
      </c>
      <c r="F70">
        <v>1513.4055000000001</v>
      </c>
      <c r="G70">
        <v>1564.3148000000001</v>
      </c>
      <c r="H70">
        <v>212.39067</v>
      </c>
      <c r="I70">
        <v>1277.0524</v>
      </c>
      <c r="J70">
        <v>131.76043000000001</v>
      </c>
      <c r="K70">
        <v>-142.26802000000001</v>
      </c>
      <c r="L70">
        <v>-682.04958999999997</v>
      </c>
      <c r="M70">
        <v>5466.1925000000001</v>
      </c>
    </row>
    <row r="71" spans="3:13" x14ac:dyDescent="0.2">
      <c r="C71">
        <v>49000</v>
      </c>
      <c r="D71">
        <v>1006.872</v>
      </c>
      <c r="E71">
        <v>-1011.4293</v>
      </c>
      <c r="F71">
        <v>-2118.4470000000001</v>
      </c>
      <c r="G71">
        <v>-768.44839999999999</v>
      </c>
      <c r="H71">
        <v>975.47576000000004</v>
      </c>
      <c r="I71">
        <v>-129.07266999999999</v>
      </c>
      <c r="J71">
        <v>2889.2869999999998</v>
      </c>
      <c r="K71">
        <v>-1518.0661</v>
      </c>
      <c r="L71">
        <v>564.26261999999997</v>
      </c>
      <c r="M71">
        <v>5466.1925000000001</v>
      </c>
    </row>
    <row r="72" spans="3:13" x14ac:dyDescent="0.2">
      <c r="C72">
        <v>50000</v>
      </c>
      <c r="D72">
        <v>1156.7733000000001</v>
      </c>
      <c r="E72">
        <v>-1012.1125</v>
      </c>
      <c r="F72">
        <v>-2018.8852999999999</v>
      </c>
      <c r="G72">
        <v>-3022.0176999999999</v>
      </c>
      <c r="H72">
        <v>1977.1274000000001</v>
      </c>
      <c r="I72">
        <v>-2822.1478000000002</v>
      </c>
      <c r="J72">
        <v>3400.9254000000001</v>
      </c>
      <c r="K72">
        <v>-818.95132999999998</v>
      </c>
      <c r="L72">
        <v>596.82939999999996</v>
      </c>
      <c r="M72">
        <v>5466.1925000000001</v>
      </c>
    </row>
    <row r="73" spans="3:13" x14ac:dyDescent="0.2">
      <c r="F73">
        <f>AVERAGE(F22:F72)</f>
        <v>243.43566843137248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R24"/>
  <sheetViews>
    <sheetView workbookViewId="0">
      <selection activeCell="F21" sqref="F21"/>
    </sheetView>
  </sheetViews>
  <sheetFormatPr baseColWidth="10" defaultRowHeight="16" x14ac:dyDescent="0.2"/>
  <sheetData>
    <row r="3" spans="2:18" x14ac:dyDescent="0.2">
      <c r="B3" t="s">
        <v>106</v>
      </c>
    </row>
    <row r="5" spans="2:18" x14ac:dyDescent="0.2">
      <c r="B5" t="s">
        <v>15</v>
      </c>
      <c r="H5" t="s">
        <v>25</v>
      </c>
      <c r="N5" t="s">
        <v>34</v>
      </c>
    </row>
    <row r="6" spans="2:18" x14ac:dyDescent="0.2">
      <c r="B6">
        <v>800</v>
      </c>
      <c r="C6">
        <v>900</v>
      </c>
      <c r="D6">
        <v>1000</v>
      </c>
      <c r="E6">
        <v>1100</v>
      </c>
      <c r="F6">
        <v>1200</v>
      </c>
      <c r="H6">
        <v>800</v>
      </c>
      <c r="I6">
        <v>900</v>
      </c>
      <c r="J6">
        <v>1000</v>
      </c>
      <c r="K6">
        <v>1100</v>
      </c>
      <c r="L6">
        <v>1200</v>
      </c>
      <c r="N6">
        <v>800</v>
      </c>
      <c r="O6">
        <v>900</v>
      </c>
      <c r="P6">
        <v>1000</v>
      </c>
      <c r="Q6">
        <v>1100</v>
      </c>
      <c r="R6">
        <v>1200</v>
      </c>
    </row>
    <row r="7" spans="2:18" x14ac:dyDescent="0.2">
      <c r="B7">
        <v>15566.36983</v>
      </c>
      <c r="C7">
        <v>15647.80003</v>
      </c>
      <c r="D7">
        <v>15734.083710000001</v>
      </c>
      <c r="E7">
        <v>15816.471659999999</v>
      </c>
      <c r="F7">
        <v>15907.749202999999</v>
      </c>
      <c r="H7">
        <v>14492.469531999999</v>
      </c>
      <c r="L7">
        <v>14796.273697000001</v>
      </c>
      <c r="N7">
        <v>14949.584482</v>
      </c>
      <c r="R7">
        <v>15030.506744</v>
      </c>
    </row>
    <row r="8" spans="2:18" x14ac:dyDescent="0.2">
      <c r="B8">
        <v>15564.148577</v>
      </c>
      <c r="C8">
        <v>15649.151844</v>
      </c>
      <c r="D8">
        <v>15729.156972000001</v>
      </c>
      <c r="E8">
        <v>15818.777196999999</v>
      </c>
      <c r="F8">
        <v>15906.599130000001</v>
      </c>
      <c r="H8">
        <v>14495.482499</v>
      </c>
      <c r="L8">
        <v>14799.889808</v>
      </c>
      <c r="N8">
        <v>14949.925642</v>
      </c>
      <c r="R8">
        <v>15030.512728</v>
      </c>
    </row>
    <row r="9" spans="2:18" x14ac:dyDescent="0.2">
      <c r="B9">
        <v>15567.217846</v>
      </c>
      <c r="C9">
        <v>15648.384338</v>
      </c>
      <c r="D9">
        <v>15730.971893</v>
      </c>
      <c r="E9">
        <v>15816.67857</v>
      </c>
      <c r="F9">
        <v>15906.865347999999</v>
      </c>
      <c r="H9">
        <v>14494.309810999999</v>
      </c>
      <c r="L9">
        <v>14800.184164</v>
      </c>
      <c r="N9">
        <v>14949.615345</v>
      </c>
      <c r="R9">
        <v>15030.980674</v>
      </c>
    </row>
    <row r="10" spans="2:18" x14ac:dyDescent="0.2">
      <c r="B10">
        <v>15565.545178</v>
      </c>
      <c r="C10">
        <v>15646.276035000001</v>
      </c>
      <c r="D10">
        <v>15727.281277</v>
      </c>
      <c r="E10">
        <v>15815.477790000001</v>
      </c>
      <c r="F10">
        <v>15911.599667</v>
      </c>
      <c r="H10">
        <v>14491.879021999999</v>
      </c>
      <c r="L10">
        <v>14796.38184</v>
      </c>
      <c r="N10">
        <v>14950.014039</v>
      </c>
      <c r="R10">
        <v>15032.643527</v>
      </c>
    </row>
    <row r="11" spans="2:18" x14ac:dyDescent="0.2">
      <c r="B11">
        <v>15566.705473</v>
      </c>
      <c r="C11">
        <v>15648.323708</v>
      </c>
      <c r="D11">
        <v>15731.617791999999</v>
      </c>
      <c r="E11">
        <v>15813.463141</v>
      </c>
      <c r="F11">
        <v>15907.261850000001</v>
      </c>
      <c r="H11">
        <v>14491.864213999999</v>
      </c>
      <c r="L11">
        <v>14798.483629</v>
      </c>
      <c r="N11">
        <v>14948.119865999999</v>
      </c>
      <c r="R11">
        <v>15030.587820000001</v>
      </c>
    </row>
    <row r="12" spans="2:18" x14ac:dyDescent="0.2">
      <c r="B12">
        <v>15565.019767</v>
      </c>
      <c r="C12">
        <v>15648.951483000001</v>
      </c>
      <c r="D12">
        <v>15733.202001</v>
      </c>
      <c r="E12">
        <v>15820.946824000001</v>
      </c>
      <c r="F12">
        <v>15908.086794000001</v>
      </c>
      <c r="H12">
        <v>14492.311318</v>
      </c>
      <c r="L12">
        <v>14799.619201</v>
      </c>
      <c r="N12">
        <v>14950.160663000001</v>
      </c>
      <c r="R12">
        <v>15030.377376</v>
      </c>
    </row>
    <row r="13" spans="2:18" x14ac:dyDescent="0.2">
      <c r="B13">
        <v>15563.994397</v>
      </c>
      <c r="C13">
        <v>15649.603852</v>
      </c>
      <c r="D13">
        <v>15732.021531</v>
      </c>
      <c r="E13">
        <v>15817.002986</v>
      </c>
      <c r="F13">
        <v>15910.690796999999</v>
      </c>
      <c r="H13">
        <v>14493.331765999999</v>
      </c>
      <c r="L13">
        <v>14797.197260999999</v>
      </c>
      <c r="N13">
        <v>14948.638483000001</v>
      </c>
      <c r="R13">
        <v>15029.890954</v>
      </c>
    </row>
    <row r="14" spans="2:18" x14ac:dyDescent="0.2">
      <c r="B14">
        <v>15565.941535</v>
      </c>
      <c r="C14">
        <v>15648.874143999999</v>
      </c>
      <c r="D14">
        <v>15729.429993</v>
      </c>
      <c r="E14">
        <v>15818.917707000001</v>
      </c>
      <c r="F14">
        <v>15907.286021</v>
      </c>
      <c r="H14">
        <v>14493.414885</v>
      </c>
      <c r="L14">
        <v>14796.216283</v>
      </c>
      <c r="N14">
        <v>14950.092404000001</v>
      </c>
      <c r="R14">
        <v>15030.696203</v>
      </c>
    </row>
    <row r="15" spans="2:18" x14ac:dyDescent="0.2">
      <c r="B15">
        <v>15564.585676000001</v>
      </c>
      <c r="C15">
        <v>15648.801654999999</v>
      </c>
      <c r="D15">
        <v>15734.925652</v>
      </c>
      <c r="E15">
        <v>15814.685387</v>
      </c>
      <c r="F15">
        <v>15908.143652000001</v>
      </c>
      <c r="H15">
        <v>14489.571657</v>
      </c>
      <c r="L15">
        <v>14796.679915000001</v>
      </c>
      <c r="N15">
        <v>14949.455899</v>
      </c>
      <c r="R15">
        <v>15030.177485</v>
      </c>
    </row>
    <row r="16" spans="2:18" x14ac:dyDescent="0.2">
      <c r="B16">
        <v>15565.776949999999</v>
      </c>
      <c r="C16">
        <v>15649.842366999999</v>
      </c>
      <c r="D16">
        <v>15732.515622999999</v>
      </c>
      <c r="E16">
        <v>15818.008483</v>
      </c>
      <c r="F16">
        <v>15908.441083</v>
      </c>
      <c r="H16">
        <v>14492.286319999999</v>
      </c>
      <c r="L16">
        <v>14796.334018</v>
      </c>
      <c r="N16">
        <v>14949.602117</v>
      </c>
      <c r="R16">
        <v>15030.209112</v>
      </c>
    </row>
    <row r="17" spans="1:18" x14ac:dyDescent="0.2">
      <c r="B17">
        <f>AVERAGE(B7:B16)</f>
        <v>15565.530522899999</v>
      </c>
      <c r="C17">
        <f t="shared" ref="C17:F17" si="0">AVERAGE(C7:C16)</f>
        <v>15648.600945599999</v>
      </c>
      <c r="D17">
        <f t="shared" si="0"/>
        <v>15731.520644400001</v>
      </c>
      <c r="E17">
        <f t="shared" si="0"/>
        <v>15817.0429745</v>
      </c>
      <c r="F17">
        <f t="shared" si="0"/>
        <v>15908.272354500001</v>
      </c>
      <c r="H17">
        <f>AVERAGE(H7:H16)</f>
        <v>14492.692102400004</v>
      </c>
      <c r="I17" t="e">
        <f t="shared" ref="I17" si="1">AVERAGE(I7:I16)</f>
        <v>#DIV/0!</v>
      </c>
      <c r="J17" t="e">
        <f t="shared" ref="J17" si="2">AVERAGE(J7:J16)</f>
        <v>#DIV/0!</v>
      </c>
      <c r="K17" t="e">
        <f t="shared" ref="K17" si="3">AVERAGE(K7:K16)</f>
        <v>#DIV/0!</v>
      </c>
      <c r="L17">
        <f t="shared" ref="L17" si="4">AVERAGE(L7:L16)</f>
        <v>14797.725981600001</v>
      </c>
      <c r="N17">
        <f>AVERAGE(N7:N16)</f>
        <v>14949.520894000001</v>
      </c>
      <c r="O17" t="e">
        <f t="shared" ref="O17" si="5">AVERAGE(O7:O16)</f>
        <v>#DIV/0!</v>
      </c>
      <c r="P17" t="e">
        <f t="shared" ref="P17" si="6">AVERAGE(P7:P16)</f>
        <v>#DIV/0!</v>
      </c>
      <c r="Q17" t="e">
        <f t="shared" ref="Q17" si="7">AVERAGE(Q7:Q16)</f>
        <v>#DIV/0!</v>
      </c>
      <c r="R17">
        <f t="shared" ref="R17" si="8">AVERAGE(R7:R16)</f>
        <v>15030.658262300003</v>
      </c>
    </row>
    <row r="18" spans="1:18" x14ac:dyDescent="0.2">
      <c r="B18">
        <f>B17/686</f>
        <v>22.690277730174927</v>
      </c>
      <c r="C18">
        <f t="shared" ref="C18:F18" si="9">C17/686</f>
        <v>22.811371640816326</v>
      </c>
      <c r="D18">
        <f t="shared" si="9"/>
        <v>22.932245837317787</v>
      </c>
      <c r="E18">
        <f t="shared" si="9"/>
        <v>23.056913956997086</v>
      </c>
      <c r="F18">
        <f t="shared" si="9"/>
        <v>23.189901391399417</v>
      </c>
      <c r="H18">
        <f>H17/686</f>
        <v>21.126373327113708</v>
      </c>
      <c r="L18">
        <f t="shared" ref="L18" si="10">L17/686</f>
        <v>21.571029127696793</v>
      </c>
      <c r="N18">
        <f>N17/686</f>
        <v>21.792304510204083</v>
      </c>
      <c r="R18">
        <f t="shared" ref="R18" si="11">R17/686</f>
        <v>21.910580557288633</v>
      </c>
    </row>
    <row r="19" spans="1:18" x14ac:dyDescent="0.2">
      <c r="B19">
        <f>STDEV(B7:B16)/SQRT(COUNT(B7:B16))</f>
        <v>0.34294379079941434</v>
      </c>
      <c r="C19">
        <f t="shared" ref="C19:F19" si="12">STDEV(C7:C16)/SQRT(COUNT(C7:C16))</f>
        <v>0.32074029161739243</v>
      </c>
      <c r="D19">
        <f t="shared" si="12"/>
        <v>0.74886420695354827</v>
      </c>
      <c r="E19">
        <f t="shared" si="12"/>
        <v>0.69903438488682623</v>
      </c>
      <c r="F19">
        <f t="shared" si="12"/>
        <v>0.51689615404489797</v>
      </c>
      <c r="H19">
        <f>STDEV(H7:H16)/SQRT(COUNT(H7:H16))</f>
        <v>0.50307665243555233</v>
      </c>
      <c r="I19" t="e">
        <f t="shared" ref="I19:L19" si="13">STDEV(I7:I16)/SQRT(COUNT(I7:I16))</f>
        <v>#DIV/0!</v>
      </c>
      <c r="J19" t="e">
        <f t="shared" si="13"/>
        <v>#DIV/0!</v>
      </c>
      <c r="K19" t="e">
        <f t="shared" si="13"/>
        <v>#DIV/0!</v>
      </c>
      <c r="L19">
        <f t="shared" si="13"/>
        <v>0.52057142974047232</v>
      </c>
      <c r="N19">
        <f>STDEV(N7:N16)/SQRT(COUNT(N7:N16))</f>
        <v>0.2083868082996149</v>
      </c>
      <c r="O19" t="e">
        <f t="shared" ref="O19:R19" si="14">STDEV(O7:O16)/SQRT(COUNT(O7:O16))</f>
        <v>#DIV/0!</v>
      </c>
      <c r="P19" t="e">
        <f t="shared" si="14"/>
        <v>#DIV/0!</v>
      </c>
      <c r="Q19" t="e">
        <f t="shared" si="14"/>
        <v>#DIV/0!</v>
      </c>
      <c r="R19">
        <f t="shared" si="14"/>
        <v>0.24028471122541969</v>
      </c>
    </row>
    <row r="20" spans="1:18" x14ac:dyDescent="0.2">
      <c r="A20" t="s">
        <v>107</v>
      </c>
      <c r="F20">
        <f>(F17-B17)/B17</f>
        <v>2.2019283640590376E-2</v>
      </c>
      <c r="L20">
        <f>(L17-H17)/H17</f>
        <v>2.1047427009746704E-2</v>
      </c>
      <c r="R20">
        <f>(R17-N17)/N17</f>
        <v>5.4274226495490243E-3</v>
      </c>
    </row>
    <row r="22" spans="1:18" x14ac:dyDescent="0.2">
      <c r="B22">
        <f t="shared" ref="B22:E22" si="15">B17^(1/3)</f>
        <v>24.968242621384569</v>
      </c>
      <c r="C22">
        <f t="shared" si="15"/>
        <v>25.012580838824434</v>
      </c>
      <c r="D22">
        <f t="shared" si="15"/>
        <v>25.056682397451667</v>
      </c>
      <c r="E22">
        <f t="shared" si="15"/>
        <v>25.102006143520828</v>
      </c>
      <c r="F22">
        <f>F17^(1/3)</f>
        <v>25.150174685326146</v>
      </c>
      <c r="H22">
        <f t="shared" ref="H22:K22" si="16">H17^(1/3)</f>
        <v>24.380897495226524</v>
      </c>
      <c r="I22" t="e">
        <f t="shared" si="16"/>
        <v>#DIV/0!</v>
      </c>
      <c r="J22" t="e">
        <f t="shared" si="16"/>
        <v>#DIV/0!</v>
      </c>
      <c r="K22" t="e">
        <f t="shared" si="16"/>
        <v>#DIV/0!</v>
      </c>
      <c r="L22">
        <f>L17^(1/3)</f>
        <v>24.550762987667603</v>
      </c>
      <c r="N22">
        <f>N17^(1/3)</f>
        <v>24.634424722752755</v>
      </c>
      <c r="O22" t="e">
        <f t="shared" ref="O22:Q22" si="17">O17^(1/3)</f>
        <v>#DIV/0!</v>
      </c>
      <c r="P22" t="e">
        <f t="shared" si="17"/>
        <v>#DIV/0!</v>
      </c>
      <c r="Q22" t="e">
        <f t="shared" si="17"/>
        <v>#DIV/0!</v>
      </c>
      <c r="R22">
        <f>R17^(1/3)</f>
        <v>24.678911481645418</v>
      </c>
    </row>
    <row r="23" spans="1:18" x14ac:dyDescent="0.2">
      <c r="F23">
        <f>(F22-B22)/B22</f>
        <v>7.2865386122833347E-3</v>
      </c>
      <c r="L23">
        <f>(L22-H22)/H22</f>
        <v>6.9671550226703986E-3</v>
      </c>
      <c r="R23">
        <f>(R22-N22)/N22</f>
        <v>1.805877725716676E-3</v>
      </c>
    </row>
    <row r="24" spans="1:18" x14ac:dyDescent="0.2">
      <c r="F24">
        <f>F23*100</f>
        <v>0.72865386122833342</v>
      </c>
      <c r="L24">
        <f>L23*100</f>
        <v>0.69671550226703982</v>
      </c>
      <c r="R24">
        <f>R23*100</f>
        <v>0.18058777257166761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ELASTIC constants U MEAM</vt:lpstr>
      <vt:lpstr>UZr MEAM elastic</vt:lpstr>
      <vt:lpstr>UMo adp elastic</vt:lpstr>
      <vt:lpstr>UMo 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</cp:lastModifiedBy>
  <dcterms:created xsi:type="dcterms:W3CDTF">2017-03-21T22:24:24Z</dcterms:created>
  <dcterms:modified xsi:type="dcterms:W3CDTF">2018-08-02T21:47:43Z</dcterms:modified>
</cp:coreProperties>
</file>