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1540" yWindow="170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1" i="1" l="1"/>
  <c r="P45" i="1"/>
  <c r="P46" i="1"/>
  <c r="Q45" i="1"/>
  <c r="P48" i="1"/>
  <c r="Q35" i="1"/>
  <c r="Q36" i="1"/>
  <c r="Q37" i="1"/>
  <c r="P49" i="1"/>
  <c r="F47" i="1"/>
  <c r="K42" i="1"/>
  <c r="H64" i="1"/>
  <c r="G61" i="1"/>
  <c r="F64" i="1"/>
  <c r="B56" i="1"/>
  <c r="E51" i="1"/>
  <c r="B55" i="1"/>
  <c r="B53" i="1"/>
  <c r="B51" i="1"/>
  <c r="B49" i="1"/>
  <c r="D52" i="1"/>
  <c r="E50" i="1"/>
  <c r="D56" i="1"/>
  <c r="D55" i="1"/>
  <c r="D53" i="1"/>
  <c r="I56" i="1"/>
  <c r="F56" i="1"/>
  <c r="F55" i="1"/>
  <c r="G50" i="1"/>
  <c r="I52" i="1"/>
  <c r="I51" i="1"/>
  <c r="I50" i="1"/>
  <c r="I48" i="1"/>
  <c r="M45" i="1"/>
  <c r="F45" i="1"/>
  <c r="F44" i="1"/>
  <c r="D45" i="1"/>
  <c r="D44" i="1"/>
  <c r="D42" i="1"/>
  <c r="C39" i="1"/>
  <c r="C38" i="1"/>
  <c r="C37" i="1"/>
  <c r="J8" i="1"/>
  <c r="K15" i="1"/>
  <c r="J15" i="1"/>
  <c r="I11" i="1"/>
  <c r="I8" i="1"/>
  <c r="J5" i="1"/>
  <c r="I5" i="1"/>
  <c r="E5" i="1"/>
</calcChain>
</file>

<file path=xl/sharedStrings.xml><?xml version="1.0" encoding="utf-8"?>
<sst xmlns="http://schemas.openxmlformats.org/spreadsheetml/2006/main" count="58" uniqueCount="48">
  <si>
    <t>GULP testing</t>
  </si>
  <si>
    <t>bcc U</t>
  </si>
  <si>
    <t>c11</t>
  </si>
  <si>
    <t>c12</t>
  </si>
  <si>
    <t>c44</t>
  </si>
  <si>
    <t>E</t>
  </si>
  <si>
    <t>V</t>
  </si>
  <si>
    <t>a0</t>
  </si>
  <si>
    <t>9BV/Ec^(1/2)</t>
  </si>
  <si>
    <t>U</t>
  </si>
  <si>
    <t>'fcc'</t>
  </si>
  <si>
    <t>'SiM'</t>
  </si>
  <si>
    <t>'dia'</t>
  </si>
  <si>
    <t>'Xe'</t>
  </si>
  <si>
    <t>alpha =</t>
  </si>
  <si>
    <t>−2.61</t>
  </si>
  <si>
    <t>Ec</t>
  </si>
  <si>
    <t>re</t>
  </si>
  <si>
    <t>B</t>
  </si>
  <si>
    <t>A</t>
  </si>
  <si>
    <t>b0</t>
  </si>
  <si>
    <t>b1</t>
  </si>
  <si>
    <t>b2</t>
  </si>
  <si>
    <t>b3</t>
  </si>
  <si>
    <t>t1</t>
  </si>
  <si>
    <t>t2</t>
  </si>
  <si>
    <t>t3</t>
  </si>
  <si>
    <t>cmax</t>
  </si>
  <si>
    <t>xmin</t>
  </si>
  <si>
    <t>d</t>
  </si>
  <si>
    <t>alat</t>
  </si>
  <si>
    <t>esub</t>
  </si>
  <si>
    <t>asub</t>
  </si>
  <si>
    <t>si</t>
  </si>
  <si>
    <t>u</t>
  </si>
  <si>
    <t>alpha</t>
  </si>
  <si>
    <t>fcc 2nn/1nn</t>
  </si>
  <si>
    <t>s</t>
  </si>
  <si>
    <t>cmin</t>
  </si>
  <si>
    <t>bcc Fe</t>
  </si>
  <si>
    <t>xij</t>
  </si>
  <si>
    <t>xjk</t>
  </si>
  <si>
    <t>C</t>
  </si>
  <si>
    <t>C-Cr</t>
  </si>
  <si>
    <t>tungsten</t>
  </si>
  <si>
    <t>S</t>
  </si>
  <si>
    <t>S0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</si>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</sst>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sz val="13"/>
      <color rgb="FF505050"/>
      <name val="Arial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6"/>
  <sheetViews>
    <sheetView tabSelected="1" topLeftCell="A20" workbookViewId="0">
      <selection activeCell="O41" sqref="O41"/>
    </sheetView>
  </sheetViews>
  <sheetFormatPr baseColWidth="10" defaultRowHeight="15" x14ac:dyDescent="0"/>
  <cols>
    <col min="16" max="17" width="12.1640625" bestFit="1" customWidth="1"/>
  </cols>
  <sheetData>
    <row r="2" spans="2:11">
      <c r="B2" t="s">
        <v>0</v>
      </c>
    </row>
    <row r="3" spans="2:11">
      <c r="C3" t="s">
        <v>5</v>
      </c>
      <c r="D3" t="s">
        <v>7</v>
      </c>
      <c r="E3" t="s">
        <v>6</v>
      </c>
      <c r="I3" t="s">
        <v>30</v>
      </c>
      <c r="J3" t="s">
        <v>31</v>
      </c>
      <c r="K3" t="s">
        <v>32</v>
      </c>
    </row>
    <row r="4" spans="2:11">
      <c r="B4" t="s">
        <v>1</v>
      </c>
      <c r="C4">
        <v>-4.3629688900000003</v>
      </c>
      <c r="H4" t="s">
        <v>33</v>
      </c>
      <c r="I4">
        <v>5.431</v>
      </c>
      <c r="J4">
        <v>4.63</v>
      </c>
      <c r="K4">
        <v>0.82899999999999996</v>
      </c>
    </row>
    <row r="5" spans="2:11">
      <c r="C5">
        <v>-4.4866539699999999</v>
      </c>
      <c r="D5">
        <v>3.5600510000000001</v>
      </c>
      <c r="E5">
        <f>45.11994/2</f>
        <v>22.55997</v>
      </c>
      <c r="H5" t="s">
        <v>17</v>
      </c>
      <c r="I5">
        <f>I4*SQRT(3)/4</f>
        <v>2.351691983976643</v>
      </c>
      <c r="J5">
        <f>J4*K4</f>
        <v>3.8382699999999996</v>
      </c>
    </row>
    <row r="7" spans="2:11">
      <c r="B7" t="s">
        <v>2</v>
      </c>
      <c r="C7">
        <v>51</v>
      </c>
      <c r="H7" t="s">
        <v>34</v>
      </c>
      <c r="I7">
        <v>4.28</v>
      </c>
      <c r="J7">
        <v>5.27</v>
      </c>
      <c r="K7">
        <v>0.98</v>
      </c>
    </row>
    <row r="8" spans="2:11">
      <c r="B8" t="s">
        <v>3</v>
      </c>
      <c r="C8">
        <v>113</v>
      </c>
      <c r="H8" t="s">
        <v>17</v>
      </c>
      <c r="I8">
        <f>I7*SQRT(2)/2</f>
        <v>3.026417023478424</v>
      </c>
      <c r="J8">
        <f>J7*K7</f>
        <v>5.1645999999999992</v>
      </c>
    </row>
    <row r="9" spans="2:11">
      <c r="B9" t="s">
        <v>4</v>
      </c>
      <c r="C9">
        <v>15</v>
      </c>
    </row>
    <row r="11" spans="2:11">
      <c r="I11">
        <f>SQRT(2)</f>
        <v>1.4142135623730951</v>
      </c>
    </row>
    <row r="13" spans="2:11">
      <c r="B13" t="s">
        <v>14</v>
      </c>
      <c r="C13" t="s">
        <v>8</v>
      </c>
    </row>
    <row r="15" spans="2:11">
      <c r="J15">
        <f>4.63*0.58</f>
        <v>2.6853999999999996</v>
      </c>
      <c r="K15">
        <f>J15*2</f>
        <v>5.3707999999999991</v>
      </c>
    </row>
    <row r="18" spans="2:9">
      <c r="B18" t="s">
        <v>9</v>
      </c>
      <c r="C18" t="s">
        <v>10</v>
      </c>
      <c r="D18">
        <v>12</v>
      </c>
      <c r="E18">
        <v>92</v>
      </c>
      <c r="F18">
        <v>238</v>
      </c>
    </row>
    <row r="19" spans="2:9">
      <c r="B19">
        <v>5.0999999999999996</v>
      </c>
      <c r="C19">
        <v>4.8</v>
      </c>
      <c r="D19">
        <v>6</v>
      </c>
      <c r="E19">
        <v>6</v>
      </c>
      <c r="F19">
        <v>6</v>
      </c>
      <c r="G19">
        <v>4.28</v>
      </c>
      <c r="H19">
        <v>5.27</v>
      </c>
      <c r="I19">
        <v>0.98</v>
      </c>
    </row>
    <row r="20" spans="2:9">
      <c r="B20">
        <v>1</v>
      </c>
      <c r="C20">
        <v>2.5</v>
      </c>
      <c r="D20">
        <v>4</v>
      </c>
      <c r="E20">
        <v>1.2</v>
      </c>
      <c r="F20">
        <v>1</v>
      </c>
      <c r="G20">
        <v>-5</v>
      </c>
    </row>
    <row r="22" spans="2:9">
      <c r="B22" t="s">
        <v>11</v>
      </c>
      <c r="C22" t="s">
        <v>12</v>
      </c>
      <c r="D22">
        <v>4</v>
      </c>
      <c r="E22">
        <v>14</v>
      </c>
      <c r="F22">
        <v>28.085999999999999</v>
      </c>
    </row>
    <row r="23" spans="2:9">
      <c r="B23">
        <v>5.5575999999999999</v>
      </c>
      <c r="C23">
        <v>4.0500999999999996</v>
      </c>
      <c r="D23">
        <v>5.6910999999999996</v>
      </c>
      <c r="E23">
        <v>4.5856000000000003</v>
      </c>
      <c r="F23">
        <v>5.5305</v>
      </c>
      <c r="G23">
        <v>5.431</v>
      </c>
      <c r="H23">
        <v>4.63</v>
      </c>
      <c r="I23">
        <v>0.82899999999999996</v>
      </c>
    </row>
    <row r="24" spans="2:9">
      <c r="B24">
        <v>1</v>
      </c>
      <c r="C24">
        <v>2.0600999999999998</v>
      </c>
      <c r="D24">
        <v>4.6768999999999998</v>
      </c>
      <c r="E24">
        <v>-1.3216000000000001</v>
      </c>
      <c r="F24">
        <v>2.2000000000000002</v>
      </c>
      <c r="G24">
        <v>-5</v>
      </c>
    </row>
    <row r="26" spans="2:9">
      <c r="B26" t="s">
        <v>13</v>
      </c>
      <c r="C26" t="s">
        <v>10</v>
      </c>
      <c r="D26">
        <v>12</v>
      </c>
      <c r="E26">
        <v>54</v>
      </c>
      <c r="F26">
        <v>131.30000000000001</v>
      </c>
    </row>
    <row r="27" spans="2:9">
      <c r="B27">
        <v>7.8</v>
      </c>
      <c r="C27">
        <v>4.9000000000000004</v>
      </c>
      <c r="D27">
        <v>0</v>
      </c>
      <c r="E27">
        <v>0</v>
      </c>
      <c r="F27">
        <v>0</v>
      </c>
      <c r="G27">
        <v>6.93</v>
      </c>
      <c r="H27">
        <v>3.2000000000000001E-2</v>
      </c>
      <c r="I27">
        <v>0</v>
      </c>
    </row>
    <row r="28" spans="2:9">
      <c r="B28">
        <v>1</v>
      </c>
      <c r="C28">
        <v>1</v>
      </c>
      <c r="D28">
        <v>1</v>
      </c>
      <c r="E28">
        <v>1</v>
      </c>
      <c r="F28">
        <v>4.4999999999999998E-2</v>
      </c>
      <c r="G28">
        <v>0</v>
      </c>
    </row>
    <row r="34" spans="2:17">
      <c r="B34" t="s">
        <v>16</v>
      </c>
      <c r="C34" t="s">
        <v>17</v>
      </c>
      <c r="D34" t="s">
        <v>18</v>
      </c>
      <c r="E34" t="s">
        <v>19</v>
      </c>
      <c r="F34" t="s">
        <v>20</v>
      </c>
      <c r="G34" t="s">
        <v>21</v>
      </c>
      <c r="H34" t="s">
        <v>22</v>
      </c>
      <c r="I34" t="s">
        <v>23</v>
      </c>
      <c r="J34" t="s">
        <v>24</v>
      </c>
      <c r="K34" t="s">
        <v>25</v>
      </c>
      <c r="L34" t="s">
        <v>26</v>
      </c>
      <c r="M34" t="s">
        <v>27</v>
      </c>
      <c r="N34" t="s">
        <v>28</v>
      </c>
      <c r="O34" t="s">
        <v>29</v>
      </c>
    </row>
    <row r="35" spans="2:17" ht="16">
      <c r="B35" s="1">
        <v>4.63</v>
      </c>
      <c r="C35" s="1">
        <v>2.35</v>
      </c>
      <c r="D35" s="1">
        <v>0.99</v>
      </c>
      <c r="E35" s="1">
        <v>0.57999999999999996</v>
      </c>
      <c r="F35" s="1">
        <v>3.55</v>
      </c>
      <c r="G35" s="1">
        <v>2.5</v>
      </c>
      <c r="H35" s="1">
        <v>0</v>
      </c>
      <c r="I35" s="1">
        <v>7.5</v>
      </c>
      <c r="J35" s="1">
        <v>1.8</v>
      </c>
      <c r="K35" s="1">
        <v>5.25</v>
      </c>
      <c r="L35" s="1" t="s">
        <v>15</v>
      </c>
      <c r="M35" s="1">
        <v>2.8</v>
      </c>
      <c r="N35" s="1">
        <v>1.41</v>
      </c>
      <c r="O35" s="1">
        <v>0</v>
      </c>
      <c r="Q35">
        <f>1-P48</f>
        <v>8.1967213114753967E-2</v>
      </c>
    </row>
    <row r="36" spans="2:17">
      <c r="Q36">
        <f>Q35^6</f>
        <v>3.0327807578641541E-7</v>
      </c>
    </row>
    <row r="37" spans="2:17">
      <c r="C37">
        <f>C35*4/SQRT(3)</f>
        <v>5.4270925303824828</v>
      </c>
      <c r="Q37">
        <f>(1-Q36)^2</f>
        <v>0.9999993934439404</v>
      </c>
    </row>
    <row r="38" spans="2:17">
      <c r="C38">
        <f>C37^3</f>
        <v>159.84596532819876</v>
      </c>
    </row>
    <row r="39" spans="2:17">
      <c r="C39">
        <f>C38/8</f>
        <v>19.980745666024845</v>
      </c>
    </row>
    <row r="40" spans="2:17">
      <c r="O40" t="s">
        <v>40</v>
      </c>
    </row>
    <row r="41" spans="2:17">
      <c r="J41" t="s">
        <v>39</v>
      </c>
      <c r="O41">
        <f>(F44)^2</f>
        <v>0.74999999999999989</v>
      </c>
    </row>
    <row r="42" spans="2:17">
      <c r="C42" t="s">
        <v>35</v>
      </c>
      <c r="D42">
        <f>(9*D35*C39/B35)^0.5</f>
        <v>6.2008924997601182</v>
      </c>
      <c r="I42" t="s">
        <v>37</v>
      </c>
      <c r="J42">
        <v>0.91120000000000001</v>
      </c>
      <c r="K42">
        <f>J42^-1</f>
        <v>1.0974539069359086</v>
      </c>
      <c r="O42" t="s">
        <v>41</v>
      </c>
    </row>
    <row r="43" spans="2:17">
      <c r="I43" t="s">
        <v>38</v>
      </c>
      <c r="J43">
        <v>0.36</v>
      </c>
      <c r="O43">
        <v>1</v>
      </c>
    </row>
    <row r="44" spans="2:17">
      <c r="D44">
        <f>SQRT(2)/2</f>
        <v>0.70710678118654757</v>
      </c>
      <c r="F44">
        <f>SQRT(3)/2</f>
        <v>0.8660254037844386</v>
      </c>
      <c r="I44" t="s">
        <v>27</v>
      </c>
      <c r="J44">
        <v>2.8</v>
      </c>
    </row>
    <row r="45" spans="2:17">
      <c r="C45" t="s">
        <v>36</v>
      </c>
      <c r="D45">
        <f>1/D44</f>
        <v>1.4142135623730949</v>
      </c>
      <c r="F45">
        <f>1/F44</f>
        <v>1.1547005383792517</v>
      </c>
      <c r="M45">
        <f>2.8+2.59</f>
        <v>5.39</v>
      </c>
      <c r="O45" t="s">
        <v>42</v>
      </c>
      <c r="P45">
        <f>2*(O41+O43)-(O43-O41)^2-1</f>
        <v>2.4375</v>
      </c>
      <c r="Q45">
        <f>P45/P46</f>
        <v>2.6</v>
      </c>
    </row>
    <row r="46" spans="2:17">
      <c r="P46">
        <f>1-(O43-O41)^2</f>
        <v>0.9375</v>
      </c>
    </row>
    <row r="47" spans="2:17">
      <c r="F47">
        <f>2.48+2.48*F45</f>
        <v>5.3436573351805441</v>
      </c>
      <c r="I47" t="s">
        <v>42</v>
      </c>
    </row>
    <row r="48" spans="2:17">
      <c r="I48">
        <f>0.9112*(2.8-0.36)+0.36</f>
        <v>2.5833279999999998</v>
      </c>
      <c r="O48" t="s">
        <v>47</v>
      </c>
      <c r="P48">
        <f>(Q45-0.36)/(2.8-0.36)</f>
        <v>0.91803278688524603</v>
      </c>
    </row>
    <row r="49" spans="2:16">
      <c r="B49">
        <f>2.48/5.467</f>
        <v>0.45363087616608744</v>
      </c>
      <c r="D49">
        <v>5.4669999999999996</v>
      </c>
      <c r="O49" t="s">
        <v>45</v>
      </c>
      <c r="P49">
        <f>P48*Q37</f>
        <v>0.91803223004689627</v>
      </c>
    </row>
    <row r="50" spans="2:16">
      <c r="D50">
        <v>0.91120000000000001</v>
      </c>
      <c r="E50">
        <f>D50*D49</f>
        <v>4.9815303999999996</v>
      </c>
      <c r="G50">
        <f>2.48/0.9112</f>
        <v>2.7216856892010535</v>
      </c>
      <c r="I50">
        <f>2.8-0.36</f>
        <v>2.44</v>
      </c>
    </row>
    <row r="51" spans="2:16">
      <c r="B51">
        <f>2.495/4.9158</f>
        <v>0.50754709304691004</v>
      </c>
      <c r="E51">
        <f>D49/D50</f>
        <v>5.9997805092186125</v>
      </c>
      <c r="I51">
        <f>I50/0.36</f>
        <v>6.7777777777777777</v>
      </c>
    </row>
    <row r="52" spans="2:16">
      <c r="D52">
        <f>2.48+2.48*F45</f>
        <v>5.3436573351805441</v>
      </c>
      <c r="I52">
        <f>I51*J42</f>
        <v>6.1759111111111107</v>
      </c>
    </row>
    <row r="53" spans="2:16">
      <c r="B53">
        <f>2.725/5.154</f>
        <v>0.52871556072953052</v>
      </c>
      <c r="D53">
        <f>D52/D50</f>
        <v>5.8644176198206148</v>
      </c>
    </row>
    <row r="55" spans="2:16">
      <c r="B55">
        <f>2.48^2</f>
        <v>6.1504000000000003</v>
      </c>
      <c r="D55">
        <f>2.48*2</f>
        <v>4.96</v>
      </c>
      <c r="F55">
        <f>(F45-F44)*2.48</f>
        <v>0.71591433379513647</v>
      </c>
      <c r="I55" t="s">
        <v>43</v>
      </c>
    </row>
    <row r="56" spans="2:16">
      <c r="B56">
        <f>D50^2</f>
        <v>0.83028544000000004</v>
      </c>
      <c r="D56">
        <f>D55/D50</f>
        <v>5.4433713784021069</v>
      </c>
      <c r="F56">
        <f>2.48*F45</f>
        <v>2.8636573351805441</v>
      </c>
      <c r="I56">
        <f>0.8193*(2.8-0.78)+0.78</f>
        <v>2.4349859999999994</v>
      </c>
    </row>
    <row r="59" spans="2:16">
      <c r="F59" t="s">
        <v>44</v>
      </c>
    </row>
    <row r="60" spans="2:16">
      <c r="E60" t="s">
        <v>38</v>
      </c>
      <c r="F60">
        <v>0.49</v>
      </c>
    </row>
    <row r="61" spans="2:16">
      <c r="E61" t="s">
        <v>27</v>
      </c>
      <c r="F61">
        <v>2.8</v>
      </c>
      <c r="G61">
        <f>F61-F60</f>
        <v>2.3099999999999996</v>
      </c>
    </row>
    <row r="62" spans="2:16">
      <c r="E62" t="s">
        <v>45</v>
      </c>
      <c r="F62">
        <v>0.89049999999999996</v>
      </c>
    </row>
    <row r="63" spans="2:16">
      <c r="E63" t="s">
        <v>17</v>
      </c>
      <c r="F63">
        <v>2.74</v>
      </c>
    </row>
    <row r="64" spans="2:16">
      <c r="E64" t="s">
        <v>7</v>
      </c>
      <c r="F64">
        <f>F63/(SQRT(3)/2)</f>
        <v>3.1638794751591495</v>
      </c>
      <c r="H64">
        <f>F63+(F63*F45*0.8905)</f>
        <v>5.5574346726292232</v>
      </c>
    </row>
    <row r="66" spans="5:6">
      <c r="E66" t="s">
        <v>46</v>
      </c>
      <c r="F66">
        <v>5.343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2017-09-18T19:18:03Z</dcterms:created>
  <dcterms:modified xsi:type="dcterms:W3CDTF">2017-09-19T13:54:16Z</dcterms:modified>
</cp:coreProperties>
</file>