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38837A65-8FF8-6A4D-84D8-7ED5573D0EB2}" xr6:coauthVersionLast="36" xr6:coauthVersionMax="36" xr10:uidLastSave="{00000000-0000-0000-0000-000000000000}"/>
  <bookViews>
    <workbookView minimized="1" xWindow="5380" yWindow="7860" windowWidth="28960" windowHeight="19000" xr2:uid="{B8BA8600-A302-5747-BAA6-9540C926E72B}"/>
  </bookViews>
  <sheets>
    <sheet name="Sheet1" sheetId="5" r:id="rId1"/>
    <sheet name="bulk test" sheetId="1" r:id="rId2"/>
    <sheet name="strains" sheetId="2" r:id="rId3"/>
    <sheet name="surfaces" sheetId="3" r:id="rId4"/>
    <sheet name="bulk 0K" sheetId="4" r:id="rId5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5" l="1"/>
  <c r="I5" i="5"/>
  <c r="E6" i="5"/>
  <c r="I6" i="5"/>
  <c r="E7" i="5"/>
  <c r="I7" i="5"/>
  <c r="E8" i="5"/>
  <c r="I8" i="5"/>
  <c r="E9" i="5"/>
  <c r="I9" i="5"/>
  <c r="E11" i="5"/>
  <c r="I11" i="5"/>
  <c r="E12" i="5"/>
  <c r="I12" i="5"/>
  <c r="E13" i="5"/>
  <c r="E15" i="5"/>
  <c r="I15" i="5"/>
  <c r="F19" i="5"/>
  <c r="F20" i="5"/>
  <c r="G20" i="5"/>
  <c r="F21" i="5"/>
  <c r="G21" i="5"/>
  <c r="F22" i="5"/>
  <c r="G22" i="5"/>
  <c r="E25" i="5"/>
  <c r="I25" i="5"/>
  <c r="E26" i="5"/>
  <c r="I26" i="5"/>
  <c r="E27" i="5"/>
  <c r="I27" i="5"/>
  <c r="E28" i="5"/>
  <c r="I28" i="5"/>
  <c r="E29" i="5"/>
  <c r="H29" i="5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B61" i="2"/>
  <c r="B62" i="2"/>
  <c r="B63" i="2"/>
  <c r="B64" i="2"/>
  <c r="B65" i="2"/>
  <c r="B66" i="2"/>
  <c r="B67" i="2"/>
  <c r="B68" i="2"/>
  <c r="B69" i="2"/>
  <c r="B70" i="2"/>
  <c r="B71" i="2"/>
  <c r="E69" i="2"/>
  <c r="E70" i="2"/>
  <c r="E7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F61" i="2"/>
  <c r="E61" i="2"/>
  <c r="F60" i="2"/>
  <c r="E60" i="2"/>
  <c r="E30" i="2"/>
  <c r="B47" i="2"/>
  <c r="E47" i="2"/>
  <c r="E48" i="2"/>
  <c r="E49" i="2"/>
  <c r="E50" i="2"/>
  <c r="E51" i="2"/>
  <c r="E52" i="2"/>
  <c r="E53" i="2"/>
  <c r="E54" i="2"/>
  <c r="E55" i="2"/>
  <c r="E56" i="2"/>
  <c r="E57" i="2"/>
  <c r="B48" i="2"/>
  <c r="B49" i="2"/>
  <c r="B50" i="2"/>
  <c r="B51" i="2"/>
  <c r="B52" i="2"/>
  <c r="B53" i="2"/>
  <c r="B54" i="2"/>
  <c r="B55" i="2"/>
  <c r="C55" i="2"/>
  <c r="D55" i="2"/>
  <c r="B56" i="2"/>
  <c r="C56" i="2"/>
  <c r="D56" i="2"/>
  <c r="B57" i="2"/>
  <c r="C57" i="2"/>
  <c r="D57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D46" i="2"/>
  <c r="C46" i="2"/>
  <c r="G17" i="3"/>
  <c r="E17" i="3"/>
  <c r="G22" i="3"/>
  <c r="E22" i="3"/>
  <c r="G25" i="3"/>
  <c r="E25" i="3"/>
  <c r="G14" i="3"/>
  <c r="E14" i="3"/>
  <c r="E31" i="2"/>
  <c r="E32" i="2"/>
  <c r="F31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F30" i="2"/>
  <c r="M19" i="1"/>
  <c r="H15" i="2"/>
  <c r="J15" i="2"/>
  <c r="I15" i="2"/>
  <c r="K14" i="2"/>
  <c r="K10" i="2"/>
  <c r="J11" i="2"/>
  <c r="I11" i="2"/>
  <c r="H11" i="2"/>
  <c r="I7" i="2"/>
  <c r="J7" i="2"/>
  <c r="H7" i="2"/>
  <c r="K6" i="2"/>
  <c r="K4" i="1"/>
  <c r="I16" i="1"/>
  <c r="K26" i="1"/>
  <c r="K19" i="1"/>
  <c r="K20" i="1"/>
  <c r="K21" i="1"/>
  <c r="K22" i="1"/>
  <c r="K23" i="1"/>
  <c r="K24" i="1"/>
  <c r="K25" i="1"/>
  <c r="D25" i="4"/>
  <c r="H25" i="4"/>
  <c r="L25" i="4"/>
  <c r="P25" i="4"/>
  <c r="P19" i="4"/>
  <c r="L19" i="4"/>
  <c r="H19" i="4"/>
  <c r="D19" i="4"/>
  <c r="M27" i="4"/>
  <c r="E27" i="4"/>
  <c r="E21" i="4"/>
  <c r="I21" i="4"/>
  <c r="I27" i="4"/>
  <c r="M21" i="4"/>
  <c r="Q21" i="4"/>
  <c r="Q27" i="4"/>
  <c r="D14" i="4"/>
  <c r="P27" i="4"/>
  <c r="L27" i="4"/>
  <c r="H27" i="4"/>
  <c r="D27" i="4"/>
  <c r="P21" i="4"/>
  <c r="L21" i="4"/>
  <c r="H21" i="4"/>
  <c r="D21" i="4"/>
  <c r="D4" i="4"/>
  <c r="D3" i="4"/>
  <c r="D12" i="4"/>
  <c r="D11" i="4"/>
  <c r="F7" i="4"/>
  <c r="G7" i="4"/>
  <c r="F8" i="4"/>
  <c r="G8" i="4"/>
  <c r="F6" i="4"/>
  <c r="G6" i="4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L20" i="1"/>
  <c r="L21" i="1"/>
  <c r="L22" i="1"/>
  <c r="L23" i="1"/>
  <c r="L24" i="1"/>
  <c r="L25" i="1"/>
  <c r="L26" i="1"/>
  <c r="L19" i="1"/>
  <c r="I2" i="1"/>
  <c r="J25" i="1"/>
  <c r="J26" i="1"/>
  <c r="J23" i="1"/>
  <c r="J24" i="1"/>
  <c r="J22" i="1"/>
  <c r="J5" i="1"/>
  <c r="H5" i="1"/>
  <c r="I14" i="1"/>
  <c r="I15" i="1"/>
  <c r="I10" i="1"/>
  <c r="I13" i="1"/>
  <c r="I12" i="1"/>
  <c r="I11" i="1"/>
  <c r="J20" i="1"/>
  <c r="J21" i="1"/>
  <c r="J19" i="1"/>
  <c r="L4" i="1"/>
</calcChain>
</file>

<file path=xl/sharedStrings.xml><?xml version="1.0" encoding="utf-8"?>
<sst xmlns="http://schemas.openxmlformats.org/spreadsheetml/2006/main" count="197" uniqueCount="91">
  <si>
    <t>alpha Zr</t>
  </si>
  <si>
    <t>h gas</t>
  </si>
  <si>
    <t>E/at</t>
  </si>
  <si>
    <t>V/at</t>
  </si>
  <si>
    <t>ZrHx</t>
  </si>
  <si>
    <t>Zr</t>
  </si>
  <si>
    <t>H</t>
  </si>
  <si>
    <t>H/Zr</t>
  </si>
  <si>
    <t>fcc</t>
  </si>
  <si>
    <t>fcc STP</t>
  </si>
  <si>
    <t>Ef/at</t>
  </si>
  <si>
    <t>v_T</t>
  </si>
  <si>
    <t>v_E</t>
  </si>
  <si>
    <t>v_TE</t>
  </si>
  <si>
    <t>v_V</t>
  </si>
  <si>
    <t>v_P</t>
  </si>
  <si>
    <t>v_Lx</t>
  </si>
  <si>
    <t>v_Ly</t>
  </si>
  <si>
    <t>v_Lz</t>
  </si>
  <si>
    <t>a</t>
  </si>
  <si>
    <t>c</t>
  </si>
  <si>
    <t>a0</t>
  </si>
  <si>
    <t>b</t>
  </si>
  <si>
    <t>fcc ZrH2</t>
  </si>
  <si>
    <t>fcc a</t>
  </si>
  <si>
    <t>ZrH2</t>
  </si>
  <si>
    <t>surfA</t>
  </si>
  <si>
    <t>surfB</t>
  </si>
  <si>
    <t>bulk</t>
  </si>
  <si>
    <t>with qeq/comb</t>
  </si>
  <si>
    <t>E</t>
  </si>
  <si>
    <t>V</t>
  </si>
  <si>
    <t>xlo</t>
  </si>
  <si>
    <t>xhi</t>
  </si>
  <si>
    <t>ylo</t>
  </si>
  <si>
    <t>yhi</t>
  </si>
  <si>
    <t>zlo</t>
  </si>
  <si>
    <t>zhi</t>
  </si>
  <si>
    <t>per at</t>
  </si>
  <si>
    <t>zrh2</t>
  </si>
  <si>
    <t>H fcc</t>
  </si>
  <si>
    <t>H2 dimer</t>
  </si>
  <si>
    <t>P</t>
  </si>
  <si>
    <t>111 surface</t>
  </si>
  <si>
    <t>y</t>
  </si>
  <si>
    <t>x</t>
  </si>
  <si>
    <t>y (1 -1 0)</t>
  </si>
  <si>
    <t>z (1 1 -2)</t>
  </si>
  <si>
    <t>alpha X</t>
  </si>
  <si>
    <t>delta Z</t>
  </si>
  <si>
    <t>alpha Y</t>
  </si>
  <si>
    <t>delta Y</t>
  </si>
  <si>
    <t>12x7</t>
  </si>
  <si>
    <t>11x6</t>
  </si>
  <si>
    <t>8x8</t>
  </si>
  <si>
    <t>3x5</t>
  </si>
  <si>
    <t>with qeq</t>
  </si>
  <si>
    <t>w/ qeq</t>
  </si>
  <si>
    <t>ideal systems</t>
  </si>
  <si>
    <t>hcp alpha Zr</t>
  </si>
  <si>
    <t>fcc ZrH2 111</t>
  </si>
  <si>
    <t>diamond Sn</t>
  </si>
  <si>
    <t>fcc Pd</t>
  </si>
  <si>
    <t>dhcp Nd</t>
  </si>
  <si>
    <t xml:space="preserve">experimental data </t>
  </si>
  <si>
    <t>dhcp k10</t>
  </si>
  <si>
    <t>fcc Nd</t>
  </si>
  <si>
    <t>POSCAR A</t>
  </si>
  <si>
    <t>isi3F</t>
  </si>
  <si>
    <t>with mag</t>
  </si>
  <si>
    <t>POSCAR B</t>
  </si>
  <si>
    <t>isi3E</t>
  </si>
  <si>
    <t>dhcpNd</t>
  </si>
  <si>
    <t>ndsubvacW</t>
  </si>
  <si>
    <t>ndsubvacz</t>
  </si>
  <si>
    <t>ndsubvacx</t>
  </si>
  <si>
    <t>ndsub</t>
  </si>
  <si>
    <t>Nd3</t>
  </si>
  <si>
    <t>fcc Ce</t>
  </si>
  <si>
    <t>tet Sn</t>
  </si>
  <si>
    <t>dcSn</t>
  </si>
  <si>
    <t>fccSn</t>
  </si>
  <si>
    <t>fcc Nd3</t>
  </si>
  <si>
    <t>fcc Nd14</t>
  </si>
  <si>
    <t>20x20x20</t>
  </si>
  <si>
    <t>6x6x18</t>
  </si>
  <si>
    <t>dhcp Nd3</t>
  </si>
  <si>
    <t>kpoints</t>
  </si>
  <si>
    <t>vol/at</t>
  </si>
  <si>
    <t>vol</t>
  </si>
  <si>
    <t>lanthanides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</si>
</sst>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Font="1"/>
    <xf numFmtId="15" fontId="0" fillId="0" borderId="0" xfId="0" applyNumberFormat="1"/>
    <xf numFmtId="164" fontId="0" fillId="0" borderId="0" xfId="0" applyNumberFormat="1" applyFont="1"/>
    <xf numFmtId="166" fontId="1" fillId="0" borderId="0" xfId="0" applyNumberFormat="1" applyFont="1"/>
    <xf numFmtId="11" fontId="1" fillId="0" borderId="0" xfId="0" applyNumberFormat="1" applyFont="1"/>
    <xf numFmtId="166" fontId="0" fillId="0" borderId="0" xfId="0" applyNumberFormat="1" applyFont="1"/>
    <xf numFmtId="11" fontId="0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'bulk test'!$G$10:$G$16</c:f>
              <c:numCache>
                <c:formatCode>General</c:formatCode>
                <c:ptCount val="7"/>
                <c:pt idx="0">
                  <c:v>844.98539200000005</c:v>
                </c:pt>
                <c:pt idx="1">
                  <c:v>444.19632200000001</c:v>
                </c:pt>
                <c:pt idx="2">
                  <c:v>251.691406</c:v>
                </c:pt>
                <c:pt idx="3">
                  <c:v>173.75928099999999</c:v>
                </c:pt>
                <c:pt idx="4">
                  <c:v>122.96477299999999</c:v>
                </c:pt>
                <c:pt idx="5">
                  <c:v>96.461095999999998</c:v>
                </c:pt>
                <c:pt idx="6">
                  <c:v>1.0113049999999999</c:v>
                </c:pt>
              </c:numCache>
            </c:numRef>
          </c:xVal>
          <c:yVal>
            <c:numRef>
              <c:f>'bulk test'!$E$10:$E$16</c:f>
              <c:numCache>
                <c:formatCode>General</c:formatCode>
                <c:ptCount val="7"/>
                <c:pt idx="0">
                  <c:v>-557.40295700000001</c:v>
                </c:pt>
                <c:pt idx="1">
                  <c:v>-538.85270200000002</c:v>
                </c:pt>
                <c:pt idx="2">
                  <c:v>-548.42318899999998</c:v>
                </c:pt>
                <c:pt idx="3">
                  <c:v>-527.28128400000003</c:v>
                </c:pt>
                <c:pt idx="4">
                  <c:v>-515.86840800000004</c:v>
                </c:pt>
                <c:pt idx="5">
                  <c:v>-483.89583299999998</c:v>
                </c:pt>
                <c:pt idx="6">
                  <c:v>-112.70248599999999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1-534A-8CA5-7F013960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20432"/>
        <c:axId val="1570322112"/>
      </c:scatterChart>
      <c:valAx>
        <c:axId val="1570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2112"/>
        <c:crosses val="autoZero"/>
        <c:crossBetween val="midCat"/>
      </c:valAx>
      <c:valAx>
        <c:axId val="15703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68835607767684"/>
                  <c:y val="-0.39587234042553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'bulk test'!$J$19:$J$26</c:f>
              <c:numCache>
                <c:formatCode>0.00</c:formatCode>
                <c:ptCount val="8"/>
                <c:pt idx="0">
                  <c:v>2</c:v>
                </c:pt>
                <c:pt idx="1">
                  <c:v>1.92578125</c:v>
                </c:pt>
                <c:pt idx="2">
                  <c:v>1.83203125</c:v>
                </c:pt>
                <c:pt idx="3">
                  <c:v>1.73046875</c:v>
                </c:pt>
                <c:pt idx="4">
                  <c:v>1.609375</c:v>
                </c:pt>
                <c:pt idx="5">
                  <c:v>1.421875</c:v>
                </c:pt>
                <c:pt idx="6">
                  <c:v>1.17578125</c:v>
                </c:pt>
                <c:pt idx="7">
                  <c:v>0.97265625</c:v>
                </c:pt>
              </c:numCache>
            </c:numRef>
          </c:xVal>
          <c:yVal>
            <c:numRef>
              <c:f>'bulk test'!$K$19:$K$26</c:f>
              <c:numCache>
                <c:formatCode>General</c:formatCode>
                <c:ptCount val="8"/>
                <c:pt idx="0">
                  <c:v>-5.7022271367187498</c:v>
                </c:pt>
                <c:pt idx="1">
                  <c:v>-5.486446688446045</c:v>
                </c:pt>
                <c:pt idx="2">
                  <c:v>-5.2256677702331542</c:v>
                </c:pt>
                <c:pt idx="3">
                  <c:v>-4.9507765202941902</c:v>
                </c:pt>
                <c:pt idx="4">
                  <c:v>-4.5906432105712893</c:v>
                </c:pt>
                <c:pt idx="5">
                  <c:v>-4.0523913819580084</c:v>
                </c:pt>
                <c:pt idx="6">
                  <c:v>-3.3482606513366693</c:v>
                </c:pt>
                <c:pt idx="7">
                  <c:v>-2.7878103467712392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F-B145-94B6-38E8D518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320432"/>
        <c:axId val="1570322112"/>
      </c:scatterChart>
      <c:valAx>
        <c:axId val="1570320432"/>
        <c:scaling>
          <c:orientation val="minMax"/>
          <c:max val="2.2000000000000002"/>
          <c:min val="0.8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2112"/>
        <c:crosses val="autoZero"/>
        <c:crossBetween val="midCat"/>
      </c:valAx>
      <c:valAx>
        <c:axId val="15703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strains!$H$7:$J$7</c:f>
              <c:numCache>
                <c:formatCode>General</c:formatCode>
                <c:ptCount val="3"/>
                <c:pt idx="0">
                  <c:v>1.0138003034440795</c:v>
                </c:pt>
                <c:pt idx="1">
                  <c:v>0.97552979682993912</c:v>
                </c:pt>
                <c:pt idx="2">
                  <c:v>1.0106698997259815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E-1D48-BA99-54A2423B2B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strains!$H$11:$J$11</c:f>
              <c:numCache>
                <c:formatCode>General</c:formatCode>
                <c:ptCount val="3"/>
                <c:pt idx="0">
                  <c:v>0.97213589448379667</c:v>
                </c:pt>
                <c:pt idx="1">
                  <c:v>1.0102732566644115</c:v>
                </c:pt>
                <c:pt idx="2">
                  <c:v>1.0175908488517913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6E-1D48-BA99-54A2423B2B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strains!$H$15:$J$15</c:f>
              <c:numCache>
                <c:formatCode>General</c:formatCode>
                <c:ptCount val="3"/>
                <c:pt idx="0">
                  <c:v>0.99758080674859773</c:v>
                </c:pt>
                <c:pt idx="1">
                  <c:v>1.007918707800737</c:v>
                </c:pt>
                <c:pt idx="2">
                  <c:v>0.99450048545066561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E-1D48-BA99-54A2423B2B33}"/>
            </c:ext>
          </c:extLst>
        </c:ser>
        <c:ser>
          <c:idx val="3"/>
          <c:order val="3"/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strains!$H$3:$J$3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E-1D48-BA99-54A2423B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86959"/>
        <c:axId val="1981688639"/>
      </c:scatterChart>
      <c:valAx>
        <c:axId val="198168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88639"/>
        <c:crosses val="autoZero"/>
        <c:crossBetween val="midCat"/>
      </c:valAx>
      <c:valAx>
        <c:axId val="1981688639"/>
        <c:scaling>
          <c:orientation val="minMax"/>
          <c:max val="1.03"/>
          <c:min val="0.9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8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strains!$H$26:$J$26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0-614B-BD3D-F2D24EEB7482}"/>
            </c:ext>
          </c:extLst>
        </c:ser>
        <c:ser>
          <c:idx val="3"/>
          <c:order val="1"/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strains!$H$3:$J$3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0-614B-BD3D-F2D24EEB7482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strains!$H$38:$J$38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10-614B-BD3D-F2D24EEB7482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strains!$H$26:$J$26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10-614B-BD3D-F2D24EEB7482}"/>
            </c:ext>
          </c:extLst>
        </c:ser>
        <c:ser>
          <c:idx val="6"/>
          <c:order val="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strains!$H$46:$J$46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10-614B-BD3D-F2D24EEB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686959"/>
        <c:axId val="1981688639"/>
      </c:scatterChart>
      <c:valAx>
        <c:axId val="198168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88639"/>
        <c:crosses val="autoZero"/>
        <c:crossBetween val="midCat"/>
      </c:valAx>
      <c:valAx>
        <c:axId val="1981688639"/>
        <c:scaling>
          <c:orientation val="minMax"/>
          <c:max val="1.02"/>
          <c:min val="0.9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8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'bulk 0K'!$B$31:$B$38</c:f>
              <c:numCache>
                <c:formatCode>General</c:formatCode>
                <c:ptCount val="8"/>
                <c:pt idx="0">
                  <c:v>2</c:v>
                </c:pt>
                <c:pt idx="1">
                  <c:v>1.88671875</c:v>
                </c:pt>
                <c:pt idx="2">
                  <c:v>1.7578125</c:v>
                </c:pt>
                <c:pt idx="3">
                  <c:v>1.66796875</c:v>
                </c:pt>
                <c:pt idx="4">
                  <c:v>1.5859375</c:v>
                </c:pt>
                <c:pt idx="5">
                  <c:v>1.37109375</c:v>
                </c:pt>
                <c:pt idx="6">
                  <c:v>1.1796875</c:v>
                </c:pt>
                <c:pt idx="7">
                  <c:v>0.98046875</c:v>
                </c:pt>
              </c:numCache>
            </c:numRef>
          </c:xVal>
          <c:yVal>
            <c:numRef>
              <c:f>'bulk 0K'!$C$31:$C$38</c:f>
              <c:numCache>
                <c:formatCode>General</c:formatCode>
                <c:ptCount val="8"/>
                <c:pt idx="0">
                  <c:v>-2.2019784263281252</c:v>
                </c:pt>
                <c:pt idx="1">
                  <c:v>-2.0688692173437513</c:v>
                </c:pt>
                <c:pt idx="2">
                  <c:v>-1.919024969296875</c:v>
                </c:pt>
                <c:pt idx="3">
                  <c:v>-1.8124732017187504</c:v>
                </c:pt>
                <c:pt idx="4">
                  <c:v>-1.7232125864843755</c:v>
                </c:pt>
                <c:pt idx="5">
                  <c:v>-1.4694742564062508</c:v>
                </c:pt>
                <c:pt idx="6">
                  <c:v>-1.2607101646093755</c:v>
                </c:pt>
                <c:pt idx="7">
                  <c:v>-1.0658959360937512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5-F949-815D-B3AA7526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15039"/>
        <c:axId val="1556116719"/>
      </c:scatterChart>
      <c:valAx>
        <c:axId val="1556115039"/>
        <c:scaling>
          <c:orientation val="minMax"/>
          <c:min val="0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H/Zr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16719"/>
        <c:crosses val="autoZero"/>
        <c:crossBetween val="midCat"/>
        <c:majorUnit val="0.2"/>
      </c:valAx>
      <c:valAx>
        <c:axId val="1556116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 / Zr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15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1</xdr:row>
      <xdr:rowOff>190500</xdr:rowOff>
    </xdr:from>
    <xdr:to>
      <xdr:col>19</xdr:col>
      <xdr:colOff>6350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3CCA6-A55B-B94B-8F5C-11789A18F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20</xdr:row>
      <xdr:rowOff>25400</xdr:rowOff>
    </xdr:from>
    <xdr:to>
      <xdr:col>19</xdr:col>
      <xdr:colOff>203200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0124A-CDD6-0940-B80D-1E7AA7D48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1</xdr:row>
      <xdr:rowOff>196850</xdr:rowOff>
    </xdr:from>
    <xdr:to>
      <xdr:col>18</xdr:col>
      <xdr:colOff>787400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6A9CD-2D2D-E547-A1F4-C90CC257D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23</xdr:row>
      <xdr:rowOff>139700</xdr:rowOff>
    </xdr:from>
    <xdr:to>
      <xdr:col>18</xdr:col>
      <xdr:colOff>774700</xdr:colOff>
      <xdr:row>43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04EBB-772D-F443-A45B-BCAA46933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27</xdr:row>
      <xdr:rowOff>114300</xdr:rowOff>
    </xdr:from>
    <xdr:to>
      <xdr:col>8</xdr:col>
      <xdr:colOff>520700</xdr:colOff>
      <xdr:row>43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ADFD2-7778-2748-9635-2435C3C57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DE97-0D97-F045-AB95-669B579FC15A}">
  <dimension ref="A2:J35"/>
  <sheetViews>
    <sheetView tabSelected="1" topLeftCell="A34" workbookViewId="0">
      <selection activeCell="B4" sqref="B4"/>
    </sheetView>
  </sheetViews>
  <sheetFormatPr baseColWidth="10" defaultRowHeight="16" x14ac:dyDescent="0.2"/>
  <sheetData>
    <row r="2" spans="1:10" x14ac:dyDescent="0.2">
      <c r="A2" t="s">
        <v>90</v>
      </c>
    </row>
    <row r="4" spans="1:10" x14ac:dyDescent="0.2">
      <c r="D4" t="s">
        <v>30</v>
      </c>
      <c r="E4" t="s">
        <v>2</v>
      </c>
      <c r="F4" t="s">
        <v>19</v>
      </c>
      <c r="G4" t="s">
        <v>20</v>
      </c>
      <c r="H4" t="s">
        <v>89</v>
      </c>
      <c r="I4" t="s">
        <v>88</v>
      </c>
      <c r="J4" t="s">
        <v>87</v>
      </c>
    </row>
    <row r="5" spans="1:10" x14ac:dyDescent="0.2">
      <c r="C5" t="s">
        <v>86</v>
      </c>
      <c r="D5" s="18">
        <v>-18.898021</v>
      </c>
      <c r="E5" s="18">
        <f>D5/4</f>
        <v>-4.72450525</v>
      </c>
      <c r="F5" s="17">
        <v>3.7070283910000001</v>
      </c>
      <c r="G5" s="17">
        <v>11.902219469</v>
      </c>
      <c r="H5" s="16">
        <v>141.65</v>
      </c>
      <c r="I5" s="16">
        <f>H5/4</f>
        <v>35.412500000000001</v>
      </c>
      <c r="J5" s="16" t="s">
        <v>85</v>
      </c>
    </row>
    <row r="6" spans="1:10" x14ac:dyDescent="0.2">
      <c r="C6" t="s">
        <v>62</v>
      </c>
      <c r="D6" s="14">
        <v>-20.868545000000001</v>
      </c>
      <c r="E6" s="15">
        <f>D6/4</f>
        <v>-5.2171362500000003</v>
      </c>
      <c r="F6" s="4">
        <v>3.937945595</v>
      </c>
      <c r="G6" s="4"/>
      <c r="H6">
        <v>61.07</v>
      </c>
      <c r="I6">
        <f>H6/4</f>
        <v>15.2675</v>
      </c>
      <c r="J6" t="s">
        <v>84</v>
      </c>
    </row>
    <row r="7" spans="1:10" x14ac:dyDescent="0.2">
      <c r="C7" t="s">
        <v>72</v>
      </c>
      <c r="D7" s="14">
        <v>-30.534264</v>
      </c>
      <c r="E7" s="15">
        <f>D7/4</f>
        <v>-7.6335660000000001</v>
      </c>
      <c r="F7" s="4">
        <v>3.5720864840000002</v>
      </c>
      <c r="G7" s="4">
        <v>11.485322161999999</v>
      </c>
      <c r="H7">
        <v>126.92</v>
      </c>
      <c r="I7">
        <f>H7/4</f>
        <v>31.73</v>
      </c>
    </row>
    <row r="8" spans="1:10" x14ac:dyDescent="0.2">
      <c r="C8" t="s">
        <v>83</v>
      </c>
      <c r="D8" s="14">
        <v>-30.597470000000001</v>
      </c>
      <c r="E8" s="10">
        <f>D8/4</f>
        <v>-7.6493675000000003</v>
      </c>
      <c r="F8" s="4">
        <v>5.0681828209999997</v>
      </c>
      <c r="G8" s="4">
        <v>5.0681828209999997</v>
      </c>
      <c r="H8">
        <v>130.18</v>
      </c>
      <c r="I8">
        <f>H8/4</f>
        <v>32.545000000000002</v>
      </c>
    </row>
    <row r="9" spans="1:10" x14ac:dyDescent="0.2">
      <c r="C9" t="s">
        <v>82</v>
      </c>
      <c r="D9" s="14">
        <v>-18.823360999999998</v>
      </c>
      <c r="E9" s="12">
        <f>D9/4</f>
        <v>-4.7058402499999996</v>
      </c>
      <c r="F9" s="4">
        <v>5.2115856760000003</v>
      </c>
      <c r="G9" s="4">
        <v>5.2115856779999996</v>
      </c>
      <c r="H9">
        <v>141.55000000000001</v>
      </c>
      <c r="I9">
        <f>H9/4</f>
        <v>35.387500000000003</v>
      </c>
    </row>
    <row r="10" spans="1:10" x14ac:dyDescent="0.2">
      <c r="E10" s="8"/>
      <c r="F10" s="4"/>
      <c r="G10" s="4"/>
    </row>
    <row r="11" spans="1:10" x14ac:dyDescent="0.2">
      <c r="C11" t="s">
        <v>81</v>
      </c>
      <c r="D11" s="14">
        <v>-15.073152</v>
      </c>
      <c r="E11" s="14">
        <f>D11/4</f>
        <v>-3.7682880000000001</v>
      </c>
      <c r="F11" s="4">
        <v>4.8070777969999998</v>
      </c>
      <c r="G11" s="4">
        <v>4.8070777969999998</v>
      </c>
      <c r="H11">
        <v>111.08</v>
      </c>
      <c r="I11">
        <f>H11/4</f>
        <v>27.77</v>
      </c>
    </row>
    <row r="12" spans="1:10" x14ac:dyDescent="0.2">
      <c r="C12" t="s">
        <v>80</v>
      </c>
      <c r="D12" s="10">
        <v>-30.489234</v>
      </c>
      <c r="E12" s="10">
        <f>D12/8</f>
        <v>-3.81115425</v>
      </c>
      <c r="F12" s="4">
        <v>6.6329602019999996</v>
      </c>
      <c r="G12" s="4">
        <v>6.6329602019999996</v>
      </c>
      <c r="H12">
        <v>291.82</v>
      </c>
      <c r="I12">
        <f>H12/8</f>
        <v>36.477499999999999</v>
      </c>
    </row>
    <row r="13" spans="1:10" x14ac:dyDescent="0.2">
      <c r="C13" t="s">
        <v>79</v>
      </c>
      <c r="D13" s="14">
        <v>-3.5538305000000001</v>
      </c>
      <c r="E13" s="14">
        <f>D13</f>
        <v>-3.5538305000000001</v>
      </c>
    </row>
    <row r="15" spans="1:10" x14ac:dyDescent="0.2">
      <c r="C15" t="s">
        <v>78</v>
      </c>
      <c r="D15" s="9">
        <v>-23.711925000000001</v>
      </c>
      <c r="E15" s="9">
        <f>D15/4</f>
        <v>-5.9279812500000002</v>
      </c>
      <c r="F15" s="9">
        <v>4.7051217630000002</v>
      </c>
      <c r="G15" s="7"/>
      <c r="H15" s="7">
        <v>104.16</v>
      </c>
      <c r="I15" s="7">
        <f>H15/4</f>
        <v>26.04</v>
      </c>
    </row>
    <row r="18" spans="2:9" x14ac:dyDescent="0.2">
      <c r="D18" t="s">
        <v>77</v>
      </c>
    </row>
    <row r="19" spans="2:9" x14ac:dyDescent="0.2">
      <c r="D19" t="s">
        <v>76</v>
      </c>
      <c r="E19">
        <v>-2798.3368999999998</v>
      </c>
      <c r="F19" s="9">
        <f>E19-251*$E$3-E5</f>
        <v>-2793.6123947499996</v>
      </c>
    </row>
    <row r="20" spans="2:9" x14ac:dyDescent="0.2">
      <c r="D20" t="s">
        <v>75</v>
      </c>
      <c r="E20">
        <v>-2786.4223999999999</v>
      </c>
      <c r="F20" s="12" t="e">
        <f>E20-250*#REF!-E$3</f>
        <v>#REF!</v>
      </c>
      <c r="G20" s="4" t="e">
        <f>F20-$N$17-$D$7</f>
        <v>#REF!</v>
      </c>
    </row>
    <row r="21" spans="2:9" x14ac:dyDescent="0.2">
      <c r="D21" t="s">
        <v>74</v>
      </c>
      <c r="E21">
        <v>-2786.6713</v>
      </c>
      <c r="F21" s="12" t="e">
        <f>E21-250*#REF!-E$3</f>
        <v>#REF!</v>
      </c>
      <c r="G21" s="4" t="e">
        <f>F21-$N$17-$D$7</f>
        <v>#REF!</v>
      </c>
    </row>
    <row r="22" spans="2:9" x14ac:dyDescent="0.2">
      <c r="D22" t="s">
        <v>73</v>
      </c>
      <c r="E22">
        <v>-2785.7109999999998</v>
      </c>
      <c r="F22" s="12" t="e">
        <f>E22-250*#REF!-E$3</f>
        <v>#REF!</v>
      </c>
      <c r="G22" s="4" t="e">
        <f>F22-$N$17-$D$7</f>
        <v>#REF!</v>
      </c>
    </row>
    <row r="24" spans="2:9" x14ac:dyDescent="0.2">
      <c r="C24" s="6" t="s">
        <v>72</v>
      </c>
      <c r="D24" t="s">
        <v>30</v>
      </c>
      <c r="E24" t="s">
        <v>2</v>
      </c>
      <c r="F24" t="s">
        <v>19</v>
      </c>
      <c r="G24" t="s">
        <v>20</v>
      </c>
      <c r="H24" t="s">
        <v>31</v>
      </c>
      <c r="I24" t="s">
        <v>3</v>
      </c>
    </row>
    <row r="25" spans="2:9" x14ac:dyDescent="0.2">
      <c r="B25" t="s">
        <v>71</v>
      </c>
      <c r="C25" t="s">
        <v>70</v>
      </c>
      <c r="D25" s="13">
        <v>-25.882321999999998</v>
      </c>
      <c r="E25" s="12">
        <f>D25/4</f>
        <v>-6.4705804999999996</v>
      </c>
      <c r="F25">
        <v>2.7834202810000002</v>
      </c>
      <c r="G25">
        <v>11.615744702000001</v>
      </c>
      <c r="H25">
        <v>77.930000000000007</v>
      </c>
      <c r="I25">
        <f>H25/4</f>
        <v>19.482500000000002</v>
      </c>
    </row>
    <row r="26" spans="2:9" x14ac:dyDescent="0.2">
      <c r="B26" t="s">
        <v>69</v>
      </c>
      <c r="C26" t="s">
        <v>66</v>
      </c>
      <c r="D26" s="6">
        <v>-30.487316</v>
      </c>
      <c r="E26" s="12">
        <f>D26/4</f>
        <v>-7.621829</v>
      </c>
      <c r="F26">
        <v>4.9276286320000002</v>
      </c>
      <c r="H26">
        <v>119.64</v>
      </c>
      <c r="I26">
        <f>H26/4</f>
        <v>29.91</v>
      </c>
    </row>
    <row r="27" spans="2:9" x14ac:dyDescent="0.2">
      <c r="B27" t="s">
        <v>68</v>
      </c>
      <c r="C27" t="s">
        <v>67</v>
      </c>
      <c r="D27" s="6">
        <v>-25.772659000000001</v>
      </c>
      <c r="E27" s="12">
        <f>D27/4</f>
        <v>-6.4431647500000002</v>
      </c>
      <c r="F27">
        <v>3.043541968</v>
      </c>
      <c r="G27">
        <v>10.872571699</v>
      </c>
      <c r="H27">
        <v>87.21</v>
      </c>
      <c r="I27">
        <f>H27/4</f>
        <v>21.802499999999998</v>
      </c>
    </row>
    <row r="28" spans="2:9" x14ac:dyDescent="0.2">
      <c r="C28" s="3" t="s">
        <v>66</v>
      </c>
      <c r="D28" s="11">
        <v>-25.824999999999999</v>
      </c>
      <c r="E28" s="10">
        <f>D28/4</f>
        <v>-6.4562499999999998</v>
      </c>
      <c r="F28" s="3">
        <v>4.4741354380000002</v>
      </c>
      <c r="G28" s="3"/>
      <c r="H28" s="3">
        <v>89.56</v>
      </c>
      <c r="I28" s="3">
        <f>H28/4</f>
        <v>22.39</v>
      </c>
    </row>
    <row r="29" spans="2:9" x14ac:dyDescent="0.2">
      <c r="C29" t="s">
        <v>65</v>
      </c>
      <c r="D29" s="6">
        <v>-25.990741</v>
      </c>
      <c r="E29" s="9">
        <f>D29/4</f>
        <v>-6.49768525</v>
      </c>
      <c r="F29" s="7">
        <v>2.763484606</v>
      </c>
      <c r="G29" s="7">
        <v>12.395883639999999</v>
      </c>
      <c r="H29" s="7">
        <f>G29*F29*F29*SQRT(3)/2</f>
        <v>81.982700899138578</v>
      </c>
    </row>
    <row r="32" spans="2:9" x14ac:dyDescent="0.2">
      <c r="C32" t="s">
        <v>64</v>
      </c>
      <c r="E32" t="s">
        <v>19</v>
      </c>
      <c r="F32" s="8" t="s">
        <v>20</v>
      </c>
    </row>
    <row r="33" spans="3:6" x14ac:dyDescent="0.2">
      <c r="C33" t="s">
        <v>63</v>
      </c>
      <c r="E33">
        <v>3.6579999999999999</v>
      </c>
      <c r="F33">
        <v>11.797000000000001</v>
      </c>
    </row>
    <row r="34" spans="3:6" x14ac:dyDescent="0.2">
      <c r="C34" t="s">
        <v>62</v>
      </c>
      <c r="E34">
        <v>3.89</v>
      </c>
    </row>
    <row r="35" spans="3:6" x14ac:dyDescent="0.2">
      <c r="C35" t="s">
        <v>61</v>
      </c>
      <c r="E35">
        <v>6.4889999999999999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1A86-2387-694F-A104-1F57CB5B396A}">
  <dimension ref="A2:M36"/>
  <sheetViews>
    <sheetView workbookViewId="0">
      <selection activeCell="J5" sqref="J5"/>
    </sheetView>
  </sheetViews>
  <sheetFormatPr baseColWidth="10" defaultRowHeight="16" x14ac:dyDescent="0.2"/>
  <sheetData>
    <row r="2" spans="1:12" x14ac:dyDescent="0.2">
      <c r="I2">
        <f>I4/4/SQRT(3)</f>
        <v>3.2367560902378791</v>
      </c>
    </row>
    <row r="3" spans="1:12" x14ac:dyDescent="0.2">
      <c r="B3" t="s">
        <v>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2</v>
      </c>
      <c r="L3" t="s">
        <v>3</v>
      </c>
    </row>
    <row r="4" spans="1:12" x14ac:dyDescent="0.2">
      <c r="B4">
        <v>100000</v>
      </c>
      <c r="C4">
        <v>297.24863599999998</v>
      </c>
      <c r="D4">
        <v>-1606.0749840000001</v>
      </c>
      <c r="E4">
        <v>-1596.2772709999999</v>
      </c>
      <c r="F4">
        <v>5999.9261710000001</v>
      </c>
      <c r="G4">
        <v>-5.7781909999999996</v>
      </c>
      <c r="H4">
        <v>12.937233000000001</v>
      </c>
      <c r="I4">
        <v>22.424904000000002</v>
      </c>
      <c r="J4">
        <v>20.681225999999999</v>
      </c>
      <c r="K4">
        <f>D4/256</f>
        <v>-6.2737304062500003</v>
      </c>
      <c r="L4">
        <f>F4/256</f>
        <v>23.43721160546875</v>
      </c>
    </row>
    <row r="5" spans="1:12" x14ac:dyDescent="0.2">
      <c r="G5" t="s">
        <v>19</v>
      </c>
      <c r="H5">
        <f>H4/4</f>
        <v>3.2343082500000002</v>
      </c>
      <c r="I5" t="s">
        <v>20</v>
      </c>
      <c r="J5">
        <f>J4/4</f>
        <v>5.1703064999999997</v>
      </c>
    </row>
    <row r="6" spans="1:12" x14ac:dyDescent="0.2">
      <c r="A6" t="s">
        <v>56</v>
      </c>
    </row>
    <row r="9" spans="1:12" x14ac:dyDescent="0.2">
      <c r="B9" t="s">
        <v>1</v>
      </c>
      <c r="F9" t="s">
        <v>31</v>
      </c>
      <c r="G9" t="s">
        <v>42</v>
      </c>
      <c r="I9" t="s">
        <v>2</v>
      </c>
    </row>
    <row r="10" spans="1:12" x14ac:dyDescent="0.2">
      <c r="A10" t="s">
        <v>8</v>
      </c>
      <c r="B10">
        <v>100000</v>
      </c>
      <c r="C10">
        <v>318.81248900000003</v>
      </c>
      <c r="D10">
        <v>-567.91144299999996</v>
      </c>
      <c r="E10">
        <v>-557.40295700000001</v>
      </c>
      <c r="F10">
        <v>8000</v>
      </c>
      <c r="G10">
        <v>844.98539200000005</v>
      </c>
      <c r="I10">
        <f>D10/256</f>
        <v>-2.2184040742187499</v>
      </c>
    </row>
    <row r="11" spans="1:12" x14ac:dyDescent="0.2">
      <c r="A11" t="s">
        <v>8</v>
      </c>
      <c r="B11">
        <v>100000</v>
      </c>
      <c r="C11">
        <v>309.49348099999997</v>
      </c>
      <c r="D11">
        <v>-549.05402100000003</v>
      </c>
      <c r="E11">
        <v>-538.85270200000002</v>
      </c>
      <c r="F11">
        <v>13824</v>
      </c>
      <c r="G11">
        <v>444.19632200000001</v>
      </c>
      <c r="I11">
        <f>D11/256</f>
        <v>-2.1447422695312501</v>
      </c>
    </row>
    <row r="12" spans="1:12" x14ac:dyDescent="0.2">
      <c r="A12" t="s">
        <v>8</v>
      </c>
      <c r="B12">
        <v>100000</v>
      </c>
      <c r="C12">
        <v>299.16990199999998</v>
      </c>
      <c r="D12">
        <v>-558.28422899999998</v>
      </c>
      <c r="E12">
        <v>-548.42318899999998</v>
      </c>
      <c r="F12">
        <v>21952</v>
      </c>
      <c r="G12">
        <v>251.691406</v>
      </c>
      <c r="I12">
        <f>D12/256</f>
        <v>-2.1807977695312499</v>
      </c>
    </row>
    <row r="13" spans="1:12" x14ac:dyDescent="0.2">
      <c r="A13" t="s">
        <v>8</v>
      </c>
      <c r="B13">
        <v>100000</v>
      </c>
      <c r="C13">
        <v>300.42061699999999</v>
      </c>
      <c r="D13">
        <v>-537.18354899999997</v>
      </c>
      <c r="E13">
        <v>-527.28128400000003</v>
      </c>
      <c r="F13">
        <v>32768</v>
      </c>
      <c r="G13">
        <v>173.75928099999999</v>
      </c>
      <c r="I13">
        <f>D13/256</f>
        <v>-2.0983732382812499</v>
      </c>
    </row>
    <row r="14" spans="1:12" x14ac:dyDescent="0.2">
      <c r="A14" t="s">
        <v>8</v>
      </c>
      <c r="B14">
        <v>100000</v>
      </c>
      <c r="C14">
        <v>299.192184</v>
      </c>
      <c r="D14">
        <v>-525.73018200000001</v>
      </c>
      <c r="E14">
        <v>-515.86840800000004</v>
      </c>
      <c r="F14">
        <v>46656</v>
      </c>
      <c r="G14">
        <v>122.96477299999999</v>
      </c>
      <c r="I14">
        <f t="shared" ref="I14:I16" si="0">D14/256</f>
        <v>-2.0536335234375001</v>
      </c>
    </row>
    <row r="15" spans="1:12" x14ac:dyDescent="0.2">
      <c r="A15" t="s">
        <v>8</v>
      </c>
      <c r="B15">
        <v>100000</v>
      </c>
      <c r="C15">
        <v>306.01790999999997</v>
      </c>
      <c r="D15">
        <v>-493.98259300000001</v>
      </c>
      <c r="E15">
        <v>-483.89583299999998</v>
      </c>
      <c r="F15">
        <v>64000</v>
      </c>
      <c r="G15">
        <v>96.461095999999998</v>
      </c>
      <c r="I15">
        <f t="shared" si="0"/>
        <v>-1.92961950390625</v>
      </c>
    </row>
    <row r="16" spans="1:12" x14ac:dyDescent="0.2">
      <c r="A16" t="s">
        <v>9</v>
      </c>
      <c r="B16">
        <v>100000</v>
      </c>
      <c r="C16">
        <v>297.97202700000003</v>
      </c>
      <c r="D16">
        <v>-122.52404199999999</v>
      </c>
      <c r="E16">
        <v>-112.70248599999999</v>
      </c>
      <c r="F16">
        <v>9236031.8849669993</v>
      </c>
      <c r="G16">
        <v>1.0113049999999999</v>
      </c>
      <c r="I16">
        <f t="shared" si="0"/>
        <v>-0.47860953906249998</v>
      </c>
    </row>
    <row r="18" spans="2:13" x14ac:dyDescent="0.2">
      <c r="B18" t="s">
        <v>4</v>
      </c>
      <c r="C18" t="s">
        <v>29</v>
      </c>
      <c r="H18" t="s">
        <v>5</v>
      </c>
      <c r="I18" t="s">
        <v>6</v>
      </c>
      <c r="J18" t="s">
        <v>7</v>
      </c>
      <c r="K18" t="s">
        <v>10</v>
      </c>
      <c r="L18" t="s">
        <v>21</v>
      </c>
      <c r="M18" t="s">
        <v>2</v>
      </c>
    </row>
    <row r="19" spans="2:13" x14ac:dyDescent="0.2">
      <c r="B19">
        <v>100000</v>
      </c>
      <c r="C19">
        <v>300.89289300000002</v>
      </c>
      <c r="D19">
        <v>-3310.8932150000001</v>
      </c>
      <c r="E19">
        <v>-3281.0619320000001</v>
      </c>
      <c r="F19">
        <v>7240.5027149999996</v>
      </c>
      <c r="G19">
        <v>-2.8613960000000001</v>
      </c>
      <c r="H19">
        <v>256</v>
      </c>
      <c r="I19" s="1">
        <v>512</v>
      </c>
      <c r="J19" s="2">
        <f>I19/H19</f>
        <v>2</v>
      </c>
      <c r="K19">
        <f>(D19-H19*$K$4-I19*$I$16)/H19</f>
        <v>-5.7022271367187498</v>
      </c>
      <c r="L19">
        <f>(F19^(1/3))/4</f>
        <v>4.8364820718719432</v>
      </c>
      <c r="M19">
        <f>D19/SUM(H19:I19)</f>
        <v>-4.3110588736979167</v>
      </c>
    </row>
    <row r="20" spans="2:13" x14ac:dyDescent="0.2">
      <c r="B20">
        <v>100000</v>
      </c>
      <c r="C20">
        <v>300.99702000000002</v>
      </c>
      <c r="D20">
        <v>-3246.559839</v>
      </c>
      <c r="E20">
        <v>-3217.4574640000001</v>
      </c>
      <c r="F20">
        <v>7208.5378769999998</v>
      </c>
      <c r="G20">
        <v>-2.5466220000000002</v>
      </c>
      <c r="H20">
        <v>256</v>
      </c>
      <c r="I20" s="1">
        <v>493</v>
      </c>
      <c r="J20" s="2">
        <f t="shared" ref="J20:J23" si="1">I20/H20</f>
        <v>1.92578125</v>
      </c>
      <c r="K20">
        <f>(D20-H20*$K$4-I20*$I$16)/H20</f>
        <v>-5.486446688446045</v>
      </c>
      <c r="L20">
        <f t="shared" ref="L20:L29" si="2">(F20^(1/3))/4</f>
        <v>4.8293543242866823</v>
      </c>
    </row>
    <row r="21" spans="2:13" x14ac:dyDescent="0.2">
      <c r="B21">
        <v>100000</v>
      </c>
      <c r="C21">
        <v>301.58609100000001</v>
      </c>
      <c r="D21">
        <v>-3168.313807</v>
      </c>
      <c r="E21">
        <v>-3140.0900700000002</v>
      </c>
      <c r="F21">
        <v>7340.5493420000003</v>
      </c>
      <c r="G21">
        <v>-1.7216419999999999</v>
      </c>
      <c r="H21">
        <v>256</v>
      </c>
      <c r="I21" s="1">
        <v>469</v>
      </c>
      <c r="J21" s="2">
        <f t="shared" si="1"/>
        <v>1.83203125</v>
      </c>
      <c r="K21">
        <f>(D21-H21*$K$4-I21*$I$16)/H21</f>
        <v>-5.2256677702331542</v>
      </c>
      <c r="L21">
        <f t="shared" si="2"/>
        <v>4.8586564993248764</v>
      </c>
    </row>
    <row r="22" spans="2:13" x14ac:dyDescent="0.2">
      <c r="B22">
        <v>100000</v>
      </c>
      <c r="C22">
        <v>300.399992</v>
      </c>
      <c r="D22">
        <v>-3085.4977990000002</v>
      </c>
      <c r="E22">
        <v>-3058.394636</v>
      </c>
      <c r="F22">
        <v>7582.8213130000004</v>
      </c>
      <c r="G22">
        <v>-0.92764100000000005</v>
      </c>
      <c r="H22">
        <v>256</v>
      </c>
      <c r="I22" s="1">
        <v>443</v>
      </c>
      <c r="J22" s="2">
        <f t="shared" ref="J22" si="3">I22/H22</f>
        <v>1.73046875</v>
      </c>
      <c r="K22">
        <f>(D22-H22*$K$4-I22*$I$16)/H22</f>
        <v>-4.9507765202941902</v>
      </c>
      <c r="L22">
        <f t="shared" si="2"/>
        <v>4.911531676835474</v>
      </c>
    </row>
    <row r="23" spans="2:13" x14ac:dyDescent="0.2">
      <c r="B23">
        <v>100000</v>
      </c>
      <c r="C23">
        <v>301.983024</v>
      </c>
      <c r="D23">
        <v>-2978.4667760000002</v>
      </c>
      <c r="E23">
        <v>-2952.430852</v>
      </c>
      <c r="F23">
        <v>7438.6191630000003</v>
      </c>
      <c r="G23">
        <v>-0.84641999999999995</v>
      </c>
      <c r="H23">
        <v>256</v>
      </c>
      <c r="I23" s="1">
        <v>412</v>
      </c>
      <c r="J23" s="2">
        <f t="shared" ref="J23:J24" si="4">I23/H23</f>
        <v>1.609375</v>
      </c>
      <c r="K23">
        <f>(D23-H23*$K$4-I23*$I$16)/H23</f>
        <v>-4.5906432105712893</v>
      </c>
      <c r="L23">
        <f t="shared" si="2"/>
        <v>4.8801980852960956</v>
      </c>
    </row>
    <row r="24" spans="2:13" x14ac:dyDescent="0.2">
      <c r="B24">
        <v>100000</v>
      </c>
      <c r="C24">
        <v>303.26581399999998</v>
      </c>
      <c r="D24">
        <v>-2817.7010500000001</v>
      </c>
      <c r="E24">
        <v>-2793.4361370000001</v>
      </c>
      <c r="F24">
        <v>7213.4519760000003</v>
      </c>
      <c r="G24">
        <v>-1.2654810000000001</v>
      </c>
      <c r="H24">
        <v>256</v>
      </c>
      <c r="I24" s="1">
        <v>364</v>
      </c>
      <c r="J24" s="2">
        <f t="shared" si="4"/>
        <v>1.421875</v>
      </c>
      <c r="K24">
        <f>(D24-H24*$K$4-I24*$I$16)/H24</f>
        <v>-4.0523913819580084</v>
      </c>
      <c r="L24">
        <f t="shared" si="2"/>
        <v>4.8304514739433326</v>
      </c>
    </row>
    <row r="25" spans="2:13" x14ac:dyDescent="0.2">
      <c r="B25">
        <v>100000</v>
      </c>
      <c r="C25">
        <v>303.86205699999999</v>
      </c>
      <c r="D25">
        <v>-2607.2911819999999</v>
      </c>
      <c r="E25">
        <v>-2585.4530289999998</v>
      </c>
      <c r="F25">
        <v>6953.6727680000004</v>
      </c>
      <c r="G25">
        <v>-1.829426</v>
      </c>
      <c r="H25">
        <v>256</v>
      </c>
      <c r="I25" s="1">
        <v>301</v>
      </c>
      <c r="J25" s="2">
        <f t="shared" ref="J25:J27" si="5">I25/H25</f>
        <v>1.17578125</v>
      </c>
      <c r="K25">
        <f>(D25-H25*$K$4-I25*$I$16)/H25</f>
        <v>-3.3482606513366693</v>
      </c>
      <c r="L25">
        <f t="shared" si="2"/>
        <v>4.7717545008110491</v>
      </c>
    </row>
    <row r="26" spans="2:13" x14ac:dyDescent="0.2">
      <c r="B26">
        <v>100000</v>
      </c>
      <c r="C26">
        <v>305.86674099999999</v>
      </c>
      <c r="D26">
        <v>-2438.9282079999998</v>
      </c>
      <c r="E26">
        <v>-2419.0018730000002</v>
      </c>
      <c r="F26">
        <v>6743.4421389999998</v>
      </c>
      <c r="G26">
        <v>-1.435549</v>
      </c>
      <c r="H26">
        <v>256</v>
      </c>
      <c r="I26" s="1">
        <v>249</v>
      </c>
      <c r="J26" s="2">
        <f t="shared" si="5"/>
        <v>0.97265625</v>
      </c>
      <c r="K26">
        <f>(D26-H26*$K$4-I26*$I$16)/H26</f>
        <v>-2.7878103467712392</v>
      </c>
      <c r="L26">
        <f t="shared" si="2"/>
        <v>4.7231733696439244</v>
      </c>
    </row>
    <row r="27" spans="2:13" x14ac:dyDescent="0.2">
      <c r="I27" s="1"/>
      <c r="J27" s="2"/>
    </row>
    <row r="28" spans="2:13" x14ac:dyDescent="0.2">
      <c r="I28" s="1"/>
      <c r="J28" s="2"/>
    </row>
    <row r="29" spans="2:13" x14ac:dyDescent="0.2">
      <c r="I29" s="1"/>
    </row>
    <row r="31" spans="2:13" x14ac:dyDescent="0.2">
      <c r="I31" s="1"/>
      <c r="J31" s="2"/>
    </row>
    <row r="35" spans="9:9" x14ac:dyDescent="0.2">
      <c r="I35" s="1"/>
    </row>
    <row r="36" spans="9:9" x14ac:dyDescent="0.2">
      <c r="I3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31D8-216D-B344-BD92-DDFC685AB133}">
  <dimension ref="A3:K71"/>
  <sheetViews>
    <sheetView topLeftCell="A34" workbookViewId="0">
      <selection activeCell="G63" sqref="G63"/>
    </sheetView>
  </sheetViews>
  <sheetFormatPr baseColWidth="10" defaultRowHeight="16" x14ac:dyDescent="0.2"/>
  <sheetData>
    <row r="3" spans="1:11" x14ac:dyDescent="0.2">
      <c r="H3">
        <v>1</v>
      </c>
      <c r="I3">
        <v>1</v>
      </c>
      <c r="J3">
        <v>1</v>
      </c>
    </row>
    <row r="4" spans="1:11" x14ac:dyDescent="0.2">
      <c r="B4" t="s">
        <v>0</v>
      </c>
      <c r="E4" t="s">
        <v>23</v>
      </c>
      <c r="H4" t="s">
        <v>25</v>
      </c>
    </row>
    <row r="5" spans="1:11" x14ac:dyDescent="0.2">
      <c r="B5" t="s">
        <v>45</v>
      </c>
      <c r="C5" t="s">
        <v>44</v>
      </c>
      <c r="E5" t="s">
        <v>45</v>
      </c>
      <c r="H5" t="s">
        <v>19</v>
      </c>
      <c r="I5" t="s">
        <v>22</v>
      </c>
      <c r="J5" t="s">
        <v>24</v>
      </c>
    </row>
    <row r="6" spans="1:11" x14ac:dyDescent="0.2">
      <c r="A6">
        <v>1</v>
      </c>
      <c r="B6">
        <v>3.2343082500000002</v>
      </c>
      <c r="C6">
        <f>B6*SQRT(3)</f>
        <v>5.6019862163391823</v>
      </c>
      <c r="E6">
        <v>4.8364820718719397</v>
      </c>
      <c r="H6" s="7">
        <v>29.108774250000007</v>
      </c>
      <c r="I6" s="7">
        <v>28.00993108169591</v>
      </c>
      <c r="J6" s="7">
        <v>29.018892431231642</v>
      </c>
      <c r="K6" s="7">
        <f>AVERAGE(H6:J6)</f>
        <v>28.712532587642517</v>
      </c>
    </row>
    <row r="7" spans="1:11" x14ac:dyDescent="0.2">
      <c r="A7">
        <v>2</v>
      </c>
      <c r="B7">
        <f>B6+B$6</f>
        <v>6.4686165000000004</v>
      </c>
      <c r="C7">
        <f>C6+C$6</f>
        <v>11.203972432678365</v>
      </c>
      <c r="E7">
        <f>E6+E$6</f>
        <v>9.6729641437438794</v>
      </c>
      <c r="H7" s="7">
        <f>H6/$K6</f>
        <v>1.0138003034440795</v>
      </c>
      <c r="I7" s="7">
        <f t="shared" ref="I7:J7" si="0">I6/$K6</f>
        <v>0.97552979682993912</v>
      </c>
      <c r="J7" s="7">
        <f t="shared" si="0"/>
        <v>1.0106698997259815</v>
      </c>
      <c r="K7" s="3"/>
    </row>
    <row r="8" spans="1:11" x14ac:dyDescent="0.2">
      <c r="A8">
        <v>3</v>
      </c>
      <c r="B8">
        <f t="shared" ref="B8:B36" si="1">B7+B$6</f>
        <v>9.7029247500000011</v>
      </c>
      <c r="C8">
        <f t="shared" ref="C8:C23" si="2">C7+C$6</f>
        <v>16.805958649017548</v>
      </c>
      <c r="E8">
        <f t="shared" ref="E8:E25" si="3">E7+E$6</f>
        <v>14.509446215615819</v>
      </c>
      <c r="H8" s="7">
        <v>9</v>
      </c>
      <c r="I8" s="7">
        <v>5</v>
      </c>
      <c r="J8" s="7">
        <v>6</v>
      </c>
      <c r="K8" s="3"/>
    </row>
    <row r="9" spans="1:11" x14ac:dyDescent="0.2">
      <c r="A9">
        <v>4</v>
      </c>
      <c r="B9">
        <f t="shared" si="1"/>
        <v>12.937233000000001</v>
      </c>
      <c r="C9">
        <f t="shared" si="2"/>
        <v>22.407944865356729</v>
      </c>
      <c r="E9">
        <f t="shared" si="3"/>
        <v>19.345928287487759</v>
      </c>
    </row>
    <row r="10" spans="1:11" x14ac:dyDescent="0.2">
      <c r="A10">
        <v>5</v>
      </c>
      <c r="B10">
        <f t="shared" si="1"/>
        <v>16.171541250000001</v>
      </c>
      <c r="C10">
        <f t="shared" si="2"/>
        <v>28.00993108169591</v>
      </c>
      <c r="E10" s="7">
        <f t="shared" si="3"/>
        <v>24.1824103593597</v>
      </c>
      <c r="F10" s="7"/>
      <c r="H10" s="7">
        <v>32.343082500000008</v>
      </c>
      <c r="I10" s="7">
        <v>33.611917298035095</v>
      </c>
      <c r="J10" s="7">
        <v>33.855374503103583</v>
      </c>
      <c r="K10" s="7">
        <f>AVERAGE(H10:J10)</f>
        <v>33.270124767046234</v>
      </c>
    </row>
    <row r="11" spans="1:11" x14ac:dyDescent="0.2">
      <c r="A11">
        <v>6</v>
      </c>
      <c r="B11" s="7">
        <f t="shared" si="1"/>
        <v>19.405849500000002</v>
      </c>
      <c r="C11" s="7">
        <f t="shared" si="2"/>
        <v>33.611917298035095</v>
      </c>
      <c r="E11" s="7">
        <f t="shared" si="3"/>
        <v>29.018892431231642</v>
      </c>
      <c r="F11" s="7"/>
      <c r="H11" s="7">
        <f>H10/$K10</f>
        <v>0.97213589448379667</v>
      </c>
      <c r="I11" s="7">
        <f t="shared" ref="I11" si="4">I10/$K10</f>
        <v>1.0102732566644115</v>
      </c>
      <c r="J11" s="7">
        <f t="shared" ref="J11" si="5">J10/$K10</f>
        <v>1.0175908488517913</v>
      </c>
      <c r="K11" s="3"/>
    </row>
    <row r="12" spans="1:11" x14ac:dyDescent="0.2">
      <c r="A12">
        <v>7</v>
      </c>
      <c r="B12" s="7">
        <f t="shared" si="1"/>
        <v>22.640157750000004</v>
      </c>
      <c r="C12" s="3">
        <f t="shared" si="2"/>
        <v>39.21390351437428</v>
      </c>
      <c r="E12" s="7">
        <f t="shared" si="3"/>
        <v>33.855374503103583</v>
      </c>
      <c r="F12" s="7"/>
      <c r="H12" s="7">
        <v>10</v>
      </c>
      <c r="I12" s="7">
        <v>6</v>
      </c>
      <c r="J12" s="7">
        <v>7</v>
      </c>
      <c r="K12" s="3"/>
    </row>
    <row r="13" spans="1:11" x14ac:dyDescent="0.2">
      <c r="A13">
        <v>8</v>
      </c>
      <c r="B13" s="7">
        <f t="shared" si="1"/>
        <v>25.874466000000005</v>
      </c>
      <c r="C13" s="7">
        <f t="shared" si="2"/>
        <v>44.815889730713465</v>
      </c>
      <c r="E13" s="3">
        <f t="shared" si="3"/>
        <v>38.691856574975525</v>
      </c>
      <c r="F13" s="7"/>
    </row>
    <row r="14" spans="1:11" x14ac:dyDescent="0.2">
      <c r="A14">
        <v>9</v>
      </c>
      <c r="B14" s="7">
        <f t="shared" si="1"/>
        <v>29.108774250000007</v>
      </c>
      <c r="C14" s="7">
        <f t="shared" si="2"/>
        <v>50.41787594705265</v>
      </c>
      <c r="E14" s="7">
        <f t="shared" si="3"/>
        <v>43.528338646847466</v>
      </c>
      <c r="F14" s="7"/>
      <c r="H14">
        <v>38.811699000000004</v>
      </c>
      <c r="I14">
        <v>39.21390351437428</v>
      </c>
      <c r="J14">
        <v>38.691856574975525</v>
      </c>
      <c r="K14" s="7">
        <f>AVERAGE(H14:J14)</f>
        <v>38.905819696449932</v>
      </c>
    </row>
    <row r="15" spans="1:11" x14ac:dyDescent="0.2">
      <c r="A15">
        <v>10</v>
      </c>
      <c r="B15" s="7">
        <f t="shared" si="1"/>
        <v>32.343082500000008</v>
      </c>
      <c r="C15" s="7">
        <f t="shared" si="2"/>
        <v>56.019862163391835</v>
      </c>
      <c r="E15" s="7">
        <f t="shared" si="3"/>
        <v>48.364820718719407</v>
      </c>
      <c r="F15" s="7"/>
      <c r="H15" s="7">
        <f>H14/$K14</f>
        <v>0.99758080674859773</v>
      </c>
      <c r="I15" s="7">
        <f t="shared" ref="I15" si="6">I14/$K14</f>
        <v>1.007918707800737</v>
      </c>
      <c r="J15" s="7">
        <f t="shared" ref="J15" si="7">J14/$K14</f>
        <v>0.99450048545066561</v>
      </c>
      <c r="K15" s="3"/>
    </row>
    <row r="16" spans="1:11" x14ac:dyDescent="0.2">
      <c r="A16">
        <v>11</v>
      </c>
      <c r="B16" s="7">
        <f t="shared" si="1"/>
        <v>35.577390750000006</v>
      </c>
      <c r="C16" s="7">
        <f t="shared" si="2"/>
        <v>61.62184837973102</v>
      </c>
      <c r="E16" s="7">
        <f t="shared" si="3"/>
        <v>53.201302790591349</v>
      </c>
      <c r="F16" s="7"/>
      <c r="H16" s="3">
        <v>12</v>
      </c>
      <c r="I16" s="3">
        <v>7</v>
      </c>
      <c r="J16" s="3">
        <v>8</v>
      </c>
      <c r="K16" s="3"/>
    </row>
    <row r="17" spans="1:11" x14ac:dyDescent="0.2">
      <c r="A17">
        <v>12</v>
      </c>
      <c r="B17" s="3">
        <f t="shared" si="1"/>
        <v>38.811699000000004</v>
      </c>
      <c r="C17" s="7">
        <f t="shared" si="2"/>
        <v>67.223834596070205</v>
      </c>
      <c r="E17" s="7">
        <f t="shared" si="3"/>
        <v>58.03778486246329</v>
      </c>
      <c r="F17" s="7"/>
      <c r="H17" s="3"/>
      <c r="I17" s="3"/>
      <c r="J17" s="3"/>
      <c r="K17" s="3"/>
    </row>
    <row r="18" spans="1:11" x14ac:dyDescent="0.2">
      <c r="A18">
        <v>13</v>
      </c>
      <c r="B18" s="7">
        <f t="shared" si="1"/>
        <v>42.046007250000002</v>
      </c>
      <c r="C18" s="7">
        <f t="shared" si="2"/>
        <v>72.82582081240939</v>
      </c>
      <c r="E18" s="7">
        <f t="shared" si="3"/>
        <v>62.874266934335232</v>
      </c>
      <c r="F18" s="7"/>
    </row>
    <row r="19" spans="1:11" x14ac:dyDescent="0.2">
      <c r="A19">
        <v>14</v>
      </c>
      <c r="B19" s="7">
        <f t="shared" si="1"/>
        <v>45.2803155</v>
      </c>
      <c r="C19" s="7">
        <f t="shared" si="2"/>
        <v>78.427807028748575</v>
      </c>
      <c r="E19" s="7">
        <f t="shared" si="3"/>
        <v>67.710749006207166</v>
      </c>
      <c r="F19" s="7"/>
    </row>
    <row r="20" spans="1:11" x14ac:dyDescent="0.2">
      <c r="A20">
        <v>15</v>
      </c>
      <c r="B20" s="7">
        <f t="shared" si="1"/>
        <v>48.514623749999998</v>
      </c>
      <c r="C20" s="7">
        <f t="shared" si="2"/>
        <v>84.02979324508776</v>
      </c>
      <c r="E20" s="7">
        <f t="shared" si="3"/>
        <v>72.547231078079108</v>
      </c>
      <c r="F20" s="7"/>
    </row>
    <row r="21" spans="1:11" x14ac:dyDescent="0.2">
      <c r="A21">
        <v>16</v>
      </c>
      <c r="B21" s="7">
        <f t="shared" si="1"/>
        <v>51.748931999999996</v>
      </c>
      <c r="C21" s="7">
        <f t="shared" si="2"/>
        <v>89.631779461426945</v>
      </c>
      <c r="E21" s="7">
        <f t="shared" si="3"/>
        <v>77.383713149951049</v>
      </c>
      <c r="F21" s="7"/>
    </row>
    <row r="22" spans="1:11" x14ac:dyDescent="0.2">
      <c r="A22">
        <v>17</v>
      </c>
      <c r="B22" s="7">
        <f t="shared" si="1"/>
        <v>54.983240249999994</v>
      </c>
      <c r="C22" s="7">
        <f t="shared" si="2"/>
        <v>95.233765677766129</v>
      </c>
      <c r="E22" s="7">
        <f t="shared" si="3"/>
        <v>82.220195221822991</v>
      </c>
      <c r="F22" s="7"/>
    </row>
    <row r="23" spans="1:11" x14ac:dyDescent="0.2">
      <c r="A23">
        <v>18</v>
      </c>
      <c r="B23" s="7">
        <f t="shared" si="1"/>
        <v>58.217548499999992</v>
      </c>
      <c r="C23" s="7">
        <f t="shared" si="2"/>
        <v>100.83575189410531</v>
      </c>
      <c r="E23" s="7">
        <f t="shared" si="3"/>
        <v>87.056677293694932</v>
      </c>
      <c r="F23" s="7"/>
    </row>
    <row r="24" spans="1:11" x14ac:dyDescent="0.2">
      <c r="A24">
        <v>19</v>
      </c>
      <c r="B24" s="7">
        <f t="shared" si="1"/>
        <v>61.45185674999999</v>
      </c>
      <c r="C24" s="7"/>
      <c r="E24" s="7">
        <f t="shared" si="3"/>
        <v>91.893159365566873</v>
      </c>
      <c r="F24" s="7"/>
    </row>
    <row r="25" spans="1:11" x14ac:dyDescent="0.2">
      <c r="A25">
        <v>20</v>
      </c>
      <c r="B25" s="7">
        <f t="shared" si="1"/>
        <v>64.686164999999988</v>
      </c>
      <c r="C25" s="7"/>
      <c r="E25" s="7">
        <f t="shared" si="3"/>
        <v>96.729641437438815</v>
      </c>
      <c r="F25" s="7"/>
      <c r="H25" s="3"/>
      <c r="I25" s="3"/>
      <c r="J25" s="3"/>
      <c r="K25" s="3"/>
    </row>
    <row r="26" spans="1:11" x14ac:dyDescent="0.2">
      <c r="A26">
        <v>21</v>
      </c>
      <c r="B26" s="7">
        <f t="shared" si="1"/>
        <v>67.920473249999986</v>
      </c>
      <c r="C26" s="7"/>
      <c r="E26" s="7"/>
      <c r="F26" s="7"/>
      <c r="H26" s="3"/>
      <c r="I26" s="3"/>
      <c r="J26" s="3"/>
      <c r="K26" s="3"/>
    </row>
    <row r="27" spans="1:11" x14ac:dyDescent="0.2">
      <c r="A27">
        <v>22</v>
      </c>
      <c r="B27" s="7">
        <f t="shared" si="1"/>
        <v>71.154781499999984</v>
      </c>
      <c r="C27" s="7"/>
      <c r="E27" s="7"/>
      <c r="F27" s="7"/>
      <c r="H27" s="3"/>
      <c r="I27" s="3"/>
      <c r="J27" s="3"/>
      <c r="K27" s="3"/>
    </row>
    <row r="28" spans="1:11" x14ac:dyDescent="0.2">
      <c r="A28">
        <v>23</v>
      </c>
      <c r="B28" s="7">
        <f t="shared" si="1"/>
        <v>74.389089749999982</v>
      </c>
      <c r="C28" s="7"/>
      <c r="E28" t="s">
        <v>43</v>
      </c>
    </row>
    <row r="29" spans="1:11" x14ac:dyDescent="0.2">
      <c r="A29">
        <v>24</v>
      </c>
      <c r="B29" s="7">
        <f t="shared" si="1"/>
        <v>77.62339799999998</v>
      </c>
      <c r="C29" s="7"/>
      <c r="E29" t="s">
        <v>46</v>
      </c>
      <c r="F29" t="s">
        <v>47</v>
      </c>
    </row>
    <row r="30" spans="1:11" x14ac:dyDescent="0.2">
      <c r="A30">
        <v>25</v>
      </c>
      <c r="B30" s="7">
        <f t="shared" si="1"/>
        <v>80.857706249999978</v>
      </c>
      <c r="C30" s="7"/>
      <c r="E30">
        <f>E6*SQRT(2)</f>
        <v>6.8398185402156235</v>
      </c>
      <c r="F30">
        <f>E6*SQRT(6)</f>
        <v>11.846913226205048</v>
      </c>
      <c r="H30" t="s">
        <v>48</v>
      </c>
      <c r="I30" t="s">
        <v>50</v>
      </c>
    </row>
    <row r="31" spans="1:11" x14ac:dyDescent="0.2">
      <c r="A31">
        <v>26</v>
      </c>
      <c r="B31" s="7">
        <f t="shared" si="1"/>
        <v>84.092014499999976</v>
      </c>
      <c r="C31" s="7"/>
      <c r="E31">
        <f>E30+E$30</f>
        <v>13.679637080431247</v>
      </c>
      <c r="F31">
        <f>F30+F$30</f>
        <v>23.693826452410097</v>
      </c>
      <c r="H31">
        <v>35.577390750000006</v>
      </c>
      <c r="I31">
        <v>33.611917298035095</v>
      </c>
    </row>
    <row r="32" spans="1:11" x14ac:dyDescent="0.2">
      <c r="A32">
        <v>27</v>
      </c>
      <c r="B32" s="7">
        <f t="shared" si="1"/>
        <v>87.326322749999974</v>
      </c>
      <c r="C32" s="7"/>
      <c r="E32">
        <f>E31+E$30</f>
        <v>20.51945562064687</v>
      </c>
      <c r="F32">
        <f>F31+F$30</f>
        <v>35.540739678615147</v>
      </c>
      <c r="H32">
        <v>11</v>
      </c>
      <c r="I32">
        <v>6</v>
      </c>
    </row>
    <row r="33" spans="1:11" x14ac:dyDescent="0.2">
      <c r="A33">
        <v>28</v>
      </c>
      <c r="B33" s="7">
        <f t="shared" si="1"/>
        <v>90.560630999999972</v>
      </c>
      <c r="C33" s="7"/>
      <c r="E33">
        <f>E32+E$30</f>
        <v>27.359274160862494</v>
      </c>
      <c r="F33">
        <f>F32+F$30</f>
        <v>47.387652904820193</v>
      </c>
      <c r="H33" t="s">
        <v>49</v>
      </c>
      <c r="I33" t="s">
        <v>51</v>
      </c>
    </row>
    <row r="34" spans="1:11" x14ac:dyDescent="0.2">
      <c r="A34">
        <v>29</v>
      </c>
      <c r="B34" s="7">
        <f t="shared" si="1"/>
        <v>93.79493924999997</v>
      </c>
      <c r="C34" s="7"/>
      <c r="E34">
        <f>E33+E$30</f>
        <v>34.199092701078115</v>
      </c>
      <c r="F34">
        <f>F33+F$30</f>
        <v>59.23456613102524</v>
      </c>
      <c r="H34">
        <v>35.540739678615147</v>
      </c>
      <c r="I34">
        <v>34.199092701078115</v>
      </c>
    </row>
    <row r="35" spans="1:11" x14ac:dyDescent="0.2">
      <c r="A35">
        <v>30</v>
      </c>
      <c r="B35" s="7">
        <f t="shared" si="1"/>
        <v>97.029247499999968</v>
      </c>
      <c r="C35" s="7"/>
      <c r="E35">
        <f>E34+E$30</f>
        <v>41.038911241293739</v>
      </c>
      <c r="F35">
        <f>F34+F$30</f>
        <v>71.081479357230293</v>
      </c>
      <c r="H35">
        <v>3</v>
      </c>
      <c r="I35">
        <v>5</v>
      </c>
    </row>
    <row r="36" spans="1:11" x14ac:dyDescent="0.2">
      <c r="A36">
        <v>31</v>
      </c>
      <c r="B36" s="7">
        <f t="shared" si="1"/>
        <v>100.26355574999997</v>
      </c>
      <c r="C36" s="7"/>
      <c r="E36">
        <f>E35+E$30</f>
        <v>47.878729781509364</v>
      </c>
      <c r="F36">
        <f>F35+F$30</f>
        <v>82.92839258343534</v>
      </c>
    </row>
    <row r="37" spans="1:11" x14ac:dyDescent="0.2">
      <c r="B37" s="7"/>
      <c r="C37" s="7"/>
      <c r="E37">
        <f>E36+E$30</f>
        <v>54.718548321724988</v>
      </c>
      <c r="F37">
        <f>F36+F$30</f>
        <v>94.775305809640386</v>
      </c>
      <c r="H37" s="3"/>
      <c r="I37" s="3"/>
      <c r="J37" s="3"/>
      <c r="K37" s="3"/>
    </row>
    <row r="38" spans="1:11" x14ac:dyDescent="0.2">
      <c r="B38" s="7"/>
      <c r="C38" s="7"/>
      <c r="E38">
        <f>E37+E$30</f>
        <v>61.558366861940613</v>
      </c>
      <c r="F38">
        <f>F37+F$30</f>
        <v>106.62221903584543</v>
      </c>
      <c r="H38" s="3"/>
      <c r="I38" s="3"/>
      <c r="J38" s="3"/>
      <c r="K38" s="3"/>
    </row>
    <row r="39" spans="1:11" x14ac:dyDescent="0.2">
      <c r="E39">
        <f>E38+E$30</f>
        <v>68.39818540215623</v>
      </c>
      <c r="F39">
        <f>F38+F$30</f>
        <v>118.46913226205048</v>
      </c>
      <c r="H39" s="3"/>
      <c r="I39" s="3"/>
      <c r="J39" s="3"/>
      <c r="K39" s="3"/>
    </row>
    <row r="40" spans="1:11" x14ac:dyDescent="0.2">
      <c r="E40">
        <f>E39+E$30</f>
        <v>75.238003942371847</v>
      </c>
      <c r="F40">
        <f>F39+F$30</f>
        <v>130.31604548825553</v>
      </c>
    </row>
    <row r="41" spans="1:11" x14ac:dyDescent="0.2">
      <c r="E41">
        <f>E40+E$30</f>
        <v>82.077822482587464</v>
      </c>
      <c r="F41">
        <f>F40+F$30</f>
        <v>142.16295871446059</v>
      </c>
    </row>
    <row r="42" spans="1:11" x14ac:dyDescent="0.2">
      <c r="E42">
        <f>E41+E$30</f>
        <v>88.917641022803082</v>
      </c>
      <c r="F42">
        <f>F41+F$30</f>
        <v>154.00987194066565</v>
      </c>
    </row>
    <row r="44" spans="1:11" x14ac:dyDescent="0.2">
      <c r="B44" t="s">
        <v>58</v>
      </c>
    </row>
    <row r="45" spans="1:11" x14ac:dyDescent="0.2">
      <c r="B45" t="s">
        <v>59</v>
      </c>
      <c r="E45" t="s">
        <v>23</v>
      </c>
      <c r="H45" s="3"/>
      <c r="I45" s="3"/>
      <c r="J45" s="3"/>
      <c r="K45" s="3"/>
    </row>
    <row r="46" spans="1:11" x14ac:dyDescent="0.2">
      <c r="A46">
        <v>1</v>
      </c>
      <c r="B46">
        <v>3.28</v>
      </c>
      <c r="C46">
        <f>B46*SQRT(3)</f>
        <v>5.6811266488259164</v>
      </c>
      <c r="D46">
        <f>B46*SQRT(8/3)</f>
        <v>5.3562175708858826</v>
      </c>
      <c r="E46">
        <v>4.9000000000000004</v>
      </c>
      <c r="H46" s="3"/>
      <c r="I46" s="3"/>
      <c r="J46" s="3"/>
      <c r="K46" s="3"/>
    </row>
    <row r="47" spans="1:11" x14ac:dyDescent="0.2">
      <c r="A47">
        <v>2</v>
      </c>
      <c r="B47">
        <f>B46+B$46</f>
        <v>6.56</v>
      </c>
      <c r="C47">
        <f t="shared" ref="C47:C57" si="8">B47*SQRT(3)</f>
        <v>11.362253297651833</v>
      </c>
      <c r="D47">
        <f t="shared" ref="D47:D54" si="9">B47*SQRT(8/3)</f>
        <v>10.712435141771765</v>
      </c>
      <c r="E47">
        <f>E46+E$46</f>
        <v>9.8000000000000007</v>
      </c>
      <c r="H47" s="3"/>
      <c r="I47" s="3"/>
      <c r="J47" s="3"/>
      <c r="K47" s="3"/>
    </row>
    <row r="48" spans="1:11" x14ac:dyDescent="0.2">
      <c r="A48">
        <v>3</v>
      </c>
      <c r="B48">
        <f t="shared" ref="B48:B54" si="10">B47+B$46</f>
        <v>9.84</v>
      </c>
      <c r="C48">
        <f t="shared" si="8"/>
        <v>17.043379946477753</v>
      </c>
      <c r="D48">
        <f t="shared" si="9"/>
        <v>16.068652712657649</v>
      </c>
      <c r="E48">
        <f t="shared" ref="E48:E57" si="11">E47+E$46</f>
        <v>14.700000000000001</v>
      </c>
    </row>
    <row r="49" spans="1:6" x14ac:dyDescent="0.2">
      <c r="A49">
        <v>4</v>
      </c>
      <c r="B49">
        <f t="shared" si="10"/>
        <v>13.12</v>
      </c>
      <c r="C49">
        <f t="shared" si="8"/>
        <v>22.724506595303666</v>
      </c>
      <c r="D49">
        <f t="shared" si="9"/>
        <v>21.42487028354353</v>
      </c>
      <c r="E49">
        <f t="shared" si="11"/>
        <v>19.600000000000001</v>
      </c>
    </row>
    <row r="50" spans="1:6" x14ac:dyDescent="0.2">
      <c r="A50">
        <v>5</v>
      </c>
      <c r="B50">
        <f t="shared" si="10"/>
        <v>16.399999999999999</v>
      </c>
      <c r="C50">
        <f t="shared" si="8"/>
        <v>28.405633244129582</v>
      </c>
      <c r="D50">
        <f t="shared" si="9"/>
        <v>26.781087854429412</v>
      </c>
      <c r="E50">
        <f t="shared" si="11"/>
        <v>24.5</v>
      </c>
    </row>
    <row r="51" spans="1:6" x14ac:dyDescent="0.2">
      <c r="A51">
        <v>6</v>
      </c>
      <c r="B51">
        <f t="shared" si="10"/>
        <v>19.68</v>
      </c>
      <c r="C51">
        <f t="shared" si="8"/>
        <v>34.086759892955506</v>
      </c>
      <c r="D51">
        <f t="shared" si="9"/>
        <v>32.137305425315297</v>
      </c>
      <c r="E51">
        <f t="shared" si="11"/>
        <v>29.4</v>
      </c>
    </row>
    <row r="52" spans="1:6" x14ac:dyDescent="0.2">
      <c r="A52">
        <v>7</v>
      </c>
      <c r="B52">
        <f t="shared" si="10"/>
        <v>22.96</v>
      </c>
      <c r="C52">
        <f t="shared" si="8"/>
        <v>39.767886541781422</v>
      </c>
      <c r="D52">
        <f t="shared" si="9"/>
        <v>37.493522996201179</v>
      </c>
      <c r="E52">
        <f t="shared" si="11"/>
        <v>34.299999999999997</v>
      </c>
    </row>
    <row r="53" spans="1:6" x14ac:dyDescent="0.2">
      <c r="A53">
        <v>8</v>
      </c>
      <c r="B53">
        <f t="shared" si="10"/>
        <v>26.240000000000002</v>
      </c>
      <c r="C53">
        <f t="shared" si="8"/>
        <v>45.449013190607339</v>
      </c>
      <c r="D53">
        <f t="shared" si="9"/>
        <v>42.849740567087068</v>
      </c>
      <c r="E53">
        <f t="shared" si="11"/>
        <v>39.199999999999996</v>
      </c>
    </row>
    <row r="54" spans="1:6" x14ac:dyDescent="0.2">
      <c r="A54">
        <v>9</v>
      </c>
      <c r="B54">
        <f t="shared" si="10"/>
        <v>29.520000000000003</v>
      </c>
      <c r="C54">
        <f t="shared" si="8"/>
        <v>51.130139839433262</v>
      </c>
      <c r="D54">
        <f t="shared" si="9"/>
        <v>48.205958137972949</v>
      </c>
      <c r="E54">
        <f t="shared" si="11"/>
        <v>44.099999999999994</v>
      </c>
    </row>
    <row r="55" spans="1:6" x14ac:dyDescent="0.2">
      <c r="A55">
        <v>10</v>
      </c>
      <c r="B55">
        <f t="shared" ref="B55:B57" si="12">B54+B$46</f>
        <v>32.800000000000004</v>
      </c>
      <c r="C55">
        <f t="shared" si="8"/>
        <v>56.811266488259179</v>
      </c>
      <c r="D55">
        <f t="shared" ref="D55:D57" si="13">B55*SQRT(8/3)</f>
        <v>53.562175708858838</v>
      </c>
      <c r="E55">
        <f t="shared" si="11"/>
        <v>48.999999999999993</v>
      </c>
    </row>
    <row r="56" spans="1:6" x14ac:dyDescent="0.2">
      <c r="A56">
        <v>11</v>
      </c>
      <c r="B56">
        <f t="shared" si="12"/>
        <v>36.080000000000005</v>
      </c>
      <c r="C56">
        <f t="shared" si="8"/>
        <v>62.492393137085095</v>
      </c>
      <c r="D56">
        <f t="shared" si="13"/>
        <v>58.91839327974472</v>
      </c>
      <c r="E56">
        <f t="shared" si="11"/>
        <v>53.899999999999991</v>
      </c>
    </row>
    <row r="57" spans="1:6" x14ac:dyDescent="0.2">
      <c r="A57">
        <v>12</v>
      </c>
      <c r="B57">
        <f t="shared" si="12"/>
        <v>39.360000000000007</v>
      </c>
      <c r="C57">
        <f t="shared" si="8"/>
        <v>68.173519785911012</v>
      </c>
      <c r="D57">
        <f t="shared" si="13"/>
        <v>64.274610850630609</v>
      </c>
      <c r="E57">
        <f t="shared" si="11"/>
        <v>58.79999999999999</v>
      </c>
    </row>
    <row r="59" spans="1:6" x14ac:dyDescent="0.2">
      <c r="B59" t="s">
        <v>59</v>
      </c>
      <c r="E59" t="s">
        <v>60</v>
      </c>
    </row>
    <row r="60" spans="1:6" x14ac:dyDescent="0.2">
      <c r="A60">
        <v>1</v>
      </c>
      <c r="B60">
        <v>3.28</v>
      </c>
      <c r="C60">
        <f>B60*SQRT(3)</f>
        <v>5.6811266488259164</v>
      </c>
      <c r="D60">
        <f>B60*SQRT(8/3)</f>
        <v>5.3562175708858826</v>
      </c>
      <c r="E60">
        <f>E46*SQRT(2)</f>
        <v>6.9296464556281663</v>
      </c>
      <c r="F60">
        <f>E46*SQRT(6)</f>
        <v>12.002499739637573</v>
      </c>
    </row>
    <row r="61" spans="1:6" x14ac:dyDescent="0.2">
      <c r="A61">
        <v>2</v>
      </c>
      <c r="B61">
        <f>B60+B$46</f>
        <v>6.56</v>
      </c>
      <c r="C61">
        <f t="shared" ref="C61:C71" si="14">B61*SQRT(3)</f>
        <v>11.362253297651833</v>
      </c>
      <c r="D61">
        <f t="shared" ref="D61:D71" si="15">B61*SQRT(8/3)</f>
        <v>10.712435141771765</v>
      </c>
      <c r="E61">
        <f>E60+E$60</f>
        <v>13.859292911256333</v>
      </c>
      <c r="F61">
        <f>F60+F$60</f>
        <v>24.004999479275146</v>
      </c>
    </row>
    <row r="62" spans="1:6" x14ac:dyDescent="0.2">
      <c r="A62">
        <v>3</v>
      </c>
      <c r="B62">
        <f t="shared" ref="B62:B71" si="16">B61+B$46</f>
        <v>9.84</v>
      </c>
      <c r="C62">
        <f t="shared" si="14"/>
        <v>17.043379946477753</v>
      </c>
      <c r="D62">
        <f t="shared" si="15"/>
        <v>16.068652712657649</v>
      </c>
      <c r="E62" s="7">
        <f t="shared" ref="E62:E71" si="17">E61+E$60</f>
        <v>20.788939366884499</v>
      </c>
      <c r="F62" s="3">
        <f t="shared" ref="F62:F68" si="18">F61+F$60</f>
        <v>36.00749921891272</v>
      </c>
    </row>
    <row r="63" spans="1:6" x14ac:dyDescent="0.2">
      <c r="A63">
        <v>4</v>
      </c>
      <c r="B63">
        <f t="shared" si="16"/>
        <v>13.12</v>
      </c>
      <c r="C63">
        <f t="shared" si="14"/>
        <v>22.724506595303666</v>
      </c>
      <c r="D63">
        <f t="shared" si="15"/>
        <v>21.42487028354353</v>
      </c>
      <c r="E63">
        <f t="shared" si="17"/>
        <v>27.718585822512665</v>
      </c>
      <c r="F63">
        <f t="shared" si="18"/>
        <v>48.009998958550291</v>
      </c>
    </row>
    <row r="64" spans="1:6" x14ac:dyDescent="0.2">
      <c r="A64">
        <v>5</v>
      </c>
      <c r="B64">
        <f t="shared" si="16"/>
        <v>16.399999999999999</v>
      </c>
      <c r="C64">
        <f t="shared" si="14"/>
        <v>28.405633244129582</v>
      </c>
      <c r="D64">
        <f t="shared" si="15"/>
        <v>26.781087854429412</v>
      </c>
      <c r="E64" s="3">
        <f t="shared" si="17"/>
        <v>34.648232278140831</v>
      </c>
      <c r="F64" s="7">
        <f t="shared" si="18"/>
        <v>60.012498698187862</v>
      </c>
    </row>
    <row r="65" spans="1:6" x14ac:dyDescent="0.2">
      <c r="A65">
        <v>6</v>
      </c>
      <c r="B65">
        <f t="shared" si="16"/>
        <v>19.68</v>
      </c>
      <c r="C65" s="3">
        <f t="shared" si="14"/>
        <v>34.086759892955506</v>
      </c>
      <c r="D65">
        <f t="shared" si="15"/>
        <v>32.137305425315297</v>
      </c>
      <c r="E65">
        <f t="shared" si="17"/>
        <v>41.577878733768998</v>
      </c>
      <c r="F65">
        <f t="shared" si="18"/>
        <v>72.01499843782544</v>
      </c>
    </row>
    <row r="66" spans="1:6" x14ac:dyDescent="0.2">
      <c r="A66">
        <v>7</v>
      </c>
      <c r="B66">
        <f t="shared" si="16"/>
        <v>22.96</v>
      </c>
      <c r="C66">
        <f t="shared" si="14"/>
        <v>39.767886541781422</v>
      </c>
      <c r="D66">
        <f t="shared" si="15"/>
        <v>37.493522996201179</v>
      </c>
      <c r="E66">
        <f t="shared" si="17"/>
        <v>48.507525189397164</v>
      </c>
      <c r="F66">
        <f t="shared" si="18"/>
        <v>84.017498177463011</v>
      </c>
    </row>
    <row r="67" spans="1:6" x14ac:dyDescent="0.2">
      <c r="A67">
        <v>8</v>
      </c>
      <c r="B67">
        <f t="shared" si="16"/>
        <v>26.240000000000002</v>
      </c>
      <c r="C67">
        <f t="shared" si="14"/>
        <v>45.449013190607339</v>
      </c>
      <c r="D67">
        <f t="shared" si="15"/>
        <v>42.849740567087068</v>
      </c>
      <c r="E67">
        <f t="shared" si="17"/>
        <v>55.43717164502533</v>
      </c>
      <c r="F67">
        <f t="shared" si="18"/>
        <v>96.019997917100582</v>
      </c>
    </row>
    <row r="68" spans="1:6" x14ac:dyDescent="0.2">
      <c r="A68">
        <v>9</v>
      </c>
      <c r="B68">
        <f t="shared" si="16"/>
        <v>29.520000000000003</v>
      </c>
      <c r="C68">
        <f t="shared" si="14"/>
        <v>51.130139839433262</v>
      </c>
      <c r="D68">
        <f t="shared" si="15"/>
        <v>48.205958137972949</v>
      </c>
      <c r="E68">
        <f t="shared" si="17"/>
        <v>62.366818100653497</v>
      </c>
      <c r="F68">
        <f t="shared" si="18"/>
        <v>108.02249765673815</v>
      </c>
    </row>
    <row r="69" spans="1:6" x14ac:dyDescent="0.2">
      <c r="A69">
        <v>10</v>
      </c>
      <c r="B69">
        <f t="shared" si="16"/>
        <v>32.800000000000004</v>
      </c>
      <c r="C69">
        <f t="shared" si="14"/>
        <v>56.811266488259179</v>
      </c>
      <c r="D69">
        <f t="shared" si="15"/>
        <v>53.562175708858838</v>
      </c>
      <c r="E69">
        <f t="shared" si="17"/>
        <v>69.296464556281663</v>
      </c>
    </row>
    <row r="70" spans="1:6" x14ac:dyDescent="0.2">
      <c r="A70">
        <v>11</v>
      </c>
      <c r="B70" s="3">
        <f t="shared" si="16"/>
        <v>36.080000000000005</v>
      </c>
      <c r="C70">
        <f t="shared" si="14"/>
        <v>62.492393137085095</v>
      </c>
      <c r="D70">
        <f t="shared" si="15"/>
        <v>58.91839327974472</v>
      </c>
      <c r="E70">
        <f t="shared" si="17"/>
        <v>76.226111011909836</v>
      </c>
    </row>
    <row r="71" spans="1:6" x14ac:dyDescent="0.2">
      <c r="A71">
        <v>12</v>
      </c>
      <c r="B71">
        <f t="shared" si="16"/>
        <v>39.360000000000007</v>
      </c>
      <c r="C71">
        <f t="shared" si="14"/>
        <v>68.173519785911012</v>
      </c>
      <c r="D71">
        <f t="shared" si="15"/>
        <v>64.274610850630609</v>
      </c>
      <c r="E71">
        <f t="shared" si="17"/>
        <v>83.155757467537995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5A89-D3BA-5F49-B1B8-BEE0900E24A0}">
  <dimension ref="B2:L35"/>
  <sheetViews>
    <sheetView topLeftCell="B1" workbookViewId="0">
      <selection activeCell="E22" sqref="E22"/>
    </sheetView>
  </sheetViews>
  <sheetFormatPr baseColWidth="10" defaultRowHeight="16" x14ac:dyDescent="0.2"/>
  <sheetData>
    <row r="2" spans="2:11" x14ac:dyDescent="0.2">
      <c r="B2" t="s">
        <v>25</v>
      </c>
    </row>
    <row r="7" spans="2:11" x14ac:dyDescent="0.2">
      <c r="C7" t="s">
        <v>28</v>
      </c>
      <c r="D7" t="s">
        <v>2</v>
      </c>
      <c r="E7" t="s">
        <v>3</v>
      </c>
      <c r="F7" t="s">
        <v>19</v>
      </c>
      <c r="G7" t="s">
        <v>20</v>
      </c>
    </row>
    <row r="8" spans="2:11" x14ac:dyDescent="0.2">
      <c r="C8" t="s">
        <v>0</v>
      </c>
      <c r="D8" s="4">
        <v>-6.2737304062500003</v>
      </c>
      <c r="E8" s="4">
        <v>23.43721160546875</v>
      </c>
      <c r="F8" s="4">
        <v>3.2343082500000002</v>
      </c>
      <c r="G8" s="4">
        <v>5.1703064999999997</v>
      </c>
    </row>
    <row r="11" spans="2:11" x14ac:dyDescent="0.2">
      <c r="C11" t="s">
        <v>0</v>
      </c>
    </row>
    <row r="12" spans="2:11" x14ac:dyDescent="0.2">
      <c r="C12" t="s">
        <v>26</v>
      </c>
      <c r="D12" t="s">
        <v>52</v>
      </c>
    </row>
    <row r="13" spans="2:11" x14ac:dyDescent="0.2">
      <c r="C13">
        <v>100000</v>
      </c>
      <c r="D13">
        <v>297.84250500000002</v>
      </c>
      <c r="E13">
        <v>-25294.602610999998</v>
      </c>
      <c r="F13">
        <v>-25139.412475000001</v>
      </c>
      <c r="G13">
        <v>94503.038906999995</v>
      </c>
      <c r="H13">
        <v>-0.288468</v>
      </c>
      <c r="I13">
        <v>38.827373999999999</v>
      </c>
      <c r="J13">
        <v>39.231282999999998</v>
      </c>
      <c r="K13">
        <v>62.040512</v>
      </c>
    </row>
    <row r="14" spans="2:11" x14ac:dyDescent="0.2">
      <c r="E14">
        <f>E13/4032</f>
        <v>-6.2734629491567455</v>
      </c>
      <c r="G14">
        <f>G13/4032</f>
        <v>23.438253697172616</v>
      </c>
    </row>
    <row r="15" spans="2:11" x14ac:dyDescent="0.2">
      <c r="B15" t="s">
        <v>57</v>
      </c>
      <c r="C15" t="s">
        <v>27</v>
      </c>
      <c r="D15" t="s">
        <v>53</v>
      </c>
    </row>
    <row r="16" spans="2:11" x14ac:dyDescent="0.2">
      <c r="C16">
        <v>100000</v>
      </c>
      <c r="D16">
        <v>297.67656899999997</v>
      </c>
      <c r="E16">
        <v>-16561.961639000001</v>
      </c>
      <c r="F16">
        <v>-16460.418945000001</v>
      </c>
      <c r="G16">
        <v>61876.870748000001</v>
      </c>
      <c r="H16">
        <v>-0.53206500000000001</v>
      </c>
      <c r="I16">
        <v>35.592953000000001</v>
      </c>
      <c r="J16">
        <v>33.625950000000003</v>
      </c>
      <c r="K16">
        <v>51.699933000000001</v>
      </c>
    </row>
    <row r="17" spans="3:12" x14ac:dyDescent="0.2">
      <c r="E17">
        <f>E16/2640</f>
        <v>-6.2734703178030307</v>
      </c>
      <c r="G17">
        <f>G16/2640</f>
        <v>23.438208616666667</v>
      </c>
      <c r="H17" s="4"/>
      <c r="I17" s="4"/>
      <c r="J17" s="4"/>
      <c r="K17" s="4"/>
      <c r="L17" s="4"/>
    </row>
    <row r="19" spans="3:12" x14ac:dyDescent="0.2">
      <c r="C19" t="s">
        <v>25</v>
      </c>
    </row>
    <row r="20" spans="3:12" x14ac:dyDescent="0.2">
      <c r="C20" t="s">
        <v>26</v>
      </c>
      <c r="D20" t="s">
        <v>54</v>
      </c>
      <c r="E20">
        <v>100</v>
      </c>
    </row>
    <row r="21" spans="3:12" x14ac:dyDescent="0.2">
      <c r="C21">
        <v>50000</v>
      </c>
      <c r="D21">
        <v>294.07017999999999</v>
      </c>
      <c r="E21">
        <v>-33116.277117999998</v>
      </c>
      <c r="F21">
        <v>-32824.386394000001</v>
      </c>
      <c r="G21">
        <v>72387.008807000006</v>
      </c>
      <c r="H21">
        <v>-0.214226</v>
      </c>
      <c r="I21">
        <v>38.688665</v>
      </c>
      <c r="J21">
        <v>38.688536999999997</v>
      </c>
      <c r="K21">
        <v>48.360923</v>
      </c>
    </row>
    <row r="22" spans="3:12" x14ac:dyDescent="0.2">
      <c r="E22">
        <f>E21/7680</f>
        <v>-4.3120152497395834</v>
      </c>
      <c r="G22">
        <f>G21/7680</f>
        <v>9.4253917717447919</v>
      </c>
    </row>
    <row r="23" spans="3:12" x14ac:dyDescent="0.2">
      <c r="C23" t="s">
        <v>27</v>
      </c>
      <c r="D23" t="s">
        <v>55</v>
      </c>
      <c r="E23">
        <v>111</v>
      </c>
    </row>
    <row r="24" spans="3:12" x14ac:dyDescent="0.2">
      <c r="C24">
        <v>50000</v>
      </c>
      <c r="D24">
        <v>293.982328</v>
      </c>
      <c r="E24">
        <v>-23284.924023</v>
      </c>
      <c r="F24">
        <v>-23079.760952000001</v>
      </c>
      <c r="G24">
        <v>50896.609936000001</v>
      </c>
      <c r="H24">
        <v>-0.32392300000000002</v>
      </c>
      <c r="I24">
        <v>35.537345000000002</v>
      </c>
      <c r="J24">
        <v>34.196260000000002</v>
      </c>
      <c r="K24">
        <v>41.881796999999999</v>
      </c>
    </row>
    <row r="25" spans="3:12" x14ac:dyDescent="0.2">
      <c r="E25">
        <f>E24/5400</f>
        <v>-4.3120229672222221</v>
      </c>
      <c r="G25">
        <f>G24/5400</f>
        <v>9.4252981362962966</v>
      </c>
    </row>
    <row r="28" spans="3:12" x14ac:dyDescent="0.2">
      <c r="E28" s="2">
        <v>-1.4055565083346999</v>
      </c>
      <c r="F28" s="2">
        <v>37.4055565083356</v>
      </c>
      <c r="G28" t="s">
        <v>32</v>
      </c>
      <c r="H28" s="2" t="s">
        <v>33</v>
      </c>
      <c r="I28" s="2"/>
    </row>
    <row r="29" spans="3:12" x14ac:dyDescent="0.2">
      <c r="E29" s="2">
        <v>-1.4284120414099699</v>
      </c>
      <c r="F29" s="2">
        <v>37.8014790003567</v>
      </c>
      <c r="G29" t="s">
        <v>34</v>
      </c>
      <c r="H29" s="2" t="s">
        <v>35</v>
      </c>
      <c r="I29" s="2"/>
    </row>
    <row r="30" spans="3:12" x14ac:dyDescent="0.2">
      <c r="E30" s="2">
        <v>-60.4143787263082</v>
      </c>
      <c r="F30" s="2">
        <v>1.6266248995141901</v>
      </c>
      <c r="G30" t="s">
        <v>36</v>
      </c>
      <c r="H30" s="2" t="s">
        <v>37</v>
      </c>
      <c r="I30" s="2"/>
    </row>
    <row r="31" spans="3:12" x14ac:dyDescent="0.2">
      <c r="E31" s="2"/>
      <c r="F31" s="2"/>
    </row>
    <row r="32" spans="3:12" x14ac:dyDescent="0.2">
      <c r="E32" s="2"/>
      <c r="F32" s="2"/>
    </row>
    <row r="33" spans="5:9" x14ac:dyDescent="0.2">
      <c r="E33" s="2"/>
      <c r="F33" s="2"/>
      <c r="G33" s="6"/>
      <c r="H33" s="2"/>
      <c r="I33" s="2"/>
    </row>
    <row r="34" spans="5:9" x14ac:dyDescent="0.2">
      <c r="E34" s="2"/>
      <c r="F34" s="2"/>
      <c r="G34" s="6"/>
      <c r="H34" s="2"/>
      <c r="I34" s="2"/>
    </row>
    <row r="35" spans="5:9" x14ac:dyDescent="0.2">
      <c r="E35" s="2"/>
      <c r="F35" s="2"/>
      <c r="G35" s="6"/>
      <c r="H35" s="2"/>
      <c r="I3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397D-6DB4-D041-B02D-324D3415555C}">
  <dimension ref="B2:Q38"/>
  <sheetViews>
    <sheetView topLeftCell="A10" workbookViewId="0">
      <selection activeCell="B32" sqref="B32"/>
    </sheetView>
  </sheetViews>
  <sheetFormatPr baseColWidth="10" defaultRowHeight="16" x14ac:dyDescent="0.2"/>
  <sheetData>
    <row r="2" spans="2:7" x14ac:dyDescent="0.2">
      <c r="B2" t="s">
        <v>0</v>
      </c>
      <c r="D2" t="s">
        <v>38</v>
      </c>
    </row>
    <row r="3" spans="2:7" x14ac:dyDescent="0.2">
      <c r="B3" t="s">
        <v>30</v>
      </c>
      <c r="C3">
        <v>-1616.1481828599999</v>
      </c>
      <c r="D3">
        <f>C3/256</f>
        <v>-6.3130788392968746</v>
      </c>
    </row>
    <row r="4" spans="2:7" x14ac:dyDescent="0.2">
      <c r="B4" t="s">
        <v>31</v>
      </c>
      <c r="C4">
        <v>5958.9583000000002</v>
      </c>
      <c r="D4">
        <f>C4/256</f>
        <v>23.277180859375001</v>
      </c>
    </row>
    <row r="6" spans="2:7" x14ac:dyDescent="0.2">
      <c r="B6" s="6">
        <v>-0.45852344715377602</v>
      </c>
      <c r="C6" s="6">
        <v>12.4585234471537</v>
      </c>
      <c r="D6" t="s">
        <v>32</v>
      </c>
      <c r="E6" t="s">
        <v>33</v>
      </c>
      <c r="F6" s="6">
        <f>(C6-B6)</f>
        <v>12.917046894307477</v>
      </c>
      <c r="G6" s="4">
        <f>F6/4</f>
        <v>3.2292617235768692</v>
      </c>
    </row>
    <row r="7" spans="2:7" x14ac:dyDescent="0.2">
      <c r="B7" s="6">
        <v>-0.79418590693192603</v>
      </c>
      <c r="C7" s="6">
        <v>21.5787955977585</v>
      </c>
      <c r="D7" t="s">
        <v>34</v>
      </c>
      <c r="E7" t="s">
        <v>35</v>
      </c>
      <c r="F7" s="6">
        <f t="shared" ref="F7:F8" si="0">(C7-B7)</f>
        <v>22.372981504690426</v>
      </c>
      <c r="G7" s="4">
        <f>F7/4/SQRT(3)</f>
        <v>3.2292617235768843</v>
      </c>
    </row>
    <row r="8" spans="2:7" x14ac:dyDescent="0.2">
      <c r="B8" s="6">
        <v>-0.51191249367302805</v>
      </c>
      <c r="C8" s="6">
        <v>20.1078304359384</v>
      </c>
      <c r="D8" t="s">
        <v>36</v>
      </c>
      <c r="E8" t="s">
        <v>37</v>
      </c>
      <c r="F8" s="6">
        <f t="shared" si="0"/>
        <v>20.619742929611427</v>
      </c>
      <c r="G8" s="4">
        <f t="shared" ref="G8" si="1">F8/4</f>
        <v>5.1549357324028566</v>
      </c>
    </row>
    <row r="9" spans="2:7" x14ac:dyDescent="0.2">
      <c r="G9" s="6"/>
    </row>
    <row r="10" spans="2:7" x14ac:dyDescent="0.2">
      <c r="B10" t="s">
        <v>40</v>
      </c>
      <c r="D10" t="s">
        <v>38</v>
      </c>
    </row>
    <row r="11" spans="2:7" x14ac:dyDescent="0.2">
      <c r="B11" t="s">
        <v>30</v>
      </c>
      <c r="C11">
        <v>-2.6748867000000001</v>
      </c>
      <c r="D11">
        <f>C11/256</f>
        <v>-1.0448776171875E-2</v>
      </c>
    </row>
    <row r="12" spans="2:7" x14ac:dyDescent="0.2">
      <c r="B12" t="s">
        <v>31</v>
      </c>
      <c r="C12">
        <v>5245.3514999999998</v>
      </c>
      <c r="D12">
        <f>C12/256</f>
        <v>20.489654296874999</v>
      </c>
    </row>
    <row r="13" spans="2:7" x14ac:dyDescent="0.2">
      <c r="B13" t="s">
        <v>41</v>
      </c>
    </row>
    <row r="14" spans="2:7" x14ac:dyDescent="0.2">
      <c r="B14" t="s">
        <v>30</v>
      </c>
      <c r="C14">
        <v>-4.5410649999999997</v>
      </c>
      <c r="D14">
        <f>C14/2</f>
        <v>-2.2705324999999998</v>
      </c>
    </row>
    <row r="17" spans="2:17" x14ac:dyDescent="0.2">
      <c r="B17" t="s">
        <v>39</v>
      </c>
      <c r="C17">
        <v>0</v>
      </c>
      <c r="F17" t="s">
        <v>4</v>
      </c>
      <c r="G17">
        <v>0.05</v>
      </c>
      <c r="J17" t="s">
        <v>4</v>
      </c>
      <c r="K17">
        <v>0.1</v>
      </c>
      <c r="N17" t="s">
        <v>4</v>
      </c>
      <c r="O17">
        <v>0.15</v>
      </c>
    </row>
    <row r="18" spans="2:17" x14ac:dyDescent="0.2">
      <c r="B18" t="s">
        <v>30</v>
      </c>
      <c r="C18">
        <v>-3342.3672999999999</v>
      </c>
      <c r="F18" t="s">
        <v>30</v>
      </c>
      <c r="G18">
        <v>-3242.4459000000002</v>
      </c>
      <c r="J18" t="s">
        <v>30</v>
      </c>
      <c r="K18">
        <v>-3129.1581999999999</v>
      </c>
      <c r="N18" t="s">
        <v>30</v>
      </c>
      <c r="O18">
        <v>-3049.6587</v>
      </c>
    </row>
    <row r="19" spans="2:17" x14ac:dyDescent="0.2">
      <c r="B19" t="s">
        <v>31</v>
      </c>
      <c r="C19">
        <v>7157.2525999999998</v>
      </c>
      <c r="D19">
        <f>(C19^(1/3))/4</f>
        <v>4.8178742121669673</v>
      </c>
      <c r="F19" t="s">
        <v>31</v>
      </c>
      <c r="G19">
        <v>7109.6229999999996</v>
      </c>
      <c r="H19">
        <f>(G19^(1/3))/4</f>
        <v>4.8071631962322154</v>
      </c>
      <c r="J19" t="s">
        <v>31</v>
      </c>
      <c r="K19">
        <v>7049.6388999999999</v>
      </c>
      <c r="L19">
        <f>(K19^(1/3))/4</f>
        <v>4.7936056030419083</v>
      </c>
      <c r="N19" t="s">
        <v>31</v>
      </c>
      <c r="O19">
        <v>6989.1419999999998</v>
      </c>
      <c r="P19">
        <f>(O19^(1/3))/4</f>
        <v>4.7798539860453122</v>
      </c>
    </row>
    <row r="20" spans="2:17" x14ac:dyDescent="0.2">
      <c r="B20" t="s">
        <v>5</v>
      </c>
      <c r="C20" t="s">
        <v>6</v>
      </c>
      <c r="D20" t="s">
        <v>7</v>
      </c>
      <c r="E20" t="s">
        <v>10</v>
      </c>
      <c r="F20" t="s">
        <v>5</v>
      </c>
      <c r="G20" t="s">
        <v>6</v>
      </c>
      <c r="H20" t="s">
        <v>7</v>
      </c>
      <c r="I20" t="s">
        <v>10</v>
      </c>
      <c r="J20" t="s">
        <v>5</v>
      </c>
      <c r="K20" t="s">
        <v>6</v>
      </c>
      <c r="L20" t="s">
        <v>7</v>
      </c>
      <c r="M20" t="s">
        <v>10</v>
      </c>
      <c r="N20" t="s">
        <v>5</v>
      </c>
      <c r="O20" t="s">
        <v>6</v>
      </c>
      <c r="P20" t="s">
        <v>7</v>
      </c>
      <c r="Q20" t="s">
        <v>10</v>
      </c>
    </row>
    <row r="21" spans="2:17" x14ac:dyDescent="0.2">
      <c r="B21">
        <v>256</v>
      </c>
      <c r="C21">
        <v>512</v>
      </c>
      <c r="D21">
        <f>C21/B21</f>
        <v>2</v>
      </c>
      <c r="E21">
        <f>(C18-B21*$D$3-C21*$D$14)/B21</f>
        <v>-2.2019784263281252</v>
      </c>
      <c r="F21">
        <v>256</v>
      </c>
      <c r="G21">
        <v>483</v>
      </c>
      <c r="H21">
        <f>G21/F21</f>
        <v>1.88671875</v>
      </c>
      <c r="I21">
        <f>(G18-F21*$D$3-G21*$D$14)/F21</f>
        <v>-2.0688692173437513</v>
      </c>
      <c r="J21">
        <v>256</v>
      </c>
      <c r="K21">
        <v>450</v>
      </c>
      <c r="L21">
        <f>K21/J21</f>
        <v>1.7578125</v>
      </c>
      <c r="M21">
        <f>(K18-J21*$D$3-K21*$D$14)/J21</f>
        <v>-1.919024969296875</v>
      </c>
      <c r="N21">
        <v>256</v>
      </c>
      <c r="O21">
        <v>427</v>
      </c>
      <c r="P21">
        <f>O21/N21</f>
        <v>1.66796875</v>
      </c>
      <c r="Q21">
        <f>(O18-N21*$D$3-O21*$D$14)/N21</f>
        <v>-1.8124732017187504</v>
      </c>
    </row>
    <row r="23" spans="2:17" x14ac:dyDescent="0.2">
      <c r="B23" t="s">
        <v>4</v>
      </c>
      <c r="C23">
        <v>0.2</v>
      </c>
      <c r="F23" t="s">
        <v>4</v>
      </c>
      <c r="G23">
        <v>0.3</v>
      </c>
      <c r="J23" t="s">
        <v>4</v>
      </c>
      <c r="K23">
        <v>0.4</v>
      </c>
      <c r="N23" t="s">
        <v>4</v>
      </c>
      <c r="O23">
        <v>0.5</v>
      </c>
    </row>
    <row r="24" spans="2:17" x14ac:dyDescent="0.2">
      <c r="B24" t="s">
        <v>30</v>
      </c>
      <c r="C24">
        <v>-2979.1268</v>
      </c>
      <c r="F24" t="s">
        <v>30</v>
      </c>
      <c r="G24">
        <v>-2789.2905000000001</v>
      </c>
      <c r="J24" t="s">
        <v>30</v>
      </c>
      <c r="K24">
        <v>-2624.5907999999999</v>
      </c>
      <c r="N24" t="s">
        <v>30</v>
      </c>
      <c r="O24">
        <v>-2458.9212000000002</v>
      </c>
    </row>
    <row r="25" spans="2:17" x14ac:dyDescent="0.2">
      <c r="B25" t="s">
        <v>31</v>
      </c>
      <c r="C25">
        <v>6959.9147000000003</v>
      </c>
      <c r="D25">
        <f>(C25^(1/3))/4</f>
        <v>4.7731818548840943</v>
      </c>
      <c r="F25" t="s">
        <v>31</v>
      </c>
      <c r="G25">
        <v>6801.8073000000004</v>
      </c>
      <c r="H25">
        <f>(G25^(1/3))/4</f>
        <v>4.7367607560854763</v>
      </c>
      <c r="J25" t="s">
        <v>31</v>
      </c>
      <c r="K25">
        <v>6662.4620999999997</v>
      </c>
      <c r="L25">
        <f>(K25^(1/3))/4</f>
        <v>4.7041907742025408</v>
      </c>
      <c r="N25" t="s">
        <v>31</v>
      </c>
      <c r="O25">
        <v>6490.9309999999996</v>
      </c>
      <c r="P25">
        <f>(O25^(1/3))/4</f>
        <v>4.6634680550718173</v>
      </c>
    </row>
    <row r="26" spans="2:17" x14ac:dyDescent="0.2">
      <c r="B26" t="s">
        <v>5</v>
      </c>
      <c r="C26" t="s">
        <v>6</v>
      </c>
      <c r="D26" t="s">
        <v>7</v>
      </c>
      <c r="E26" t="s">
        <v>10</v>
      </c>
      <c r="F26" t="s">
        <v>5</v>
      </c>
      <c r="G26" t="s">
        <v>6</v>
      </c>
      <c r="H26" t="s">
        <v>7</v>
      </c>
      <c r="I26" t="s">
        <v>10</v>
      </c>
      <c r="J26" t="s">
        <v>5</v>
      </c>
      <c r="K26" t="s">
        <v>6</v>
      </c>
      <c r="L26" t="s">
        <v>7</v>
      </c>
      <c r="M26" t="s">
        <v>10</v>
      </c>
      <c r="N26" t="s">
        <v>5</v>
      </c>
      <c r="O26" t="s">
        <v>6</v>
      </c>
      <c r="P26" t="s">
        <v>7</v>
      </c>
      <c r="Q26" t="s">
        <v>10</v>
      </c>
    </row>
    <row r="27" spans="2:17" x14ac:dyDescent="0.2">
      <c r="B27">
        <v>256</v>
      </c>
      <c r="C27">
        <v>406</v>
      </c>
      <c r="D27">
        <f>C27/B27</f>
        <v>1.5859375</v>
      </c>
      <c r="E27">
        <f>(C24-B27*$D$3-C27*$D$14)/B27</f>
        <v>-1.7232125864843755</v>
      </c>
      <c r="F27">
        <v>256</v>
      </c>
      <c r="G27">
        <v>351</v>
      </c>
      <c r="H27">
        <f>G27/F27</f>
        <v>1.37109375</v>
      </c>
      <c r="I27">
        <f>(G24-F27*$D$3-G27*$D$14)/F27</f>
        <v>-1.4694742564062508</v>
      </c>
      <c r="J27">
        <v>256</v>
      </c>
      <c r="K27">
        <v>302</v>
      </c>
      <c r="L27">
        <f>K27/J27</f>
        <v>1.1796875</v>
      </c>
      <c r="M27">
        <f>(K24-J27*$D$3-K27*$D$14)/J27</f>
        <v>-1.2607101646093755</v>
      </c>
      <c r="N27">
        <v>256</v>
      </c>
      <c r="O27">
        <v>251</v>
      </c>
      <c r="P27">
        <f>O27/N27</f>
        <v>0.98046875</v>
      </c>
      <c r="Q27">
        <f>(O24-N27*$D$3-O27*$D$14)/N27</f>
        <v>-1.0658959360937512</v>
      </c>
    </row>
    <row r="30" spans="2:17" x14ac:dyDescent="0.2">
      <c r="B30" t="s">
        <v>7</v>
      </c>
      <c r="C30" t="s">
        <v>10</v>
      </c>
    </row>
    <row r="31" spans="2:17" x14ac:dyDescent="0.2">
      <c r="B31">
        <v>2</v>
      </c>
      <c r="C31">
        <v>-2.2019784263281252</v>
      </c>
    </row>
    <row r="32" spans="2:17" x14ac:dyDescent="0.2">
      <c r="B32">
        <v>1.88671875</v>
      </c>
      <c r="C32">
        <v>-2.0688692173437513</v>
      </c>
    </row>
    <row r="33" spans="2:3" x14ac:dyDescent="0.2">
      <c r="B33">
        <v>1.7578125</v>
      </c>
      <c r="C33">
        <v>-1.919024969296875</v>
      </c>
    </row>
    <row r="34" spans="2:3" x14ac:dyDescent="0.2">
      <c r="B34">
        <v>1.66796875</v>
      </c>
      <c r="C34">
        <v>-1.8124732017187504</v>
      </c>
    </row>
    <row r="35" spans="2:3" x14ac:dyDescent="0.2">
      <c r="B35">
        <v>1.5859375</v>
      </c>
      <c r="C35">
        <v>-1.7232125864843755</v>
      </c>
    </row>
    <row r="36" spans="2:3" x14ac:dyDescent="0.2">
      <c r="B36">
        <v>1.37109375</v>
      </c>
      <c r="C36">
        <v>-1.4694742564062508</v>
      </c>
    </row>
    <row r="37" spans="2:3" x14ac:dyDescent="0.2">
      <c r="B37">
        <v>1.1796875</v>
      </c>
      <c r="C37">
        <v>-1.2607101646093755</v>
      </c>
    </row>
    <row r="38" spans="2:3" x14ac:dyDescent="0.2">
      <c r="B38">
        <v>0.98046875</v>
      </c>
      <c r="C38">
        <v>-1.0658959360937512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bulk test</vt:lpstr>
      <vt:lpstr>strains</vt:lpstr>
      <vt:lpstr>surfaces</vt:lpstr>
      <vt:lpstr>bulk 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2018-08-29T14:30:47Z</dcterms:created>
  <dcterms:modified xsi:type="dcterms:W3CDTF">2018-10-15T15:33:11Z</dcterms:modified>
</cp:coreProperties>
</file>