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stamp\Projects-Local\Debt Yield\"/>
    </mc:Choice>
  </mc:AlternateContent>
  <xr:revisionPtr revIDLastSave="0" documentId="13_ncr:1_{72D72EE6-9BC2-4E28-8D92-ED2105D93291}" xr6:coauthVersionLast="47" xr6:coauthVersionMax="47" xr10:uidLastSave="{00000000-0000-0000-0000-000000000000}"/>
  <bookViews>
    <workbookView xWindow="-120" yWindow="-120" windowWidth="38640" windowHeight="15720" xr2:uid="{A89BC13B-077E-4D80-99AF-C95E1167278C}"/>
  </bookViews>
  <sheets>
    <sheet name="(New) Comm OSAR" sheetId="30" r:id="rId1"/>
    <sheet name="QoQ" sheetId="13" r:id="rId2"/>
    <sheet name="Debt Service" sheetId="16" r:id="rId3"/>
    <sheet name="Tax" sheetId="19" r:id="rId4"/>
    <sheet name="Insurance" sheetId="34" r:id="rId5"/>
    <sheet name="1Q26 T12" sheetId="31" r:id="rId6"/>
    <sheet name="1Q RR" sheetId="24" state="hidden" r:id="rId7"/>
    <sheet name="1Q26 RR" sheetId="32" r:id="rId8"/>
    <sheet name="3Q T12" sheetId="27" state="hidden" r:id="rId9"/>
    <sheet name="2Q T12" sheetId="25" state="hidden" r:id="rId10"/>
    <sheet name="Definitions" sheetId="14" r:id="rId11"/>
  </sheets>
  <externalReferences>
    <externalReference r:id="rId12"/>
    <externalReference r:id="rId13"/>
  </externalReferences>
  <definedNames>
    <definedName name="BiMonthly">#REF!</definedName>
    <definedName name="CMNOTES">#REF!</definedName>
    <definedName name="EffGrowth">#REF!</definedName>
    <definedName name="Expense_Growth">#REF!</definedName>
    <definedName name="Market">#REF!</definedName>
    <definedName name="MktGrowth">#REF!</definedName>
    <definedName name="N_Units">#REF!</definedName>
    <definedName name="OpexMonths">#REF!</definedName>
    <definedName name="Property_Name">#REF!</definedName>
    <definedName name="Quarterly_Growth">#REF!</definedName>
    <definedName name="Rent">#REF!</definedName>
    <definedName name="RESULTS">#REF!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7" i="32" l="1"/>
  <c r="I7" i="30" l="1"/>
  <c r="I8" i="30"/>
  <c r="I16" i="30"/>
  <c r="L26" i="30" s="1"/>
  <c r="F62" i="32"/>
  <c r="T7" i="32"/>
  <c r="L39" i="30"/>
  <c r="L38" i="30"/>
  <c r="L49" i="30"/>
  <c r="L48" i="30"/>
  <c r="L47" i="30"/>
  <c r="L46" i="30"/>
  <c r="L45" i="30"/>
  <c r="L44" i="30"/>
  <c r="L42" i="30"/>
  <c r="L41" i="30"/>
  <c r="L40" i="30"/>
  <c r="L32" i="30"/>
  <c r="T5" i="32" l="1"/>
  <c r="N43" i="32"/>
  <c r="I29" i="30"/>
  <c r="N29" i="30" s="1"/>
  <c r="O29" i="30" s="1"/>
  <c r="N27" i="30"/>
  <c r="O27" i="30" s="1"/>
  <c r="N28" i="30"/>
  <c r="O28" i="30"/>
  <c r="N30" i="30"/>
  <c r="O30" i="30" s="1"/>
  <c r="N31" i="30"/>
  <c r="O31" i="30"/>
  <c r="N33" i="30"/>
  <c r="O33" i="30" s="1"/>
  <c r="N35" i="30"/>
  <c r="O35" i="30" s="1"/>
  <c r="N36" i="30"/>
  <c r="O36" i="30"/>
  <c r="N37" i="30"/>
  <c r="O37" i="30" s="1"/>
  <c r="N51" i="30"/>
  <c r="O51" i="30" s="1"/>
  <c r="N53" i="30"/>
  <c r="O53" i="30" s="1"/>
  <c r="N55" i="30"/>
  <c r="O55" i="30" s="1"/>
  <c r="N56" i="30"/>
  <c r="O56" i="30" s="1"/>
  <c r="N57" i="30"/>
  <c r="O57" i="30" s="1"/>
  <c r="N59" i="30"/>
  <c r="O59" i="30"/>
  <c r="N61" i="30"/>
  <c r="O61" i="30" s="1"/>
  <c r="N63" i="30"/>
  <c r="O63" i="30"/>
  <c r="N65" i="30"/>
  <c r="O65" i="30" s="1"/>
  <c r="G4" i="13" l="1"/>
  <c r="Q7" i="32"/>
  <c r="Q27" i="32"/>
  <c r="V27" i="32"/>
  <c r="E12" i="30"/>
  <c r="I58" i="30" s="1"/>
  <c r="I25" i="30" l="1"/>
  <c r="N25" i="30" s="1"/>
  <c r="O25" i="30" s="1"/>
  <c r="S41" i="32"/>
  <c r="S27" i="32"/>
  <c r="S7" i="32"/>
  <c r="C7" i="16" l="1"/>
  <c r="I26" i="30" l="1"/>
  <c r="N26" i="30" s="1"/>
  <c r="O26" i="30" s="1"/>
  <c r="T41" i="32"/>
  <c r="T27" i="32"/>
  <c r="R27" i="32"/>
  <c r="R7" i="32"/>
  <c r="H64" i="30"/>
  <c r="H56" i="30"/>
  <c r="H57" i="30"/>
  <c r="H58" i="30"/>
  <c r="H48" i="30" l="1"/>
  <c r="H47" i="30"/>
  <c r="H46" i="30"/>
  <c r="H43" i="30"/>
  <c r="H41" i="30"/>
  <c r="H40" i="30"/>
  <c r="H39" i="30"/>
  <c r="I39" i="30" s="1"/>
  <c r="H38" i="30"/>
  <c r="H32" i="30"/>
  <c r="H29" i="30"/>
  <c r="H25" i="30"/>
  <c r="H34" i="30" l="1"/>
  <c r="I32" i="30"/>
  <c r="N32" i="30" s="1"/>
  <c r="O32" i="30" s="1"/>
  <c r="H50" i="30"/>
  <c r="H52" i="30" s="1"/>
  <c r="I38" i="30"/>
  <c r="N38" i="30" s="1"/>
  <c r="O38" i="30" s="1"/>
  <c r="N39" i="30"/>
  <c r="O39" i="30" s="1"/>
  <c r="I40" i="30"/>
  <c r="N40" i="30" s="1"/>
  <c r="O40" i="30" s="1"/>
  <c r="I41" i="30"/>
  <c r="N41" i="30" s="1"/>
  <c r="O41" i="30" s="1"/>
  <c r="I42" i="30"/>
  <c r="N42" i="30" s="1"/>
  <c r="O42" i="30" s="1"/>
  <c r="I44" i="30"/>
  <c r="N44" i="30" s="1"/>
  <c r="O44" i="30" s="1"/>
  <c r="I45" i="30"/>
  <c r="N45" i="30" s="1"/>
  <c r="O45" i="30" s="1"/>
  <c r="I46" i="30"/>
  <c r="N46" i="30" s="1"/>
  <c r="O46" i="30" s="1"/>
  <c r="I47" i="30"/>
  <c r="N47" i="30" s="1"/>
  <c r="O47" i="30" s="1"/>
  <c r="I48" i="30"/>
  <c r="N48" i="30" s="1"/>
  <c r="O48" i="30" s="1"/>
  <c r="I49" i="30"/>
  <c r="N49" i="30" s="1"/>
  <c r="O49" i="30" s="1"/>
  <c r="H60" i="30"/>
  <c r="H54" i="30" l="1"/>
  <c r="H62" i="30" l="1"/>
  <c r="H74" i="30" s="1"/>
  <c r="H70" i="30"/>
  <c r="H78" i="30"/>
  <c r="H68" i="30"/>
  <c r="H24" i="30"/>
  <c r="I24" i="30"/>
  <c r="E17" i="30"/>
  <c r="I6" i="30" l="1"/>
  <c r="I60" i="30" l="1"/>
  <c r="N60" i="30" s="1"/>
  <c r="O60" i="30" s="1"/>
  <c r="N58" i="30"/>
  <c r="O58" i="30" s="1"/>
  <c r="K31" i="30"/>
  <c r="K30" i="30"/>
  <c r="J30" i="30"/>
  <c r="J26" i="30"/>
  <c r="K26" i="30"/>
  <c r="K25" i="30"/>
  <c r="J25" i="30"/>
  <c r="K23" i="30"/>
  <c r="F14" i="30"/>
  <c r="F13" i="30"/>
  <c r="F12" i="30"/>
  <c r="F8" i="30"/>
  <c r="F7" i="30"/>
  <c r="C3" i="30"/>
  <c r="I34" i="30" l="1"/>
  <c r="N34" i="30" l="1"/>
  <c r="O34" i="30" s="1"/>
  <c r="I43" i="30"/>
  <c r="I50" i="30" s="1"/>
  <c r="I54" i="30" s="1"/>
  <c r="N43" i="30" l="1"/>
  <c r="O43" i="30" s="1"/>
  <c r="C9" i="16"/>
  <c r="N54" i="30"/>
  <c r="O54" i="30" s="1"/>
  <c r="I52" i="30"/>
  <c r="N52" i="30" s="1"/>
  <c r="O52" i="30" s="1"/>
  <c r="N50" i="30"/>
  <c r="O50" i="30" s="1"/>
  <c r="I62" i="30"/>
  <c r="H4" i="13"/>
  <c r="I78" i="30" l="1"/>
  <c r="I4" i="13" s="1"/>
  <c r="N62" i="30"/>
  <c r="O62" i="30" s="1"/>
  <c r="O76" i="27" l="1"/>
  <c r="O75" i="27"/>
  <c r="O73" i="27"/>
  <c r="O72" i="27"/>
  <c r="E76" i="27"/>
  <c r="D76" i="27"/>
  <c r="C76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E55" i="27"/>
  <c r="D55" i="27"/>
  <c r="C55" i="27"/>
  <c r="E21" i="27"/>
  <c r="D21" i="27"/>
  <c r="C21" i="27"/>
  <c r="C23" i="27"/>
  <c r="E69" i="27"/>
  <c r="D69" i="27"/>
  <c r="C69" i="27"/>
  <c r="E68" i="27"/>
  <c r="D68" i="27"/>
  <c r="C68" i="27"/>
  <c r="E66" i="27"/>
  <c r="D66" i="27"/>
  <c r="C66" i="27"/>
  <c r="E64" i="27"/>
  <c r="D64" i="27"/>
  <c r="C64" i="27"/>
  <c r="E62" i="27"/>
  <c r="D62" i="27"/>
  <c r="C62" i="27"/>
  <c r="E61" i="27"/>
  <c r="D61" i="27"/>
  <c r="C61" i="27"/>
  <c r="E60" i="27"/>
  <c r="D60" i="27"/>
  <c r="C60" i="27"/>
  <c r="E59" i="27"/>
  <c r="D59" i="27"/>
  <c r="C59" i="27"/>
  <c r="E58" i="27"/>
  <c r="D58" i="27"/>
  <c r="C58" i="27"/>
  <c r="E54" i="27"/>
  <c r="D54" i="27"/>
  <c r="C54" i="27"/>
  <c r="E53" i="27"/>
  <c r="D53" i="27"/>
  <c r="C53" i="27"/>
  <c r="E52" i="27"/>
  <c r="D52" i="27"/>
  <c r="C52" i="27"/>
  <c r="E51" i="27"/>
  <c r="D51" i="27"/>
  <c r="C51" i="27"/>
  <c r="E50" i="27"/>
  <c r="D50" i="27"/>
  <c r="C50" i="27"/>
  <c r="E49" i="27"/>
  <c r="D49" i="27"/>
  <c r="C49" i="27"/>
  <c r="E48" i="27"/>
  <c r="D48" i="27"/>
  <c r="C48" i="27"/>
  <c r="E47" i="27"/>
  <c r="D47" i="27"/>
  <c r="C47" i="27"/>
  <c r="E46" i="27"/>
  <c r="D46" i="27"/>
  <c r="C46" i="27"/>
  <c r="E45" i="27"/>
  <c r="D45" i="27"/>
  <c r="C45" i="27"/>
  <c r="E44" i="27"/>
  <c r="D44" i="27"/>
  <c r="C44" i="27"/>
  <c r="E43" i="27"/>
  <c r="D43" i="27"/>
  <c r="C43" i="27"/>
  <c r="E42" i="27"/>
  <c r="D42" i="27"/>
  <c r="C42" i="27"/>
  <c r="E41" i="27"/>
  <c r="D41" i="27"/>
  <c r="C41" i="27"/>
  <c r="E40" i="27"/>
  <c r="D40" i="27"/>
  <c r="C40" i="27"/>
  <c r="E39" i="27"/>
  <c r="D39" i="27"/>
  <c r="C39" i="27"/>
  <c r="E38" i="27"/>
  <c r="D38" i="27"/>
  <c r="C38" i="27"/>
  <c r="E37" i="27"/>
  <c r="D37" i="27"/>
  <c r="C37" i="27"/>
  <c r="E36" i="27"/>
  <c r="D36" i="27"/>
  <c r="C36" i="27"/>
  <c r="E35" i="27"/>
  <c r="D35" i="27"/>
  <c r="C35" i="27"/>
  <c r="E34" i="27"/>
  <c r="D34" i="27"/>
  <c r="C34" i="27"/>
  <c r="E33" i="27"/>
  <c r="D33" i="27"/>
  <c r="C33" i="27"/>
  <c r="E32" i="27"/>
  <c r="D32" i="27"/>
  <c r="C32" i="27"/>
  <c r="E31" i="27"/>
  <c r="D31" i="27"/>
  <c r="C31" i="27"/>
  <c r="E30" i="27"/>
  <c r="D30" i="27"/>
  <c r="C30" i="27"/>
  <c r="E29" i="27"/>
  <c r="D29" i="27"/>
  <c r="C29" i="27"/>
  <c r="E28" i="27"/>
  <c r="D28" i="27"/>
  <c r="C28" i="27"/>
  <c r="E23" i="27"/>
  <c r="D23" i="27"/>
  <c r="E20" i="27"/>
  <c r="D20" i="27"/>
  <c r="C20" i="27"/>
  <c r="E19" i="27"/>
  <c r="D19" i="27"/>
  <c r="C19" i="27"/>
  <c r="E18" i="27"/>
  <c r="D18" i="27"/>
  <c r="C18" i="27"/>
  <c r="E17" i="27"/>
  <c r="D17" i="27"/>
  <c r="C17" i="27"/>
  <c r="E16" i="27"/>
  <c r="D16" i="27"/>
  <c r="C16" i="27"/>
  <c r="E15" i="27"/>
  <c r="D15" i="27"/>
  <c r="C15" i="27"/>
  <c r="E14" i="27"/>
  <c r="D14" i="27"/>
  <c r="C14" i="27"/>
  <c r="E13" i="27"/>
  <c r="D13" i="27"/>
  <c r="C13" i="27"/>
  <c r="E12" i="27"/>
  <c r="D12" i="27"/>
  <c r="C12" i="27"/>
  <c r="M71" i="24" l="1"/>
  <c r="O68" i="24" s="1"/>
  <c r="M127" i="24"/>
  <c r="O124" i="24" s="1"/>
  <c r="G141" i="24" l="1"/>
  <c r="C10" i="16" l="1"/>
  <c r="B7" i="19"/>
  <c r="C5" i="16" l="1"/>
  <c r="D2" i="16"/>
  <c r="C11" i="16" l="1"/>
  <c r="I64" i="30" l="1"/>
  <c r="N64" i="30" s="1"/>
  <c r="O64" i="30" s="1"/>
  <c r="K4" i="13"/>
  <c r="B4" i="13"/>
  <c r="I68" i="30" l="1"/>
  <c r="L4" i="13" l="1"/>
  <c r="C16" i="16"/>
  <c r="C13" i="16" l="1"/>
  <c r="C14" i="16"/>
  <c r="M4" i="13"/>
  <c r="I74" i="30" l="1"/>
  <c r="J4" i="13" s="1"/>
  <c r="N4" i="13" s="1"/>
  <c r="I70" i="30"/>
</calcChain>
</file>

<file path=xl/sharedStrings.xml><?xml version="1.0" encoding="utf-8"?>
<sst xmlns="http://schemas.openxmlformats.org/spreadsheetml/2006/main" count="905" uniqueCount="439">
  <si>
    <t>CREFC Investor Reporting Package</t>
  </si>
  <si>
    <t xml:space="preserve"> PROPERTY OVERVIEW</t>
  </si>
  <si>
    <t>Allocated Loan Amount/Percentage</t>
  </si>
  <si>
    <t>Property ID</t>
  </si>
  <si>
    <t>1001-001</t>
  </si>
  <si>
    <t>Paid Thru Date</t>
  </si>
  <si>
    <t>Debt Outside Trust (1)</t>
  </si>
  <si>
    <t>$</t>
  </si>
  <si>
    <t>%</t>
  </si>
  <si>
    <t xml:space="preserve">      Note A-Scheduled Loan Balance</t>
  </si>
  <si>
    <t>MM/DD/YY</t>
  </si>
  <si>
    <t xml:space="preserve">      Note B-Scheduled Loan Balance</t>
  </si>
  <si>
    <t xml:space="preserve">      Note C-Scheduled Loan Balance</t>
  </si>
  <si>
    <t xml:space="preserve">      Property Name</t>
  </si>
  <si>
    <t xml:space="preserve">      Property Type</t>
  </si>
  <si>
    <t xml:space="preserve">      Property Address, City, State</t>
  </si>
  <si>
    <t xml:space="preserve">      Current Net Rentable SF/Units/Beds/Rooms</t>
  </si>
  <si>
    <t>Use second box to specify sqft.,units…</t>
  </si>
  <si>
    <t xml:space="preserve">      Year Built/Year Renovated</t>
  </si>
  <si>
    <t xml:space="preserve">      Cap Ex Reserve (annually)/per Unit.etc. (2)</t>
  </si>
  <si>
    <t>specify annual/per unit…</t>
  </si>
  <si>
    <t xml:space="preserve">      Statement Ending Date</t>
  </si>
  <si>
    <t xml:space="preserve">      Occupancy Rate (physical)</t>
  </si>
  <si>
    <t xml:space="preserve">      Occupancy Date</t>
  </si>
  <si>
    <t>(1) "X" if debt is outside of the trust, otherwise leave blank</t>
  </si>
  <si>
    <t>(2) Total $ amount of Capital Reserves required annually by loan documents</t>
  </si>
  <si>
    <t xml:space="preserve">  INCOME:</t>
  </si>
  <si>
    <t xml:space="preserve">      Number of Mos. Covered</t>
  </si>
  <si>
    <t xml:space="preserve">      Period Ended</t>
  </si>
  <si>
    <t>At Contribution</t>
  </si>
  <si>
    <t>DY Test</t>
  </si>
  <si>
    <t>Notes</t>
  </si>
  <si>
    <t>Information</t>
  </si>
  <si>
    <t xml:space="preserve">      Gross Potential Rent (3)</t>
  </si>
  <si>
    <t xml:space="preserve">         Less: Vacancy Loss</t>
  </si>
  <si>
    <t>OR</t>
  </si>
  <si>
    <t xml:space="preserve">      Expense Reimbursement</t>
  </si>
  <si>
    <t xml:space="preserve">      Percentage Rent</t>
  </si>
  <si>
    <t xml:space="preserve">      Parking Income</t>
  </si>
  <si>
    <t xml:space="preserve">      Other Income</t>
  </si>
  <si>
    <t xml:space="preserve">  *Effective Gross Income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</si>
  <si>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</si>
  <si>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</si>
  <si>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</si>
  <si>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</si>
  <si>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</si>
  <si>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Janitorial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</si>
  <si>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</si>
  <si>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</si>
  <si>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</si>
  <si>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</si>
  <si>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</si>
  <si>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</si>
  <si>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</si>
  <si>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</si>
  <si>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</si>
  <si>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</si>
  <si>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Leasing Commissions </t>
  </si>
  <si>
    <t xml:space="preserve">      Tenant Improvements 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</si>
  <si>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</si>
  <si>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</si>
  <si>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</si>
  <si>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</si>
  <si>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</si>
  <si>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 Debt Service - B Note</t>
  </si>
  <si>
    <t xml:space="preserve">  Debt Service - C Note</t>
  </si>
  <si>
    <t xml:space="preserve"> *Net Cash Flow after Debt Service</t>
  </si>
  <si>
    <t xml:space="preserve"> *DSCR: (NOI/Debt Service) - A &amp; B Note</t>
  </si>
  <si>
    <t xml:space="preserve"> *DSCR: (NOI/Debt Service) - A, B &amp; C Note</t>
  </si>
  <si>
    <t xml:space="preserve"> *DSCR: (NCF/Debt Service) - A &amp; B Note</t>
  </si>
  <si>
    <t xml:space="preserve"> *DSCR: (NCF/Debt Service) - A, B &amp; C Note</t>
  </si>
  <si>
    <t xml:space="preserve">  Source of Financial Data:</t>
  </si>
  <si>
    <t>(ie. operating statements, financial statements, tax return, other)</t>
  </si>
  <si>
    <t xml:space="preserve"> </t>
  </si>
  <si>
    <t>Industrial</t>
  </si>
  <si>
    <t>COMMERCIAL OPERATING STATEMENT ANALYSIS REPORT (includes Retail/Office/Industrial/Mixed Use/Self Storage)</t>
  </si>
  <si>
    <t>T12</t>
  </si>
  <si>
    <t>QoQ ∆</t>
  </si>
  <si>
    <t>Cash Management</t>
  </si>
  <si>
    <t>Property</t>
  </si>
  <si>
    <t>Occupancy</t>
  </si>
  <si>
    <t>NOI</t>
  </si>
  <si>
    <t>DY</t>
  </si>
  <si>
    <t>DSCR</t>
  </si>
  <si>
    <t>In CM?</t>
  </si>
  <si>
    <t>Notes:</t>
  </si>
  <si>
    <t>Hialeah Infill Industrial Park</t>
  </si>
  <si>
    <t>1959-1968</t>
  </si>
  <si>
    <t>3455 NW 54th St &amp; 5400 NW 32nd Ct &amp; 5530 NW 32nd Ct Miami FL</t>
  </si>
  <si>
    <t>SOFR</t>
  </si>
  <si>
    <t>Spread</t>
  </si>
  <si>
    <t>Interest Rate Cap</t>
  </si>
  <si>
    <t>Effective Interest Rate</t>
  </si>
  <si>
    <t>Current Principal Balance</t>
  </si>
  <si>
    <t>Debt Service (w/o Cap)</t>
  </si>
  <si>
    <t>Debt Service (w/Cap)</t>
  </si>
  <si>
    <t>DSCR (w/o Cap)</t>
  </si>
  <si>
    <t>DSCR (w/Cap)</t>
  </si>
  <si>
    <t>Database:</t>
  </si>
  <si>
    <t>MSDE_SE</t>
  </si>
  <si>
    <t>Rent Roll</t>
  </si>
  <si>
    <t>Page:      1</t>
  </si>
  <si>
    <t>Bldg Status:</t>
  </si>
  <si>
    <t>Active only</t>
  </si>
  <si>
    <t>Seaboard Indust-3455 NW 54 St</t>
  </si>
  <si>
    <t>Time: 12/30/1899</t>
  </si>
  <si>
    <t>Bldg Id-Suit Id</t>
  </si>
  <si>
    <t>GLA</t>
  </si>
  <si>
    <t>Monthly</t>
  </si>
  <si>
    <t>Annual</t>
  </si>
  <si>
    <t>Expense</t>
  </si>
  <si>
    <t>Monthly ---------------- Future Rent Increases ----------------</t>
  </si>
  <si>
    <t>-Lease Id</t>
  </si>
  <si>
    <t>Occupant Name</t>
  </si>
  <si>
    <t>Lease Start</t>
  </si>
  <si>
    <t>Expiration</t>
  </si>
  <si>
    <t>Sqft</t>
  </si>
  <si>
    <t>Base Rent</t>
  </si>
  <si>
    <t>Rate PSF</t>
  </si>
  <si>
    <t>Cost Recovery</t>
  </si>
  <si>
    <t>Stop</t>
  </si>
  <si>
    <t>Other Income Cat Date Monthly Amount PSF</t>
  </si>
  <si>
    <t>Occupied Suites</t>
  </si>
  <si>
    <t>Totals:</t>
  </si>
  <si>
    <t>Occupied Sqft:</t>
  </si>
  <si>
    <t>1 Units</t>
  </si>
  <si>
    <t>Leased/Unoccupied Sqft:</t>
  </si>
  <si>
    <t>0 Units</t>
  </si>
  <si>
    <t>0</t>
  </si>
  <si>
    <t>Vacant Sqft:</t>
  </si>
  <si>
    <t>Total Sqft:</t>
  </si>
  <si>
    <t>135,081</t>
  </si>
  <si>
    <t>Total Seaboard Indust-3455 NW 54 St:</t>
  </si>
  <si>
    <t>Page:      2</t>
  </si>
  <si>
    <t>Seaboard Indust-5400 NW 32 Ct</t>
  </si>
  <si>
    <t>Sun Commodities Inc.</t>
  </si>
  <si>
    <t>BRT 4/1/2025 79,384.22 9.53</t>
  </si>
  <si>
    <t>BRT 4/1/2026 82,162.67 9.87</t>
  </si>
  <si>
    <t>BRT 4/1/2027 85,038.36 10.21</t>
  </si>
  <si>
    <t>99,907</t>
  </si>
  <si>
    <t>Total Seaboard Indust-5400 NW 32 Ct:</t>
  </si>
  <si>
    <t>Page:      3</t>
  </si>
  <si>
    <t>Seaboard Indust-5530 NW 32 Ct</t>
  </si>
  <si>
    <t>Beacon Sales Acquisition Inc</t>
  </si>
  <si>
    <t>BRT 5/1/2025 54,441.81 11.80</t>
  </si>
  <si>
    <t>55,358</t>
  </si>
  <si>
    <t>Total Seaboard Indust-5530 NW 32 Ct:</t>
  </si>
  <si>
    <t>Grand Total:</t>
  </si>
  <si>
    <t>Database: MSDE_SE</t>
  </si>
  <si>
    <t>PROJ: 27279</t>
  </si>
  <si>
    <t>Lincoln Property Company</t>
  </si>
  <si>
    <t>WSLP Seaboard Owner IX LP</t>
  </si>
  <si>
    <t>Accrual</t>
  </si>
  <si>
    <t>Total</t>
  </si>
  <si>
    <t>REVENUES:</t>
  </si>
  <si>
    <t>RENTAL INCOME</t>
  </si>
  <si>
    <t>BASE/MINIMUM RENT</t>
  </si>
  <si>
    <t>TOTAL RENTAL REVENUE</t>
  </si>
  <si>
    <t>OTHER INCOME</t>
  </si>
  <si>
    <t>INSURANCE REIMB</t>
  </si>
  <si>
    <t>PROPERTY TAX REIMB</t>
  </si>
  <si>
    <t>CAM REIMBURSEMENT</t>
  </si>
  <si>
    <t>TOTAL OTHER INCOME</t>
  </si>
  <si>
    <t>TOTAL REVENUE</t>
  </si>
  <si>
    <t>EXPENSES:</t>
  </si>
  <si>
    <t>OPERATING EXPENSES</t>
  </si>
  <si>
    <t>TAXES &amp; INSURANCE</t>
  </si>
  <si>
    <t>REAL ESTATE TAXES</t>
  </si>
  <si>
    <t>INSURANCE</t>
  </si>
  <si>
    <t>TOTAL TAXES &amp; INSURANCE</t>
  </si>
  <si>
    <t>ADMINISTRATION</t>
  </si>
  <si>
    <t>BANK CHARGES</t>
  </si>
  <si>
    <t>OTHER ADMINISTRATIVE</t>
  </si>
  <si>
    <t>POSTAGE &amp; DELIVERY</t>
  </si>
  <si>
    <t>TOTAL ADMINISTRATION</t>
  </si>
  <si>
    <t>PROFESSIONAL FEES</t>
  </si>
  <si>
    <t>PROF FEES  TAX APPEALS</t>
  </si>
  <si>
    <t>TOTAL PROFESSIONAL FEES</t>
  </si>
  <si>
    <t>UTILITIES</t>
  </si>
  <si>
    <t>ELECTRICITY</t>
  </si>
  <si>
    <t>WATER &amp; SEWER</t>
  </si>
  <si>
    <t>TOTAL UTILITIES</t>
  </si>
  <si>
    <t>REPAIRS &amp; MAINTENANCE</t>
  </si>
  <si>
    <t>R&amp;M EQUIP MONITORING SYS</t>
  </si>
  <si>
    <t>R&amp;M FIRE SAFETY CONTRACT</t>
  </si>
  <si>
    <t>R&amp;M FIRE SAFETY REPAIRS</t>
  </si>
  <si>
    <t>R&amp;M LANDSCAPE EXT CONTRCT</t>
  </si>
  <si>
    <t>R&amp;M LANDSCAPE EXT REPAIRS</t>
  </si>
  <si>
    <t>R&amp;M ROOFING REPAIRS</t>
  </si>
  <si>
    <t>R&amp;M OTHER</t>
  </si>
  <si>
    <t>TOTAL REPAIRS &amp; MAINTENANCE</t>
  </si>
  <si>
    <t>MANAGEMENT FEE</t>
  </si>
  <si>
    <t>PROPERTY MANAGEMENT FEES</t>
  </si>
  <si>
    <t>TOTAL MANAGEMENT FEE</t>
  </si>
  <si>
    <t>TOTAL OPERATING EXPENSES</t>
  </si>
  <si>
    <t>NON-RECOVERABLE EXPENSES</t>
  </si>
  <si>
    <t>TOTAL NON-RECOVERABLE EXPENSES</t>
  </si>
  <si>
    <t>TOTAL EXPENSES</t>
  </si>
  <si>
    <t>NET OPERATING INCOME</t>
  </si>
  <si>
    <t>NON OPERATING EXPENSES</t>
  </si>
  <si>
    <t>ASSET MANAGEMENT FEES</t>
  </si>
  <si>
    <t>INTEREST EXPENSE</t>
  </si>
  <si>
    <t>INT RATE CAP EXPENSE</t>
  </si>
  <si>
    <t>UNREALIZED FMV ADJ</t>
  </si>
  <si>
    <t>TOTAL NON OPERATING EXPENSES</t>
  </si>
  <si>
    <t>NET INCOME</t>
  </si>
  <si>
    <t>CAPITAL EXPENSES</t>
  </si>
  <si>
    <t>BUILDING IMPROVEMENTS</t>
  </si>
  <si>
    <t>TOTAL CAPITAL EXPENSES</t>
  </si>
  <si>
    <t>NET INCOME LESS CAPITAL EXPENSES</t>
  </si>
  <si>
    <t>30-3116-016-0020</t>
  </si>
  <si>
    <t>30-3116-016-0040</t>
  </si>
  <si>
    <t>30-3116-016-0100</t>
  </si>
  <si>
    <t>MISCELLANEOUS INCOME</t>
  </si>
  <si>
    <t>PROF FEES  LEGAL</t>
  </si>
  <si>
    <t>WATER</t>
  </si>
  <si>
    <t>TENANT IMPROVEMENTS</t>
  </si>
  <si>
    <t>Vacant Suites</t>
  </si>
  <si>
    <t>-100A</t>
  </si>
  <si>
    <t>Vacant</t>
  </si>
  <si>
    <t>2 Units</t>
  </si>
  <si>
    <t>4 Units</t>
  </si>
  <si>
    <t>$0.25PSF</t>
  </si>
  <si>
    <t>HOLDOVER RENT</t>
  </si>
  <si>
    <t>INTEREST  ESCROW</t>
  </si>
  <si>
    <t>RE TAXES - PRIOR YR</t>
  </si>
  <si>
    <t>TRAVEL &amp; TRANSPORTATION</t>
  </si>
  <si>
    <t>R&amp;M EXTERIOR REPAIRS &amp; LABOR</t>
  </si>
  <si>
    <t>Yes</t>
  </si>
  <si>
    <t>Forecast - Budget Report</t>
  </si>
  <si>
    <t>RENT CONCESSIONS</t>
  </si>
  <si>
    <t>TENANT WORK ORDER REIMB</t>
  </si>
  <si>
    <t>MILEAGE REIMBURSEMENT</t>
  </si>
  <si>
    <t>OTHER ADMINISTRATIVE - NON</t>
  </si>
  <si>
    <t>PROFESSIONAL FEES  NON</t>
  </si>
  <si>
    <t>SOFTWARE LICENSING-NON RECOV</t>
  </si>
  <si>
    <t>GAIN/LOSS ON SWAP</t>
  </si>
  <si>
    <t>LEASING COMMISSIONS</t>
  </si>
  <si>
    <t>CONSTRUCTION IN PROGRESS</t>
  </si>
  <si>
    <t>Miami-Dade</t>
  </si>
  <si>
    <t>(3) Use either Gross Potential (with Vacancy Loss) or Base Rents; use negative $ amt for Vacancy Loss</t>
  </si>
  <si>
    <t>The Property remains in cash management as it failed to meet the DY cure of 7.00% for one quarter.</t>
  </si>
  <si>
    <t>Date: 1/15/2025</t>
  </si>
  <si>
    <t>2 Units 135,081</t>
  </si>
  <si>
    <t>Annualized in-place RR</t>
  </si>
  <si>
    <t>UTILITY INCOME</t>
  </si>
  <si>
    <t>Escalation within 90 Days</t>
  </si>
  <si>
    <t>Date</t>
  </si>
  <si>
    <t>Forward start period</t>
  </si>
  <si>
    <t>DY Test Rent</t>
  </si>
  <si>
    <t>Rolling Twelve Month Income Statement</t>
  </si>
  <si>
    <t>Report Id: MRI_R12MINCS</t>
  </si>
  <si>
    <t>SEABOARD</t>
  </si>
  <si>
    <t>Ending Period June 2025</t>
  </si>
  <si>
    <t>07/24</t>
  </si>
  <si>
    <t>08/24</t>
  </si>
  <si>
    <t>09/24</t>
  </si>
  <si>
    <t>10/24</t>
  </si>
  <si>
    <t>11/24</t>
  </si>
  <si>
    <t>12/24</t>
  </si>
  <si>
    <t>01/25</t>
  </si>
  <si>
    <t>02/25</t>
  </si>
  <si>
    <t>03/25</t>
  </si>
  <si>
    <t>04/25</t>
  </si>
  <si>
    <t>05/25</t>
  </si>
  <si>
    <t>06/25</t>
  </si>
  <si>
    <t>UTILITY INCOME-ELECTRIC</t>
  </si>
  <si>
    <t>WATER - FIRE LINES</t>
  </si>
  <si>
    <t>R&amp;M HVAC REPAIRS</t>
  </si>
  <si>
    <t>R&amp;M MINOR CLEANING</t>
  </si>
  <si>
    <t>R&amp;M PLUMBING REPAIRS</t>
  </si>
  <si>
    <t>PROF FEES  LEGAL  NON</t>
  </si>
  <si>
    <t>HVAC-NON RECOV</t>
  </si>
  <si>
    <t>100</t>
  </si>
  <si>
    <t>2727903</t>
  </si>
  <si>
    <t>2727902</t>
  </si>
  <si>
    <t>2727901</t>
  </si>
  <si>
    <t>Rent Start</t>
  </si>
  <si>
    <t>DY Cost Recovery</t>
  </si>
  <si>
    <t>Threshold/Cure</t>
  </si>
  <si>
    <t>NOI adjusted per the Loan Agreement.</t>
  </si>
  <si>
    <t>Greater of actual or 3% of GPR</t>
  </si>
  <si>
    <t>WALT</t>
  </si>
  <si>
    <t>Actual amounts from 01/25 to 09/25, Budget amounts from  10/25 to 12/25</t>
  </si>
  <si>
    <t>REVENUES</t>
  </si>
  <si>
    <t>4005-00</t>
  </si>
  <si>
    <t>4007-00</t>
  </si>
  <si>
    <t>4025-00</t>
  </si>
  <si>
    <t>4025-53</t>
  </si>
  <si>
    <t>4105-02</t>
  </si>
  <si>
    <t>4105-03</t>
  </si>
  <si>
    <t>4105-07</t>
  </si>
  <si>
    <t>4105-10</t>
  </si>
  <si>
    <t>RECOVERY YEAR END EST</t>
  </si>
  <si>
    <t>4115-00</t>
  </si>
  <si>
    <t>EFFECTIVE RENTAL REVENUE</t>
  </si>
  <si>
    <t>EFFECTIVE GROSS REVENUE</t>
  </si>
  <si>
    <t>EXPENSES</t>
  </si>
  <si>
    <t>5005-01</t>
  </si>
  <si>
    <t>5007-00</t>
  </si>
  <si>
    <t>5010-04</t>
  </si>
  <si>
    <t>5010-13</t>
  </si>
  <si>
    <t>LICENSES &amp; PERMITS</t>
  </si>
  <si>
    <t>5010-15</t>
  </si>
  <si>
    <t>5010-16</t>
  </si>
  <si>
    <t>5010-22</t>
  </si>
  <si>
    <t>5010-34</t>
  </si>
  <si>
    <t>5015-00</t>
  </si>
  <si>
    <t>5015-01</t>
  </si>
  <si>
    <t>5015-04</t>
  </si>
  <si>
    <t>5020-01</t>
  </si>
  <si>
    <t>5020-05</t>
  </si>
  <si>
    <t>5020-13</t>
  </si>
  <si>
    <t>5020-30</t>
  </si>
  <si>
    <t>5025-10</t>
  </si>
  <si>
    <t>5025-11</t>
  </si>
  <si>
    <t>5025-12</t>
  </si>
  <si>
    <t>5025-15</t>
  </si>
  <si>
    <t>5025-19</t>
  </si>
  <si>
    <t>5025-26</t>
  </si>
  <si>
    <t>5025-29</t>
  </si>
  <si>
    <t>R&amp;M PARKING LOT CLEANING</t>
  </si>
  <si>
    <t>5025-33</t>
  </si>
  <si>
    <t>5025-37</t>
  </si>
  <si>
    <t>5025-62</t>
  </si>
  <si>
    <t>5025-82</t>
  </si>
  <si>
    <t>5030-00</t>
  </si>
  <si>
    <t>OPERATING EXPENSES - NON RECOVER</t>
  </si>
  <si>
    <t>6015-00</t>
  </si>
  <si>
    <t>6015-01</t>
  </si>
  <si>
    <t>6020-02</t>
  </si>
  <si>
    <t>6045-01</t>
  </si>
  <si>
    <t>8010-00</t>
  </si>
  <si>
    <t>8030-01</t>
  </si>
  <si>
    <t>TOTAL OPER EXP N/R</t>
  </si>
  <si>
    <t>CODE for 3Q T12</t>
  </si>
  <si>
    <t>Page:</t>
  </si>
  <si>
    <t>1</t>
  </si>
  <si>
    <t>Date:</t>
  </si>
  <si>
    <t>Time:</t>
  </si>
  <si>
    <t>BANK FEES</t>
  </si>
  <si>
    <t>4Q 2025</t>
  </si>
  <si>
    <t>X or Blank</t>
  </si>
  <si>
    <t>(prcdng yr to base)</t>
  </si>
  <si>
    <t>(prcdng yr to 2nd prcdng)</t>
  </si>
  <si>
    <t>YYYY-U/W</t>
  </si>
  <si>
    <t>Variance</t>
  </si>
  <si>
    <t xml:space="preserve"> *DSCR: (NOI/Debt Service) - A Note</t>
  </si>
  <si>
    <t xml:space="preserve"> *DSCR: (NCF/Debt Service) - A Note</t>
  </si>
  <si>
    <t>Items.  Quarterly variance comments may be necessary if the loan is on the Watch List.</t>
  </si>
  <si>
    <t>Income: Comments</t>
  </si>
  <si>
    <t>Expense: Comments</t>
  </si>
  <si>
    <t>Capital Items: Comments</t>
  </si>
  <si>
    <t>DSCR: Comments</t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</si>
  <si>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</si>
  <si>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</si>
  <si>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t xml:space="preserve">      Base Rent (3)</t>
  </si>
  <si>
    <t xml:space="preserve">Notes and  Assumptions: Years above will roll, always showing a 3yr sequential history.  Comments from the most recent NOI Adjustment Worksheet should be carried forward to Operating Statement </t>
  </si>
  <si>
    <t>Analysis Report.  Year-over-year variances (either higher or lower) must be explained and noted for the following: &gt;20% DSCR change, &gt;20% EGI/Total Operating Expenses or Total Capital</t>
  </si>
  <si>
    <t>Current</t>
  </si>
  <si>
    <t>Preceding</t>
  </si>
  <si>
    <t>2nd Preceding</t>
  </si>
  <si>
    <t>as of 9/30/25</t>
  </si>
  <si>
    <t>as of 12/31/25</t>
  </si>
  <si>
    <t xml:space="preserve"> Debt Yield</t>
  </si>
  <si>
    <t>Report Id:</t>
  </si>
  <si>
    <t>LPC_R12MINCS</t>
  </si>
  <si>
    <t>Seaboard 27279</t>
  </si>
  <si>
    <t>Ending Period March 2026</t>
  </si>
  <si>
    <t>07/25</t>
  </si>
  <si>
    <t>08/25</t>
  </si>
  <si>
    <t>09/25</t>
  </si>
  <si>
    <t>10/25</t>
  </si>
  <si>
    <t>11/25</t>
  </si>
  <si>
    <t>12/25</t>
  </si>
  <si>
    <t>01/26</t>
  </si>
  <si>
    <t>02/26</t>
  </si>
  <si>
    <t>03/26</t>
  </si>
  <si>
    <t>TOTAL INCOME</t>
  </si>
  <si>
    <t>5020-09</t>
  </si>
  <si>
    <t>ELECTRICITY VACANT</t>
  </si>
  <si>
    <t>BLDG SERVICE OFFICERS</t>
  </si>
  <si>
    <t>TOTAL BLDG SERVICE OFFICERS</t>
  </si>
  <si>
    <t>PAYROLL</t>
  </si>
  <si>
    <t>TOTAL PAYROLL</t>
  </si>
  <si>
    <t>OTHER OPERATING EXPENSES</t>
  </si>
  <si>
    <t>TOTAL OTHER OPERATING EXPENSES</t>
  </si>
  <si>
    <t>6012-04</t>
  </si>
  <si>
    <t>BANK CHARGES - NON</t>
  </si>
  <si>
    <t>NON-OPERATING EXPENSES</t>
  </si>
  <si>
    <t>8050-00</t>
  </si>
  <si>
    <t>8620-00</t>
  </si>
  <si>
    <t>8630-00</t>
  </si>
  <si>
    <t>TOTALNON OPERATING EXPENSES</t>
  </si>
  <si>
    <t>1708-00</t>
  </si>
  <si>
    <t>1714-00</t>
  </si>
  <si>
    <t>1720-00</t>
  </si>
  <si>
    <t>1725-00</t>
  </si>
  <si>
    <t>1730-06</t>
  </si>
  <si>
    <t>LEGAL</t>
  </si>
  <si>
    <t>1899-00</t>
  </si>
  <si>
    <t>EARNEST MONEY DEPOSIT</t>
  </si>
  <si>
    <t>NET OPERATING INCOME LESS CAPITAL</t>
  </si>
  <si>
    <t>Seaboard Indust-3455 NW 54 St (Building Id: 2727901)</t>
  </si>
  <si>
    <t>Bldg Status: Active only</t>
  </si>
  <si>
    <t>Report Date: 3/31/2026</t>
  </si>
  <si>
    <t>.</t>
  </si>
  <si>
    <t>Monthly Cost</t>
  </si>
  <si>
    <t>---------------- Future Rent Increases ----------------</t>
  </si>
  <si>
    <t>Bldg Id</t>
  </si>
  <si>
    <t>Suite Id</t>
  </si>
  <si>
    <t>Recovery</t>
  </si>
  <si>
    <t>Other Income</t>
  </si>
  <si>
    <t>Cat</t>
  </si>
  <si>
    <t>Monthly Amt</t>
  </si>
  <si>
    <t>PSF</t>
  </si>
  <si>
    <t>Zoox, Inc</t>
  </si>
  <si>
    <t>BRT</t>
  </si>
  <si>
    <t>Total Seaboard Owner-3455 NW 54 St:</t>
  </si>
  <si>
    <t>Total Seaboard Owner-5400 NW 32nd Ct:</t>
  </si>
  <si>
    <t>Total Seaboard Owner-5530 NW 32 Ct:</t>
  </si>
  <si>
    <t>3 Units</t>
  </si>
  <si>
    <t>Report Id MRIX_CMROLL</t>
  </si>
  <si>
    <t>Database MSDE_SE</t>
  </si>
  <si>
    <t>Reported by Desiree Gonzalez</t>
  </si>
  <si>
    <t>5/22/2026 11:57 AM</t>
  </si>
  <si>
    <t>Page</t>
  </si>
  <si>
    <t>3</t>
  </si>
  <si>
    <t>No 2026 Tax Data Available</t>
  </si>
  <si>
    <t>1Q 2026</t>
  </si>
  <si>
    <t>Annualized Amounts including step ups inside 90 days</t>
  </si>
  <si>
    <t>Excluding tenants with NTV inside 90 days</t>
  </si>
  <si>
    <t>QoQ Variance</t>
  </si>
  <si>
    <t>Value</t>
  </si>
  <si>
    <t>DY decreased 73 bps QoQ due to both the UPB increasing from $36.8MM to $42.8MM QoQ and the tenant Beacon Sales Acquisition's lease ending inside the next 90 days. The decrease in In-Place Rents from Beacon vacating (-$650.3K) was only partially offset by the new lease with Zoox (+$450.5K).</t>
  </si>
  <si>
    <t>Occupancy increased 28% QoQ due to the new tenant Zoox leasing 143.5K SF and Beacon vacating only 55.4K SF.</t>
  </si>
  <si>
    <t>DY Test Rent Monthly</t>
  </si>
  <si>
    <t>Total Insurance</t>
  </si>
  <si>
    <t>Occupancy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</si>
</sst>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\-00\-0000"/>
    <numFmt numFmtId="165" formatCode="_(&quot;$&quot;* #,##0_);_(&quot;$&quot;* \(#,##0\);_(&quot;$&quot;* &quot;-&quot;??_);_(@_)"/>
    <numFmt numFmtId="166" formatCode="mm/dd/yy_)"/>
    <numFmt numFmtId="167" formatCode="0.00\x"/>
    <numFmt numFmtId="168" formatCode="_(* &quot;$&quot;\ #,##0_);_(* &quot;$&quot;\ \(#,##0\);_(* &quot;&quot;&quot;$&quot;\ \ \-&quot;&quot;?_);_(@_)"/>
    <numFmt numFmtId="169" formatCode="_(* #,##0.0%;_(* \(#,##0.0\)%;_(* &quot;   -&quot;?_)"/>
    <numFmt numFmtId="170" formatCode="_(#,##0.00\x;_(\(#,##0.00\)\x;_(&quot;   -&quot;?_)"/>
    <numFmt numFmtId="171" formatCode="_(* #,##0%;_(* \(#,##0\)%;_(* &quot;   -&quot;?_)"/>
    <numFmt numFmtId="172" formatCode="_(* #,##0.00%;_(* \(#,##0.00\)%;_(* &quot;   -&quot;?_)"/>
    <numFmt numFmtId="173" formatCode="_(#,##0.000%;_(\(#,##0.000\)%;_(&quot;   -&quot;?_)"/>
    <numFmt numFmtId="174" formatCode="0.00\x;\ \(0.00\)\x"/>
    <numFmt numFmtId="175" formatCode="\-\&amp;\&amp;\&amp;\&amp;\&amp;"/>
    <numFmt numFmtId="176" formatCode="mmm\ yyyy"/>
    <numFmt numFmtId="177" formatCode="##0.00%"/>
    <numFmt numFmtId="178" formatCode="_(#,##0.0%_);\(#,##0.0%\);_(&quot;–&quot;_)_%;_(@_)_%"/>
    <numFmt numFmtId="179" formatCode="#,##0;\(#,##0\);&quot;–&quot;;@"/>
    <numFmt numFmtId="180" formatCode="#,##0.00;\(#,##0.00\);&quot;–&quot;;@"/>
    <numFmt numFmtId="181" formatCode="##0.0%;\(##0.0%\);&quot;-&quot;;@"/>
    <numFmt numFmtId="182" formatCode="#,##0.00;\(#,##0.00\)"/>
    <numFmt numFmtId="183" formatCode="&quot;as of &quot;mm/dd/yyyy"/>
    <numFmt numFmtId="184" formatCode="mm/dd/yyyy"/>
    <numFmt numFmtId="185" formatCode="mm/dd/yy"/>
    <numFmt numFmtId="186" formatCode="&quot;$&quot;\ #,##0_);\(&quot;$&quot;#,##0\)"/>
    <numFmt numFmtId="187" formatCode="&quot;$&quot;\ #,##0_);\(&quot;$&quot;#,##0\);&quot;-&quot;"/>
  </numFmts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 MT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color rgb="FF00B05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9"/>
      <color rgb="FF008000"/>
      <name val="Arial"/>
      <family val="2"/>
    </font>
    <font>
      <b/>
      <sz val="10"/>
      <color rgb="FF000000"/>
      <name val="Arial"/>
      <family val="2"/>
    </font>
    <font>
      <b/>
      <u val="singleAccounting"/>
      <sz val="9"/>
      <color theme="0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i/>
      <sz val="7"/>
      <color theme="1"/>
      <name val="Arial"/>
      <family val="2"/>
    </font>
    <font>
      <b/>
      <sz val="8"/>
      <color theme="1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10"/>
      <color rgb="FF008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8"/>
      <color rgb="FF0000FF"/>
      <name val="Arial"/>
      <family val="2"/>
    </font>
    <font>
      <sz val="8"/>
      <color rgb="FF000000"/>
      <name val="Arial"/>
      <family val="2"/>
    </font>
    <font>
      <b/>
      <u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b/>
      <sz val="10"/>
      <color rgb="FF0000FF"/>
      <name val="Arial"/>
      <family val="2"/>
    </font>
    <font>
      <i/>
      <sz val="9"/>
      <color rgb="FF0000FF"/>
      <name val="Arial"/>
      <family val="2"/>
    </font>
    <font>
      <sz val="10"/>
      <color rgb="FF0000FF"/>
      <name val="Times New Roman"/>
      <family val="1"/>
    </font>
    <font>
      <b/>
      <sz val="9"/>
      <color rgb="FF0000FF"/>
      <name val="Arial"/>
      <family val="2"/>
    </font>
    <font>
      <b/>
      <sz val="10"/>
      <color rgb="FF00B050"/>
      <name val="Arial"/>
      <family val="2"/>
    </font>
    <font>
      <sz val="7"/>
      <color rgb="FF000000"/>
      <name val="Arial"/>
      <family val="2"/>
    </font>
    <font>
      <b/>
      <sz val="11"/>
      <color rgb="FF000000"/>
      <name val="Calibri"/>
      <family val="2"/>
    </font>
    <font>
      <b/>
      <sz val="7"/>
      <color rgb="FF000000"/>
      <name val="Arial"/>
      <family val="2"/>
    </font>
    <font>
      <sz val="9"/>
      <color rgb="FF000000"/>
      <name val="Noto Sans Light"/>
      <family val="2"/>
    </font>
    <font>
      <b/>
      <sz val="14"/>
      <color rgb="FF000000"/>
      <name val="Noto Sans"/>
      <family val="2"/>
    </font>
    <font>
      <sz val="8"/>
      <color rgb="FF000000"/>
      <name val="Noto Sans"/>
      <family val="2"/>
    </font>
    <font>
      <b/>
      <sz val="8"/>
      <color rgb="FF000000"/>
      <name val="Noto Sans"/>
      <family val="2"/>
    </font>
    <font>
      <sz val="7"/>
      <color rgb="FF000000"/>
      <name val="Noto Sans"/>
      <family val="2"/>
    </font>
    <font>
      <sz val="8"/>
      <color rgb="FF000000"/>
      <name val="Noto Sans Light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3" fillId="0" borderId="0"/>
    <xf numFmtId="37" fontId="3" fillId="0" borderId="0"/>
    <xf numFmtId="0" fontId="28" fillId="0" borderId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48" fillId="0" borderId="0" applyBorder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29">
    <xf numFmtId="0" fontId="0" fillId="0" borderId="0" xfId="0"/>
    <xf numFmtId="37" fontId="4" fillId="0" borderId="0" xfId="3" applyFont="1" applyAlignment="1">
      <alignment horizontal="centerContinuous"/>
    </xf>
    <xf numFmtId="37" fontId="5" fillId="0" borderId="0" xfId="4" applyFont="1" applyAlignment="1">
      <alignment horizontal="centerContinuous"/>
    </xf>
    <xf numFmtId="37" fontId="7" fillId="0" borderId="2" xfId="4" applyFont="1" applyBorder="1" applyAlignment="1">
      <alignment horizontal="left"/>
    </xf>
    <xf numFmtId="37" fontId="7" fillId="0" borderId="3" xfId="4" applyFont="1" applyBorder="1" applyAlignment="1">
      <alignment horizontal="left"/>
    </xf>
    <xf numFmtId="37" fontId="8" fillId="0" borderId="3" xfId="4" applyFont="1" applyBorder="1"/>
    <xf numFmtId="37" fontId="8" fillId="0" borderId="3" xfId="4" applyFont="1" applyBorder="1" applyAlignment="1">
      <alignment horizontal="right"/>
    </xf>
    <xf numFmtId="37" fontId="8" fillId="0" borderId="4" xfId="4" applyFont="1" applyBorder="1"/>
    <xf numFmtId="37" fontId="8" fillId="0" borderId="0" xfId="4" applyFont="1"/>
    <xf numFmtId="37" fontId="9" fillId="0" borderId="5" xfId="4" applyFont="1" applyBorder="1" applyAlignment="1">
      <alignment horizontal="left"/>
    </xf>
    <xf numFmtId="37" fontId="9" fillId="0" borderId="0" xfId="4" applyFont="1" applyAlignment="1">
      <alignment horizontal="left"/>
    </xf>
    <xf numFmtId="37" fontId="8" fillId="0" borderId="6" xfId="4" applyFont="1" applyBorder="1" applyAlignment="1">
      <alignment horizontal="center" wrapText="1"/>
    </xf>
    <xf numFmtId="37" fontId="8" fillId="0" borderId="7" xfId="4" applyFont="1" applyBorder="1"/>
    <xf numFmtId="37" fontId="8" fillId="0" borderId="0" xfId="4" applyFont="1" applyAlignment="1">
      <alignment horizontal="center" wrapText="1"/>
    </xf>
    <xf numFmtId="37" fontId="8" fillId="0" borderId="0" xfId="4" quotePrefix="1" applyFont="1" applyAlignment="1">
      <alignment horizontal="center"/>
    </xf>
    <xf numFmtId="37" fontId="8" fillId="0" borderId="8" xfId="4" applyFont="1" applyBorder="1"/>
    <xf numFmtId="37" fontId="10" fillId="0" borderId="5" xfId="4" applyFont="1" applyBorder="1" applyAlignment="1">
      <alignment horizontal="left"/>
    </xf>
    <xf numFmtId="37" fontId="10" fillId="0" borderId="0" xfId="4" applyFont="1" applyAlignment="1">
      <alignment horizontal="left"/>
    </xf>
    <xf numFmtId="37" fontId="10" fillId="0" borderId="8" xfId="4" applyFont="1" applyBorder="1"/>
    <xf numFmtId="37" fontId="10" fillId="0" borderId="0" xfId="4" applyFont="1"/>
    <xf numFmtId="37" fontId="10" fillId="0" borderId="5" xfId="4" quotePrefix="1" applyFont="1" applyBorder="1" applyAlignment="1">
      <alignment horizontal="left"/>
    </xf>
    <xf numFmtId="37" fontId="10" fillId="0" borderId="0" xfId="4" quotePrefix="1" applyFont="1" applyAlignment="1">
      <alignment horizontal="left"/>
    </xf>
    <xf numFmtId="37" fontId="10" fillId="0" borderId="5" xfId="4" applyFont="1" applyBorder="1"/>
    <xf numFmtId="37" fontId="9" fillId="0" borderId="0" xfId="4" applyFont="1"/>
    <xf numFmtId="37" fontId="10" fillId="0" borderId="5" xfId="3" applyFont="1" applyBorder="1" applyAlignment="1">
      <alignment horizontal="left"/>
    </xf>
    <xf numFmtId="37" fontId="10" fillId="0" borderId="0" xfId="3" applyFont="1" applyAlignment="1">
      <alignment horizontal="left"/>
    </xf>
    <xf numFmtId="37" fontId="11" fillId="0" borderId="13" xfId="3" applyFont="1" applyBorder="1" applyProtection="1">
      <protection locked="0"/>
    </xf>
    <xf numFmtId="1" fontId="9" fillId="0" borderId="0" xfId="3" applyNumberFormat="1" applyFont="1" applyAlignment="1" applyProtection="1">
      <alignment horizontal="right"/>
      <protection locked="0"/>
    </xf>
    <xf numFmtId="37" fontId="9" fillId="0" borderId="0" xfId="3" applyFont="1" applyProtection="1">
      <protection locked="0"/>
    </xf>
    <xf numFmtId="37" fontId="10" fillId="0" borderId="0" xfId="3" applyFont="1"/>
    <xf numFmtId="37" fontId="9" fillId="0" borderId="0" xfId="4" applyFont="1" applyProtection="1">
      <protection locked="0"/>
    </xf>
    <xf numFmtId="37" fontId="11" fillId="0" borderId="0" xfId="3" applyFont="1" applyProtection="1">
      <protection locked="0"/>
    </xf>
    <xf numFmtId="37" fontId="10" fillId="0" borderId="5" xfId="3" applyFont="1" applyBorder="1"/>
    <xf numFmtId="1" fontId="9" fillId="0" borderId="14" xfId="4" applyNumberFormat="1" applyFont="1" applyBorder="1" applyAlignment="1">
      <alignment horizontal="center"/>
    </xf>
    <xf numFmtId="37" fontId="10" fillId="0" borderId="5" xfId="3" quotePrefix="1" applyFont="1" applyBorder="1" applyAlignment="1">
      <alignment horizontal="left"/>
    </xf>
    <xf numFmtId="37" fontId="10" fillId="0" borderId="0" xfId="3" quotePrefix="1" applyFont="1" applyAlignment="1">
      <alignment horizontal="left"/>
    </xf>
    <xf numFmtId="164" fontId="10" fillId="0" borderId="14" xfId="3" applyNumberFormat="1" applyFont="1" applyBorder="1" applyAlignment="1">
      <alignment horizontal="right"/>
    </xf>
    <xf numFmtId="7" fontId="9" fillId="0" borderId="0" xfId="4" applyNumberFormat="1" applyFont="1"/>
    <xf numFmtId="37" fontId="10" fillId="0" borderId="15" xfId="4" applyFont="1" applyBorder="1"/>
    <xf numFmtId="37" fontId="10" fillId="0" borderId="16" xfId="4" applyFont="1" applyBorder="1"/>
    <xf numFmtId="37" fontId="9" fillId="0" borderId="16" xfId="4" applyFont="1" applyBorder="1"/>
    <xf numFmtId="37" fontId="9" fillId="0" borderId="17" xfId="4" applyFont="1" applyBorder="1"/>
    <xf numFmtId="37" fontId="6" fillId="0" borderId="0" xfId="4" applyFont="1"/>
    <xf numFmtId="37" fontId="12" fillId="0" borderId="0" xfId="4" applyFont="1"/>
    <xf numFmtId="37" fontId="13" fillId="0" borderId="0" xfId="4" applyFont="1" applyAlignment="1">
      <alignment horizontal="center"/>
    </xf>
    <xf numFmtId="37" fontId="7" fillId="0" borderId="0" xfId="4" quotePrefix="1" applyFont="1" applyAlignment="1">
      <alignment horizontal="left"/>
    </xf>
    <xf numFmtId="37" fontId="12" fillId="0" borderId="0" xfId="4" quotePrefix="1" applyFont="1" applyAlignment="1">
      <alignment horizontal="right"/>
    </xf>
    <xf numFmtId="37" fontId="6" fillId="0" borderId="0" xfId="4" applyFont="1" applyAlignment="1">
      <alignment horizontal="left"/>
    </xf>
    <xf numFmtId="37" fontId="8" fillId="0" borderId="7" xfId="4" applyFont="1" applyBorder="1" applyAlignment="1">
      <alignment horizontal="left"/>
    </xf>
    <xf numFmtId="166" fontId="9" fillId="0" borderId="18" xfId="4" applyNumberFormat="1" applyFont="1" applyBorder="1" applyAlignment="1" applyProtection="1">
      <alignment horizontal="center"/>
      <protection locked="0"/>
    </xf>
    <xf numFmtId="37" fontId="6" fillId="0" borderId="0" xfId="3" applyFont="1"/>
    <xf numFmtId="37" fontId="6" fillId="0" borderId="0" xfId="4" quotePrefix="1" applyFont="1" applyAlignment="1">
      <alignment horizontal="left"/>
    </xf>
    <xf numFmtId="37" fontId="9" fillId="0" borderId="9" xfId="4" quotePrefix="1" applyFont="1" applyBorder="1" applyAlignment="1">
      <alignment horizontal="center"/>
    </xf>
    <xf numFmtId="37" fontId="14" fillId="0" borderId="0" xfId="4" applyFont="1" applyAlignment="1">
      <alignment horizontal="left"/>
    </xf>
    <xf numFmtId="37" fontId="11" fillId="0" borderId="0" xfId="4" applyFont="1" applyAlignment="1">
      <alignment horizontal="left"/>
    </xf>
    <xf numFmtId="37" fontId="15" fillId="0" borderId="0" xfId="4" applyFont="1" applyAlignment="1">
      <alignment horizontal="center"/>
    </xf>
    <xf numFmtId="10" fontId="6" fillId="0" borderId="10" xfId="4" applyNumberFormat="1" applyFont="1" applyBorder="1"/>
    <xf numFmtId="7" fontId="6" fillId="0" borderId="0" xfId="4" applyNumberFormat="1" applyFont="1"/>
    <xf numFmtId="10" fontId="6" fillId="0" borderId="0" xfId="4" applyNumberFormat="1" applyFont="1"/>
    <xf numFmtId="37" fontId="7" fillId="0" borderId="0" xfId="4" applyFont="1" applyAlignment="1">
      <alignment horizontal="left"/>
    </xf>
    <xf numFmtId="7" fontId="7" fillId="0" borderId="10" xfId="4" applyNumberFormat="1" applyFont="1" applyBorder="1"/>
    <xf numFmtId="37" fontId="16" fillId="0" borderId="0" xfId="4" applyFont="1"/>
    <xf numFmtId="37" fontId="7" fillId="0" borderId="0" xfId="4" applyFont="1"/>
    <xf numFmtId="37" fontId="6" fillId="0" borderId="0" xfId="3" applyFont="1" applyAlignment="1">
      <alignment horizontal="left"/>
    </xf>
    <xf numFmtId="7" fontId="6" fillId="2" borderId="10" xfId="4" applyNumberFormat="1" applyFont="1" applyFill="1" applyBorder="1" applyProtection="1">
      <protection locked="0"/>
    </xf>
    <xf numFmtId="37" fontId="7" fillId="0" borderId="0" xfId="3" applyFont="1" applyAlignment="1">
      <alignment horizontal="left"/>
    </xf>
    <xf numFmtId="7" fontId="7" fillId="0" borderId="1" xfId="4" applyNumberFormat="1" applyFont="1" applyBorder="1"/>
    <xf numFmtId="7" fontId="7" fillId="0" borderId="0" xfId="4" applyNumberFormat="1" applyFont="1"/>
    <xf numFmtId="2" fontId="6" fillId="0" borderId="0" xfId="4" applyNumberFormat="1" applyFont="1"/>
    <xf numFmtId="10" fontId="6" fillId="0" borderId="18" xfId="4" applyNumberFormat="1" applyFont="1" applyBorder="1"/>
    <xf numFmtId="2" fontId="7" fillId="0" borderId="0" xfId="4" applyNumberFormat="1" applyFont="1"/>
    <xf numFmtId="37" fontId="7" fillId="0" borderId="20" xfId="4" quotePrefix="1" applyFont="1" applyBorder="1" applyAlignment="1">
      <alignment horizontal="left"/>
    </xf>
    <xf numFmtId="37" fontId="11" fillId="0" borderId="20" xfId="4" quotePrefix="1" applyFont="1" applyBorder="1" applyAlignment="1">
      <alignment horizontal="left"/>
    </xf>
    <xf numFmtId="37" fontId="6" fillId="0" borderId="20" xfId="4" applyFont="1" applyBorder="1"/>
    <xf numFmtId="37" fontId="7" fillId="0" borderId="0" xfId="3" applyFont="1" applyProtection="1">
      <protection locked="0"/>
    </xf>
    <xf numFmtId="37" fontId="7" fillId="0" borderId="0" xfId="4" applyFont="1" applyProtection="1">
      <protection locked="0"/>
    </xf>
    <xf numFmtId="37" fontId="6" fillId="0" borderId="0" xfId="3" applyFont="1" applyAlignment="1" applyProtection="1">
      <alignment horizontal="left"/>
      <protection locked="0"/>
    </xf>
    <xf numFmtId="37" fontId="6" fillId="0" borderId="0" xfId="4" applyFont="1" applyProtection="1">
      <protection locked="0"/>
    </xf>
    <xf numFmtId="37" fontId="7" fillId="0" borderId="0" xfId="3" applyFont="1" applyAlignment="1" applyProtection="1">
      <alignment horizontal="left"/>
      <protection locked="0"/>
    </xf>
    <xf numFmtId="37" fontId="8" fillId="0" borderId="0" xfId="4" applyFont="1" applyAlignment="1" applyProtection="1">
      <alignment horizontal="left"/>
      <protection locked="0"/>
    </xf>
    <xf numFmtId="37" fontId="10" fillId="0" borderId="0" xfId="4" applyFont="1" applyProtection="1">
      <protection locked="0"/>
    </xf>
    <xf numFmtId="37" fontId="9" fillId="0" borderId="0" xfId="4" applyFont="1" applyAlignment="1">
      <alignment horizontal="right"/>
    </xf>
    <xf numFmtId="37" fontId="12" fillId="0" borderId="0" xfId="4" applyFont="1" applyAlignment="1">
      <alignment horizontal="right"/>
    </xf>
    <xf numFmtId="37" fontId="8" fillId="0" borderId="3" xfId="4" applyFont="1" applyBorder="1" applyAlignment="1">
      <alignment horizontal="center"/>
    </xf>
    <xf numFmtId="5" fontId="10" fillId="0" borderId="10" xfId="3" applyNumberFormat="1" applyFont="1" applyBorder="1" applyAlignment="1">
      <alignment horizontal="center"/>
    </xf>
    <xf numFmtId="164" fontId="10" fillId="0" borderId="10" xfId="3" applyNumberFormat="1" applyFont="1" applyBorder="1" applyAlignment="1">
      <alignment horizontal="right"/>
    </xf>
    <xf numFmtId="10" fontId="6" fillId="0" borderId="10" xfId="4" applyNumberFormat="1" applyFont="1" applyBorder="1" applyAlignment="1">
      <alignment horizontal="right"/>
    </xf>
    <xf numFmtId="0" fontId="0" fillId="0" borderId="7" xfId="0" applyBorder="1" applyAlignment="1">
      <alignment vertical="center"/>
    </xf>
    <xf numFmtId="44" fontId="24" fillId="3" borderId="21" xfId="0" applyNumberFormat="1" applyFont="1" applyFill="1" applyBorder="1" applyAlignment="1">
      <alignment horizontal="centerContinuous" vertical="center"/>
    </xf>
    <xf numFmtId="44" fontId="23" fillId="3" borderId="21" xfId="0" applyNumberFormat="1" applyFont="1" applyFill="1" applyBorder="1" applyAlignment="1">
      <alignment horizontal="centerContinuous" vertical="center"/>
    </xf>
    <xf numFmtId="44" fontId="24" fillId="3" borderId="22" xfId="0" applyNumberFormat="1" applyFont="1" applyFill="1" applyBorder="1" applyAlignment="1">
      <alignment horizontal="centerContinuous" vertical="center"/>
    </xf>
    <xf numFmtId="0" fontId="24" fillId="3" borderId="2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9" fontId="10" fillId="0" borderId="7" xfId="2" applyFont="1" applyBorder="1" applyAlignment="1">
      <alignment horizontal="right" vertical="center"/>
    </xf>
    <xf numFmtId="168" fontId="10" fillId="0" borderId="7" xfId="0" applyNumberFormat="1" applyFont="1" applyBorder="1" applyAlignment="1">
      <alignment horizontal="right" vertical="center"/>
    </xf>
    <xf numFmtId="169" fontId="10" fillId="0" borderId="7" xfId="0" applyNumberFormat="1" applyFont="1" applyBorder="1" applyAlignment="1">
      <alignment horizontal="right" vertical="center"/>
    </xf>
    <xf numFmtId="170" fontId="10" fillId="0" borderId="27" xfId="0" applyNumberFormat="1" applyFont="1" applyBorder="1" applyAlignment="1">
      <alignment horizontal="right" vertical="center"/>
    </xf>
    <xf numFmtId="171" fontId="10" fillId="0" borderId="7" xfId="0" applyNumberFormat="1" applyFont="1" applyBorder="1" applyAlignment="1">
      <alignment horizontal="right" vertical="center"/>
    </xf>
    <xf numFmtId="172" fontId="10" fillId="0" borderId="27" xfId="0" applyNumberFormat="1" applyFont="1" applyBorder="1" applyAlignment="1">
      <alignment horizontal="right" vertical="center"/>
    </xf>
    <xf numFmtId="1" fontId="9" fillId="0" borderId="9" xfId="4" applyNumberFormat="1" applyFont="1" applyBorder="1" applyAlignment="1">
      <alignment horizontal="center"/>
    </xf>
    <xf numFmtId="37" fontId="27" fillId="0" borderId="9" xfId="0" applyNumberFormat="1" applyFont="1" applyBorder="1" applyAlignment="1">
      <alignment horizontal="left" vertical="center"/>
    </xf>
    <xf numFmtId="0" fontId="28" fillId="0" borderId="0" xfId="5"/>
    <xf numFmtId="173" fontId="19" fillId="0" borderId="0" xfId="5" applyNumberFormat="1" applyFont="1"/>
    <xf numFmtId="42" fontId="29" fillId="0" borderId="0" xfId="6" applyFont="1" applyBorder="1" applyAlignment="1" applyProtection="1">
      <alignment horizontal="left"/>
    </xf>
    <xf numFmtId="0" fontId="6" fillId="0" borderId="0" xfId="5" applyFont="1"/>
    <xf numFmtId="0" fontId="30" fillId="4" borderId="1" xfId="5" applyFont="1" applyFill="1" applyBorder="1"/>
    <xf numFmtId="173" fontId="30" fillId="4" borderId="1" xfId="5" applyNumberFormat="1" applyFont="1" applyFill="1" applyBorder="1"/>
    <xf numFmtId="0" fontId="7" fillId="5" borderId="1" xfId="5" applyFont="1" applyFill="1" applyBorder="1"/>
    <xf numFmtId="0" fontId="7" fillId="0" borderId="0" xfId="5" applyFont="1"/>
    <xf numFmtId="6" fontId="7" fillId="0" borderId="0" xfId="5" applyNumberFormat="1" applyFont="1"/>
    <xf numFmtId="165" fontId="0" fillId="0" borderId="0" xfId="7" applyNumberFormat="1" applyFont="1"/>
    <xf numFmtId="0" fontId="31" fillId="0" borderId="0" xfId="0" applyFont="1"/>
    <xf numFmtId="0" fontId="32" fillId="0" borderId="0" xfId="0" applyFont="1"/>
    <xf numFmtId="49" fontId="31" fillId="0" borderId="0" xfId="0" applyNumberFormat="1" applyFont="1"/>
    <xf numFmtId="14" fontId="32" fillId="0" borderId="0" xfId="0" applyNumberFormat="1" applyFont="1"/>
    <xf numFmtId="0" fontId="33" fillId="0" borderId="0" xfId="0" applyFont="1"/>
    <xf numFmtId="0" fontId="34" fillId="0" borderId="0" xfId="0" applyFont="1"/>
    <xf numFmtId="14" fontId="31" fillId="0" borderId="0" xfId="0" applyNumberFormat="1" applyFont="1"/>
    <xf numFmtId="3" fontId="31" fillId="0" borderId="0" xfId="0" applyNumberFormat="1" applyFont="1"/>
    <xf numFmtId="4" fontId="31" fillId="0" borderId="0" xfId="0" applyNumberFormat="1" applyFont="1"/>
    <xf numFmtId="175" fontId="33" fillId="0" borderId="0" xfId="0" applyNumberFormat="1" applyFont="1"/>
    <xf numFmtId="10" fontId="31" fillId="0" borderId="0" xfId="0" applyNumberFormat="1" applyFont="1"/>
    <xf numFmtId="7" fontId="6" fillId="0" borderId="0" xfId="4" applyNumberFormat="1" applyFont="1" applyAlignment="1">
      <alignment horizontal="right"/>
    </xf>
    <xf numFmtId="7" fontId="7" fillId="0" borderId="1" xfId="4" applyNumberFormat="1" applyFont="1" applyBorder="1" applyProtection="1">
      <protection locked="0"/>
    </xf>
    <xf numFmtId="10" fontId="6" fillId="0" borderId="12" xfId="4" applyNumberFormat="1" applyFont="1" applyBorder="1"/>
    <xf numFmtId="10" fontId="6" fillId="0" borderId="19" xfId="4" applyNumberFormat="1" applyFont="1" applyBorder="1"/>
    <xf numFmtId="0" fontId="27" fillId="0" borderId="0" xfId="0" applyFont="1"/>
    <xf numFmtId="14" fontId="35" fillId="0" borderId="10" xfId="3" applyNumberFormat="1" applyFont="1" applyBorder="1" applyAlignment="1">
      <alignment horizontal="right"/>
    </xf>
    <xf numFmtId="9" fontId="22" fillId="0" borderId="10" xfId="2" applyFont="1" applyFill="1" applyBorder="1" applyProtection="1">
      <protection locked="0"/>
    </xf>
    <xf numFmtId="177" fontId="31" fillId="0" borderId="0" xfId="0" applyNumberFormat="1" applyFont="1"/>
    <xf numFmtId="0" fontId="6" fillId="0" borderId="0" xfId="0" applyFont="1"/>
    <xf numFmtId="6" fontId="0" fillId="0" borderId="0" xfId="0" applyNumberFormat="1"/>
    <xf numFmtId="0" fontId="7" fillId="5" borderId="1" xfId="0" applyFont="1" applyFill="1" applyBorder="1"/>
    <xf numFmtId="6" fontId="7" fillId="5" borderId="1" xfId="0" applyNumberFormat="1" applyFont="1" applyFill="1" applyBorder="1"/>
    <xf numFmtId="174" fontId="6" fillId="0" borderId="0" xfId="0" applyNumberFormat="1" applyFont="1"/>
    <xf numFmtId="174" fontId="7" fillId="5" borderId="1" xfId="0" applyNumberFormat="1" applyFont="1" applyFill="1" applyBorder="1"/>
    <xf numFmtId="14" fontId="0" fillId="0" borderId="0" xfId="0" applyNumberFormat="1"/>
    <xf numFmtId="44" fontId="39" fillId="0" borderId="0" xfId="1" applyFont="1"/>
    <xf numFmtId="0" fontId="40" fillId="0" borderId="0" xfId="8" applyFont="1"/>
    <xf numFmtId="0" fontId="36" fillId="0" borderId="0" xfId="0" applyFont="1"/>
    <xf numFmtId="44" fontId="20" fillId="0" borderId="0" xfId="0" applyNumberFormat="1" applyFont="1"/>
    <xf numFmtId="0" fontId="41" fillId="0" borderId="0" xfId="0" applyFont="1" applyAlignment="1">
      <alignment horizontal="center"/>
    </xf>
    <xf numFmtId="9" fontId="29" fillId="0" borderId="10" xfId="2" applyFont="1" applyBorder="1" applyAlignment="1">
      <alignment horizontal="center"/>
    </xf>
    <xf numFmtId="164" fontId="27" fillId="0" borderId="10" xfId="3" applyNumberFormat="1" applyFont="1" applyBorder="1" applyAlignment="1">
      <alignment horizontal="center"/>
    </xf>
    <xf numFmtId="37" fontId="29" fillId="0" borderId="0" xfId="4" applyFont="1"/>
    <xf numFmtId="179" fontId="31" fillId="0" borderId="0" xfId="0" applyNumberFormat="1" applyFont="1"/>
    <xf numFmtId="179" fontId="0" fillId="0" borderId="0" xfId="0" applyNumberFormat="1"/>
    <xf numFmtId="181" fontId="0" fillId="0" borderId="0" xfId="0" applyNumberFormat="1"/>
    <xf numFmtId="180" fontId="0" fillId="0" borderId="0" xfId="0" applyNumberFormat="1"/>
    <xf numFmtId="0" fontId="7" fillId="0" borderId="1" xfId="5" applyFont="1" applyBorder="1"/>
    <xf numFmtId="178" fontId="7" fillId="0" borderId="1" xfId="5" applyNumberFormat="1" applyFont="1" applyBorder="1"/>
    <xf numFmtId="179" fontId="44" fillId="0" borderId="0" xfId="0" applyNumberFormat="1" applyFont="1"/>
    <xf numFmtId="179" fontId="45" fillId="0" borderId="0" xfId="0" applyNumberFormat="1" applyFont="1"/>
    <xf numFmtId="0" fontId="46" fillId="0" borderId="0" xfId="0" applyFont="1"/>
    <xf numFmtId="0" fontId="46" fillId="0" borderId="0" xfId="0" applyFont="1" applyAlignment="1">
      <alignment horizontal="right"/>
    </xf>
    <xf numFmtId="0" fontId="47" fillId="0" borderId="0" xfId="0" applyFont="1"/>
    <xf numFmtId="14" fontId="46" fillId="0" borderId="0" xfId="0" applyNumberFormat="1" applyFont="1" applyAlignment="1">
      <alignment horizontal="right"/>
    </xf>
    <xf numFmtId="18" fontId="46" fillId="0" borderId="0" xfId="0" applyNumberFormat="1" applyFont="1" applyAlignment="1">
      <alignment horizontal="right"/>
    </xf>
    <xf numFmtId="0" fontId="46" fillId="0" borderId="7" xfId="0" applyFont="1" applyBorder="1"/>
    <xf numFmtId="49" fontId="46" fillId="0" borderId="7" xfId="0" applyNumberFormat="1" applyFont="1" applyBorder="1" applyAlignment="1">
      <alignment horizontal="right"/>
    </xf>
    <xf numFmtId="0" fontId="46" fillId="0" borderId="7" xfId="0" applyFont="1" applyBorder="1" applyAlignment="1">
      <alignment horizontal="right"/>
    </xf>
    <xf numFmtId="182" fontId="47" fillId="0" borderId="0" xfId="0" applyNumberFormat="1" applyFont="1"/>
    <xf numFmtId="182" fontId="47" fillId="0" borderId="28" xfId="0" applyNumberFormat="1" applyFont="1" applyBorder="1"/>
    <xf numFmtId="0" fontId="47" fillId="0" borderId="28" xfId="0" applyFont="1" applyBorder="1"/>
    <xf numFmtId="182" fontId="47" fillId="0" borderId="29" xfId="0" applyNumberFormat="1" applyFont="1" applyBorder="1"/>
    <xf numFmtId="182" fontId="47" fillId="0" borderId="30" xfId="0" applyNumberFormat="1" applyFont="1" applyBorder="1"/>
    <xf numFmtId="183" fontId="19" fillId="0" borderId="0" xfId="5" applyNumberFormat="1" applyFont="1"/>
    <xf numFmtId="172" fontId="10" fillId="0" borderId="7" xfId="0" applyNumberFormat="1" applyFont="1" applyBorder="1" applyAlignment="1">
      <alignment horizontal="right" vertical="center"/>
    </xf>
    <xf numFmtId="0" fontId="24" fillId="3" borderId="24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49" fillId="0" borderId="0" xfId="0" applyFont="1"/>
    <xf numFmtId="0" fontId="42" fillId="0" borderId="0" xfId="0" applyFont="1"/>
    <xf numFmtId="0" fontId="49" fillId="0" borderId="7" xfId="0" applyFont="1" applyBorder="1"/>
    <xf numFmtId="176" fontId="49" fillId="0" borderId="7" xfId="0" applyNumberFormat="1" applyFont="1" applyBorder="1"/>
    <xf numFmtId="4" fontId="42" fillId="0" borderId="0" xfId="0" applyNumberFormat="1" applyFont="1"/>
    <xf numFmtId="3" fontId="42" fillId="0" borderId="0" xfId="0" applyNumberFormat="1" applyFont="1"/>
    <xf numFmtId="3" fontId="42" fillId="0" borderId="28" xfId="0" applyNumberFormat="1" applyFont="1" applyBorder="1"/>
    <xf numFmtId="4" fontId="42" fillId="0" borderId="28" xfId="0" applyNumberFormat="1" applyFont="1" applyBorder="1"/>
    <xf numFmtId="3" fontId="42" fillId="0" borderId="29" xfId="0" applyNumberFormat="1" applyFont="1" applyBorder="1"/>
    <xf numFmtId="4" fontId="42" fillId="0" borderId="29" xfId="0" applyNumberFormat="1" applyFont="1" applyBorder="1"/>
    <xf numFmtId="3" fontId="42" fillId="0" borderId="30" xfId="0" applyNumberFormat="1" applyFont="1" applyBorder="1"/>
    <xf numFmtId="4" fontId="42" fillId="0" borderId="30" xfId="0" applyNumberFormat="1" applyFont="1" applyBorder="1"/>
    <xf numFmtId="0" fontId="2" fillId="0" borderId="0" xfId="10" applyFont="1"/>
    <xf numFmtId="0" fontId="6" fillId="0" borderId="0" xfId="10"/>
    <xf numFmtId="44" fontId="21" fillId="0" borderId="10" xfId="7" applyFont="1" applyFill="1" applyBorder="1" applyAlignment="1">
      <alignment horizontal="right"/>
    </xf>
    <xf numFmtId="10" fontId="21" fillId="0" borderId="10" xfId="11" applyNumberFormat="1" applyFont="1" applyBorder="1"/>
    <xf numFmtId="10" fontId="10" fillId="0" borderId="0" xfId="11" applyNumberFormat="1" applyFont="1" applyBorder="1"/>
    <xf numFmtId="37" fontId="9" fillId="0" borderId="11" xfId="4" applyFont="1" applyBorder="1" applyAlignment="1">
      <alignment horizontal="left"/>
    </xf>
    <xf numFmtId="37" fontId="9" fillId="0" borderId="1" xfId="4" applyFont="1" applyBorder="1" applyProtection="1">
      <protection locked="0"/>
    </xf>
    <xf numFmtId="37" fontId="10" fillId="0" borderId="1" xfId="4" applyFont="1" applyBorder="1"/>
    <xf numFmtId="37" fontId="10" fillId="0" borderId="12" xfId="4" applyFont="1" applyBorder="1"/>
    <xf numFmtId="38" fontId="10" fillId="0" borderId="11" xfId="12" applyNumberFormat="1" applyFont="1" applyFill="1" applyBorder="1" applyAlignment="1">
      <alignment horizontal="left"/>
    </xf>
    <xf numFmtId="37" fontId="9" fillId="0" borderId="12" xfId="4" applyFont="1" applyBorder="1"/>
    <xf numFmtId="37" fontId="9" fillId="0" borderId="1" xfId="4" applyFont="1" applyBorder="1"/>
    <xf numFmtId="37" fontId="10" fillId="0" borderId="11" xfId="3" applyFont="1" applyBorder="1" applyAlignment="1" applyProtection="1">
      <alignment horizontal="left"/>
      <protection locked="0"/>
    </xf>
    <xf numFmtId="37" fontId="9" fillId="0" borderId="10" xfId="4" applyFont="1" applyBorder="1"/>
    <xf numFmtId="37" fontId="21" fillId="0" borderId="10" xfId="4" applyFont="1" applyBorder="1" applyAlignment="1" applyProtection="1">
      <alignment horizontal="right"/>
      <protection locked="0"/>
    </xf>
    <xf numFmtId="37" fontId="9" fillId="0" borderId="12" xfId="3" applyFont="1" applyBorder="1" applyAlignment="1">
      <alignment horizontal="right"/>
    </xf>
    <xf numFmtId="165" fontId="10" fillId="0" borderId="10" xfId="7" applyNumberFormat="1" applyFont="1" applyFill="1" applyBorder="1" applyAlignment="1">
      <alignment horizontal="right"/>
    </xf>
    <xf numFmtId="10" fontId="10" fillId="0" borderId="14" xfId="11" applyNumberFormat="1" applyFont="1" applyBorder="1"/>
    <xf numFmtId="7" fontId="11" fillId="0" borderId="0" xfId="4" applyNumberFormat="1" applyFont="1"/>
    <xf numFmtId="7" fontId="10" fillId="0" borderId="0" xfId="4" applyNumberFormat="1" applyFont="1"/>
    <xf numFmtId="37" fontId="11" fillId="0" borderId="16" xfId="4" applyFont="1" applyBorder="1" applyAlignment="1">
      <alignment horizontal="left"/>
    </xf>
    <xf numFmtId="185" fontId="9" fillId="0" borderId="16" xfId="4" applyNumberFormat="1" applyFont="1" applyBorder="1"/>
    <xf numFmtId="37" fontId="52" fillId="0" borderId="0" xfId="4" applyFont="1" applyAlignment="1">
      <alignment horizontal="center"/>
    </xf>
    <xf numFmtId="37" fontId="7" fillId="0" borderId="10" xfId="4" applyFont="1" applyBorder="1" applyAlignment="1">
      <alignment horizontal="center"/>
    </xf>
    <xf numFmtId="37" fontId="8" fillId="0" borderId="31" xfId="4" applyFont="1" applyBorder="1" applyAlignment="1">
      <alignment horizontal="center"/>
    </xf>
    <xf numFmtId="1" fontId="12" fillId="0" borderId="9" xfId="4" applyNumberFormat="1" applyFont="1" applyBorder="1" applyAlignment="1">
      <alignment horizontal="center"/>
    </xf>
    <xf numFmtId="12" fontId="12" fillId="0" borderId="10" xfId="4" applyNumberFormat="1" applyFont="1" applyBorder="1" applyAlignment="1">
      <alignment horizontal="center"/>
    </xf>
    <xf numFmtId="1" fontId="7" fillId="0" borderId="18" xfId="4" applyNumberFormat="1" applyFont="1" applyBorder="1" applyAlignment="1">
      <alignment horizontal="center"/>
    </xf>
    <xf numFmtId="166" fontId="9" fillId="0" borderId="18" xfId="4" applyNumberFormat="1" applyFont="1" applyBorder="1" applyAlignment="1">
      <alignment horizontal="center"/>
    </xf>
    <xf numFmtId="0" fontId="53" fillId="0" borderId="19" xfId="10" applyFont="1" applyBorder="1"/>
    <xf numFmtId="37" fontId="9" fillId="0" borderId="9" xfId="4" applyFont="1" applyBorder="1" applyAlignment="1">
      <alignment horizontal="center"/>
    </xf>
    <xf numFmtId="37" fontId="7" fillId="0" borderId="10" xfId="4" quotePrefix="1" applyFont="1" applyBorder="1" applyAlignment="1">
      <alignment horizontal="center"/>
    </xf>
    <xf numFmtId="0" fontId="53" fillId="0" borderId="27" xfId="10" applyFont="1" applyBorder="1" applyAlignment="1">
      <alignment horizontal="center"/>
    </xf>
    <xf numFmtId="7" fontId="6" fillId="2" borderId="10" xfId="13" applyNumberFormat="1" applyFont="1" applyFill="1" applyBorder="1" applyProtection="1">
      <protection locked="0"/>
    </xf>
    <xf numFmtId="10" fontId="6" fillId="2" borderId="10" xfId="4" applyNumberFormat="1" applyFont="1" applyFill="1" applyBorder="1"/>
    <xf numFmtId="10" fontId="29" fillId="0" borderId="10" xfId="4" applyNumberFormat="1" applyFont="1" applyBorder="1"/>
    <xf numFmtId="10" fontId="6" fillId="0" borderId="13" xfId="4" applyNumberFormat="1" applyFont="1" applyBorder="1"/>
    <xf numFmtId="0" fontId="54" fillId="0" borderId="10" xfId="10" applyFont="1" applyBorder="1" applyAlignment="1">
      <alignment horizontal="right"/>
    </xf>
    <xf numFmtId="5" fontId="7" fillId="0" borderId="0" xfId="4" applyNumberFormat="1" applyFont="1"/>
    <xf numFmtId="42" fontId="7" fillId="0" borderId="0" xfId="6" applyFont="1" applyFill="1" applyBorder="1" applyProtection="1">
      <protection locked="0"/>
    </xf>
    <xf numFmtId="42" fontId="7" fillId="0" borderId="0" xfId="6" applyFont="1" applyBorder="1" applyProtection="1"/>
    <xf numFmtId="37" fontId="17" fillId="0" borderId="0" xfId="4" applyFont="1" applyProtection="1">
      <protection locked="0"/>
    </xf>
    <xf numFmtId="37" fontId="55" fillId="0" borderId="0" xfId="3" applyFont="1" applyProtection="1">
      <protection locked="0"/>
    </xf>
    <xf numFmtId="0" fontId="6" fillId="0" borderId="0" xfId="10" applyAlignment="1">
      <alignment horizontal="left"/>
    </xf>
    <xf numFmtId="184" fontId="9" fillId="0" borderId="9" xfId="4" applyNumberFormat="1" applyFont="1" applyBorder="1" applyAlignment="1">
      <alignment horizontal="center"/>
    </xf>
    <xf numFmtId="184" fontId="9" fillId="0" borderId="10" xfId="4" applyNumberFormat="1" applyFont="1" applyBorder="1" applyAlignment="1">
      <alignment horizontal="center"/>
    </xf>
    <xf numFmtId="184" fontId="10" fillId="0" borderId="10" xfId="3" applyNumberFormat="1" applyFont="1" applyBorder="1" applyAlignment="1">
      <alignment horizontal="right"/>
    </xf>
    <xf numFmtId="1" fontId="35" fillId="0" borderId="10" xfId="3" applyNumberFormat="1" applyFont="1" applyBorder="1" applyAlignment="1">
      <alignment horizontal="right"/>
    </xf>
    <xf numFmtId="44" fontId="35" fillId="0" borderId="10" xfId="7" applyFont="1" applyFill="1" applyBorder="1" applyAlignment="1">
      <alignment horizontal="right"/>
    </xf>
    <xf numFmtId="44" fontId="35" fillId="0" borderId="9" xfId="7" applyFont="1" applyFill="1" applyBorder="1" applyAlignment="1">
      <alignment horizontal="right"/>
    </xf>
    <xf numFmtId="10" fontId="35" fillId="0" borderId="10" xfId="11" applyNumberFormat="1" applyFont="1" applyBorder="1"/>
    <xf numFmtId="7" fontId="19" fillId="0" borderId="10" xfId="13" applyNumberFormat="1" applyFont="1" applyFill="1" applyBorder="1" applyProtection="1">
      <protection locked="0"/>
    </xf>
    <xf numFmtId="7" fontId="19" fillId="2" borderId="10" xfId="13" applyNumberFormat="1" applyFont="1" applyFill="1" applyBorder="1" applyProtection="1">
      <protection locked="0"/>
    </xf>
    <xf numFmtId="7" fontId="19" fillId="0" borderId="0" xfId="4" applyNumberFormat="1" applyFont="1"/>
    <xf numFmtId="37" fontId="57" fillId="0" borderId="0" xfId="4" applyFont="1" applyAlignment="1">
      <alignment horizontal="left"/>
    </xf>
    <xf numFmtId="37" fontId="58" fillId="0" borderId="0" xfId="4" applyFont="1"/>
    <xf numFmtId="5" fontId="50" fillId="0" borderId="0" xfId="4" quotePrefix="1" applyNumberFormat="1" applyFont="1" applyAlignment="1">
      <alignment horizontal="left"/>
    </xf>
    <xf numFmtId="9" fontId="56" fillId="0" borderId="10" xfId="4" applyNumberFormat="1" applyFont="1" applyBorder="1"/>
    <xf numFmtId="5" fontId="56" fillId="0" borderId="0" xfId="4" applyNumberFormat="1" applyFont="1"/>
    <xf numFmtId="42" fontId="56" fillId="0" borderId="0" xfId="6" applyFont="1" applyBorder="1" applyProtection="1"/>
    <xf numFmtId="7" fontId="19" fillId="2" borderId="10" xfId="4" applyNumberFormat="1" applyFont="1" applyFill="1" applyBorder="1" applyProtection="1">
      <protection locked="0"/>
    </xf>
    <xf numFmtId="7" fontId="57" fillId="0" borderId="1" xfId="3" applyNumberFormat="1" applyFont="1" applyBorder="1" applyAlignment="1" applyProtection="1">
      <alignment vertical="center"/>
      <protection locked="0"/>
    </xf>
    <xf numFmtId="167" fontId="16" fillId="0" borderId="10" xfId="4" applyNumberFormat="1" applyFont="1" applyBorder="1"/>
    <xf numFmtId="167" fontId="37" fillId="0" borderId="10" xfId="4" applyNumberFormat="1" applyFont="1" applyBorder="1"/>
    <xf numFmtId="167" fontId="7" fillId="0" borderId="10" xfId="4" applyNumberFormat="1" applyFont="1" applyBorder="1"/>
    <xf numFmtId="167" fontId="56" fillId="0" borderId="10" xfId="4" applyNumberFormat="1" applyFont="1" applyBorder="1"/>
    <xf numFmtId="7" fontId="19" fillId="0" borderId="10" xfId="4" applyNumberFormat="1" applyFont="1" applyBorder="1"/>
    <xf numFmtId="7" fontId="19" fillId="2" borderId="10" xfId="4" applyNumberFormat="1" applyFont="1" applyFill="1" applyBorder="1"/>
    <xf numFmtId="7" fontId="59" fillId="0" borderId="0" xfId="4" applyNumberFormat="1" applyFont="1"/>
    <xf numFmtId="7" fontId="50" fillId="0" borderId="0" xfId="4" applyNumberFormat="1" applyFont="1"/>
    <xf numFmtId="9" fontId="56" fillId="0" borderId="0" xfId="4" applyNumberFormat="1" applyFont="1"/>
    <xf numFmtId="7" fontId="56" fillId="0" borderId="1" xfId="4" applyNumberFormat="1" applyFont="1" applyBorder="1"/>
    <xf numFmtId="10" fontId="56" fillId="0" borderId="10" xfId="4" applyNumberFormat="1" applyFont="1" applyBorder="1"/>
    <xf numFmtId="5" fontId="59" fillId="0" borderId="0" xfId="4" applyNumberFormat="1" applyFont="1"/>
    <xf numFmtId="5" fontId="50" fillId="0" borderId="0" xfId="4" applyNumberFormat="1" applyFont="1"/>
    <xf numFmtId="37" fontId="56" fillId="0" borderId="0" xfId="4" applyFont="1"/>
    <xf numFmtId="7" fontId="56" fillId="0" borderId="1" xfId="4" applyNumberFormat="1" applyFont="1" applyBorder="1" applyProtection="1">
      <protection locked="0"/>
    </xf>
    <xf numFmtId="186" fontId="19" fillId="0" borderId="10" xfId="4" applyNumberFormat="1" applyFont="1" applyBorder="1"/>
    <xf numFmtId="186" fontId="56" fillId="0" borderId="10" xfId="4" applyNumberFormat="1" applyFont="1" applyBorder="1"/>
    <xf numFmtId="10" fontId="6" fillId="2" borderId="10" xfId="4" applyNumberFormat="1" applyFont="1" applyFill="1" applyBorder="1" applyAlignment="1">
      <alignment horizontal="right"/>
    </xf>
    <xf numFmtId="42" fontId="7" fillId="0" borderId="0" xfId="6" applyFont="1" applyFill="1" applyBorder="1" applyAlignment="1" applyProtection="1">
      <alignment horizontal="right"/>
      <protection locked="0"/>
    </xf>
    <xf numFmtId="42" fontId="7" fillId="0" borderId="0" xfId="6" applyFont="1" applyBorder="1" applyAlignment="1" applyProtection="1">
      <alignment horizontal="right"/>
    </xf>
    <xf numFmtId="7" fontId="6" fillId="2" borderId="10" xfId="4" applyNumberFormat="1" applyFont="1" applyFill="1" applyBorder="1" applyAlignment="1" applyProtection="1">
      <alignment horizontal="right"/>
      <protection locked="0"/>
    </xf>
    <xf numFmtId="10" fontId="6" fillId="0" borderId="1" xfId="4" applyNumberFormat="1" applyFont="1" applyBorder="1"/>
    <xf numFmtId="0" fontId="54" fillId="0" borderId="1" xfId="10" applyFont="1" applyBorder="1" applyAlignment="1">
      <alignment horizontal="right"/>
    </xf>
    <xf numFmtId="186" fontId="29" fillId="0" borderId="10" xfId="4" applyNumberFormat="1" applyFont="1" applyBorder="1"/>
    <xf numFmtId="7" fontId="29" fillId="2" borderId="10" xfId="3" quotePrefix="1" applyNumberFormat="1" applyFont="1" applyFill="1" applyBorder="1" applyAlignment="1">
      <alignment horizontal="right"/>
    </xf>
    <xf numFmtId="7" fontId="29" fillId="2" borderId="10" xfId="4" applyNumberFormat="1" applyFont="1" applyFill="1" applyBorder="1"/>
    <xf numFmtId="7" fontId="29" fillId="0" borderId="10" xfId="3" quotePrefix="1" applyNumberFormat="1" applyFont="1" applyBorder="1" applyAlignment="1">
      <alignment horizontal="right"/>
    </xf>
    <xf numFmtId="7" fontId="29" fillId="0" borderId="10" xfId="4" applyNumberFormat="1" applyFont="1" applyBorder="1"/>
    <xf numFmtId="7" fontId="29" fillId="0" borderId="0" xfId="3" quotePrefix="1" applyNumberFormat="1" applyFont="1" applyAlignment="1">
      <alignment horizontal="right"/>
    </xf>
    <xf numFmtId="7" fontId="29" fillId="0" borderId="0" xfId="4" applyNumberFormat="1" applyFont="1"/>
    <xf numFmtId="186" fontId="22" fillId="0" borderId="10" xfId="4" applyNumberFormat="1" applyFont="1" applyBorder="1"/>
    <xf numFmtId="5" fontId="36" fillId="0" borderId="0" xfId="3" applyNumberFormat="1" applyFont="1" applyProtection="1">
      <protection locked="0"/>
    </xf>
    <xf numFmtId="7" fontId="36" fillId="0" borderId="0" xfId="4" applyNumberFormat="1" applyFont="1"/>
    <xf numFmtId="5" fontId="43" fillId="0" borderId="0" xfId="3" applyNumberFormat="1" applyFont="1" applyProtection="1">
      <protection locked="0"/>
    </xf>
    <xf numFmtId="7" fontId="43" fillId="0" borderId="0" xfId="4" applyNumberFormat="1" applyFont="1"/>
    <xf numFmtId="37" fontId="29" fillId="0" borderId="0" xfId="3" applyFont="1" applyProtection="1">
      <protection locked="0"/>
    </xf>
    <xf numFmtId="9" fontId="22" fillId="0" borderId="10" xfId="3" quotePrefix="1" applyNumberFormat="1" applyFont="1" applyBorder="1" applyAlignment="1">
      <alignment horizontal="right"/>
    </xf>
    <xf numFmtId="9" fontId="22" fillId="0" borderId="0" xfId="4" applyNumberFormat="1" applyFont="1"/>
    <xf numFmtId="186" fontId="18" fillId="0" borderId="10" xfId="4" applyNumberFormat="1" applyFont="1" applyBorder="1"/>
    <xf numFmtId="186" fontId="60" fillId="0" borderId="10" xfId="4" applyNumberFormat="1" applyFont="1" applyBorder="1"/>
    <xf numFmtId="10" fontId="22" fillId="0" borderId="10" xfId="4" applyNumberFormat="1" applyFont="1" applyBorder="1"/>
    <xf numFmtId="0" fontId="61" fillId="0" borderId="0" xfId="0" applyFont="1"/>
    <xf numFmtId="0" fontId="51" fillId="0" borderId="0" xfId="0" applyFont="1"/>
    <xf numFmtId="14" fontId="61" fillId="0" borderId="0" xfId="0" applyNumberFormat="1" applyFont="1"/>
    <xf numFmtId="0" fontId="43" fillId="0" borderId="0" xfId="0" applyFont="1"/>
    <xf numFmtId="0" fontId="62" fillId="0" borderId="0" xfId="0" applyFont="1"/>
    <xf numFmtId="18" fontId="61" fillId="0" borderId="0" xfId="0" applyNumberFormat="1" applyFont="1"/>
    <xf numFmtId="49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182" fontId="61" fillId="0" borderId="0" xfId="0" applyNumberFormat="1" applyFont="1"/>
    <xf numFmtId="182" fontId="61" fillId="0" borderId="28" xfId="0" applyNumberFormat="1" applyFont="1" applyBorder="1"/>
    <xf numFmtId="0" fontId="0" fillId="0" borderId="28" xfId="0" applyBorder="1"/>
    <xf numFmtId="182" fontId="61" fillId="0" borderId="29" xfId="0" applyNumberFormat="1" applyFont="1" applyBorder="1"/>
    <xf numFmtId="167" fontId="22" fillId="0" borderId="10" xfId="4" applyNumberFormat="1" applyFont="1" applyBorder="1"/>
    <xf numFmtId="0" fontId="64" fillId="0" borderId="0" xfId="0" applyFont="1"/>
    <xf numFmtId="0" fontId="65" fillId="0" borderId="0" xfId="0" applyFont="1"/>
    <xf numFmtId="49" fontId="64" fillId="0" borderId="0" xfId="0" applyNumberFormat="1" applyFont="1"/>
    <xf numFmtId="0" fontId="66" fillId="0" borderId="0" xfId="0" applyFont="1"/>
    <xf numFmtId="0" fontId="67" fillId="0" borderId="0" xfId="0" applyFont="1"/>
    <xf numFmtId="49" fontId="68" fillId="0" borderId="0" xfId="0" applyNumberFormat="1" applyFont="1"/>
    <xf numFmtId="14" fontId="68" fillId="0" borderId="0" xfId="0" applyNumberFormat="1" applyFont="1"/>
    <xf numFmtId="3" fontId="68" fillId="0" borderId="0" xfId="0" applyNumberFormat="1" applyFont="1"/>
    <xf numFmtId="4" fontId="68" fillId="0" borderId="0" xfId="0" applyNumberFormat="1" applyFont="1"/>
    <xf numFmtId="0" fontId="68" fillId="0" borderId="0" xfId="0" applyFont="1"/>
    <xf numFmtId="10" fontId="68" fillId="0" borderId="0" xfId="0" applyNumberFormat="1" applyFont="1"/>
    <xf numFmtId="0" fontId="69" fillId="0" borderId="0" xfId="0" applyFont="1"/>
    <xf numFmtId="3" fontId="0" fillId="0" borderId="0" xfId="0" applyNumberFormat="1"/>
    <xf numFmtId="4" fontId="0" fillId="0" borderId="0" xfId="0" applyNumberFormat="1"/>
    <xf numFmtId="44" fontId="7" fillId="5" borderId="1" xfId="5" applyNumberFormat="1" applyFont="1" applyFill="1" applyBorder="1"/>
    <xf numFmtId="2" fontId="0" fillId="0" borderId="0" xfId="0" applyNumberFormat="1"/>
    <xf numFmtId="0" fontId="7" fillId="0" borderId="32" xfId="10" applyFont="1" applyBorder="1" applyAlignment="1">
      <alignment horizontal="centerContinuous"/>
    </xf>
    <xf numFmtId="0" fontId="7" fillId="0" borderId="33" xfId="10" applyFont="1" applyBorder="1" applyAlignment="1">
      <alignment horizontal="centerContinuous"/>
    </xf>
    <xf numFmtId="0" fontId="70" fillId="0" borderId="9" xfId="10" applyFont="1" applyBorder="1" applyAlignment="1">
      <alignment horizontal="center"/>
    </xf>
    <xf numFmtId="187" fontId="6" fillId="0" borderId="10" xfId="10" applyNumberFormat="1" applyBorder="1"/>
    <xf numFmtId="10" fontId="6" fillId="0" borderId="10" xfId="10" applyNumberFormat="1" applyBorder="1"/>
    <xf numFmtId="0" fontId="20" fillId="0" borderId="34" xfId="0" applyFont="1" applyBorder="1"/>
    <xf numFmtId="44" fontId="20" fillId="0" borderId="35" xfId="0" applyNumberFormat="1" applyFont="1" applyBorder="1"/>
    <xf numFmtId="10" fontId="0" fillId="0" borderId="0" xfId="0" applyNumberFormat="1"/>
    <xf numFmtId="37" fontId="4" fillId="0" borderId="0" xfId="3" applyFont="1" applyAlignment="1">
      <alignment horizontal="center"/>
    </xf>
    <xf numFmtId="0" fontId="5" fillId="0" borderId="0" xfId="10" applyFont="1"/>
    <xf numFmtId="37" fontId="8" fillId="0" borderId="3" xfId="4" applyFont="1" applyBorder="1" applyAlignment="1">
      <alignment horizontal="center"/>
    </xf>
  </cellXfs>
  <cellStyles count="14">
    <cellStyle name="Comma [0] 2" xfId="13" xr:uid="{FBBE16E0-6DEF-4EA6-A05C-4BB6DBFA3096}"/>
    <cellStyle name="Comma 2" xfId="12" xr:uid="{4BEAF9DE-C002-4D94-9989-9931024A8161}"/>
    <cellStyle name="Currency" xfId="1" builtinId="4"/>
    <cellStyle name="Currency [0] 2" xfId="6" xr:uid="{9FB35271-63ED-4839-978C-5EFB5B6E18DC}"/>
    <cellStyle name="Currency 2" xfId="7" xr:uid="{68DF1BA1-DB0B-4EA8-8DA1-9754F10FC7F0}"/>
    <cellStyle name="Hyperlink" xfId="8" builtinId="8"/>
    <cellStyle name="Normal" xfId="0" builtinId="0"/>
    <cellStyle name="Normal 2" xfId="5" xr:uid="{B6904691-103B-45F1-8228-B0C28371C1D3}"/>
    <cellStyle name="Normal 3" xfId="9" xr:uid="{9769CABA-757C-4C97-9E45-9E42623C72B0}"/>
    <cellStyle name="Normal 4" xfId="10" xr:uid="{C81B3F21-3E27-49E3-AE4B-47DC14E94186}"/>
    <cellStyle name="Normal_ADJUST" xfId="3" xr:uid="{1980CE7B-E064-4EB3-B3DD-C96B740AC1E4}"/>
    <cellStyle name="Normal_OPERAT" xfId="4" xr:uid="{3D3A7852-C632-4D69-BF81-07546DF485F0}"/>
    <cellStyle name="Percent" xfId="2" builtinId="5"/>
    <cellStyle name="Percent 3" xfId="11" xr:uid="{2F158291-2CA7-400F-98C7-5A0533BB959C}"/>
  </cellStyles>
  <dxfs count="27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0</xdr:rowOff>
    </xdr:from>
    <xdr:to>
      <xdr:col>11</xdr:col>
      <xdr:colOff>266701</xdr:colOff>
      <xdr:row>26</xdr:row>
      <xdr:rowOff>97382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7F305A-8E29-465E-3BD9-6E25CE0E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6" y="0"/>
          <a:ext cx="5524500" cy="5050382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0</xdr:row>
      <xdr:rowOff>0</xdr:rowOff>
    </xdr:from>
    <xdr:to>
      <xdr:col>20</xdr:col>
      <xdr:colOff>330857</xdr:colOff>
      <xdr:row>26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BDC00C8-E295-782D-37E0-16AE570EE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425" y="0"/>
          <a:ext cx="5550557" cy="50673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26</xdr:row>
      <xdr:rowOff>114299</xdr:rowOff>
    </xdr:from>
    <xdr:to>
      <xdr:col>11</xdr:col>
      <xdr:colOff>174036</xdr:colOff>
      <xdr:row>52</xdr:row>
      <xdr:rowOff>86692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8EBCD5-7FF2-E762-661C-20FED425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4601" y="5067299"/>
          <a:ext cx="5365160" cy="4925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161925</xdr:rowOff>
    </xdr:from>
    <xdr:to>
      <xdr:col>12</xdr:col>
      <xdr:colOff>48509</xdr:colOff>
      <xdr:row>42</xdr:row>
      <xdr:rowOff>10623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AF8C7-DE95-6907-999D-4BA03AC1A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61925"/>
          <a:ext cx="6335009" cy="7868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282546</xdr:colOff>
      <xdr:row>33</xdr:row>
      <xdr:rowOff>99592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224AA-9BF3-93AC-0F85-9A7A28E5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8146" cy="613463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11</xdr:col>
      <xdr:colOff>335890</xdr:colOff>
      <xdr:row>75</xdr:row>
      <xdr:rowOff>84065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DF643B3-F98C-1A19-F837-B255D2794F43}"/>
            </a:ext>
          </a:extLst>
        </xdr:cNvPr>
        <xdr:cNvGrpSpPr/>
      </xdr:nvGrpSpPr>
      <xdr:grpSpPr>
        <a:xfrm>
          <a:off x="0" y="6477000"/>
          <a:ext cx="7071426" cy="7894565"/>
          <a:chOff x="0" y="6477000"/>
          <a:chExt cx="7071426" cy="789456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0D802C5-B7EF-DB4B-4ACE-7E0BFC2D45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6477000"/>
            <a:ext cx="7071426" cy="492293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6B1BB74-164B-AD84-7D33-0665026289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11430000"/>
            <a:ext cx="6919013" cy="294156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76</xdr:row>
      <xdr:rowOff>11475</xdr:rowOff>
    </xdr:from>
    <xdr:to>
      <xdr:col>11</xdr:col>
      <xdr:colOff>276830</xdr:colOff>
      <xdr:row>121</xdr:row>
      <xdr:rowOff>23306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C089553-C3A9-6686-45BD-4236346A5378}"/>
            </a:ext>
          </a:extLst>
        </xdr:cNvPr>
        <xdr:cNvGrpSpPr/>
      </xdr:nvGrpSpPr>
      <xdr:grpSpPr>
        <a:xfrm>
          <a:off x="0" y="14489475"/>
          <a:ext cx="7012366" cy="8584331"/>
          <a:chOff x="0" y="14489475"/>
          <a:chExt cx="7012366" cy="858433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0DE9AEB-54AC-70F4-E33F-6DFC3748E6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4489475"/>
            <a:ext cx="7012366" cy="3153038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138A9ED-89B3-9455-D61B-81FC893D12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7716500"/>
            <a:ext cx="6896151" cy="5357306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0</xdr:colOff>
      <xdr:row>0</xdr:row>
      <xdr:rowOff>0</xdr:rowOff>
    </xdr:from>
    <xdr:to>
      <xdr:col>22</xdr:col>
      <xdr:colOff>175803</xdr:colOff>
      <xdr:row>1</xdr:row>
      <xdr:rowOff>129567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286DFD-EA1D-7F57-CCC2-5868B0D4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0"/>
          <a:ext cx="6271803" cy="31244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23</xdr:col>
      <xdr:colOff>229201</xdr:colOff>
      <xdr:row>4</xdr:row>
      <xdr:rowOff>152445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56C27F-2BB1-DCA8-5E86-419189FC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365760"/>
          <a:ext cx="6934801" cy="5182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23</xdr:col>
      <xdr:colOff>290166</xdr:colOff>
      <xdr:row>31</xdr:row>
      <xdr:rowOff>152825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95069B-F8FB-132B-0FBC-383328078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914400"/>
          <a:ext cx="6995766" cy="49077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23</xdr:col>
      <xdr:colOff>168236</xdr:colOff>
      <xdr:row>45</xdr:row>
      <xdr:rowOff>137378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1AE815-5B8F-DCCD-2435-FC31693C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5852160"/>
          <a:ext cx="6873836" cy="251481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23</xdr:col>
      <xdr:colOff>114891</xdr:colOff>
      <xdr:row>54</xdr:row>
      <xdr:rowOff>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AC55DD-0EA2-B5CC-9AEB-5AF7F4D3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8412480"/>
          <a:ext cx="6820491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23</xdr:col>
      <xdr:colOff>229201</xdr:colOff>
      <xdr:row>65</xdr:row>
      <xdr:rowOff>174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A2DF00-75AE-B605-4778-F0F8FBF35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9875520"/>
          <a:ext cx="6934801" cy="201185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23</xdr:col>
      <xdr:colOff>229201</xdr:colOff>
      <xdr:row>70</xdr:row>
      <xdr:rowOff>38183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C2C873-988B-8AE3-330A-833E411A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1887200"/>
          <a:ext cx="6934801" cy="952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214027503710/WOPIServiceId_TP_BOX_2/WOPIUserId_-/Mark%20IV%20820%201Q%202026%20DY%20Test%20v1%20-%20Copy.xlsx" TargetMode="External"/><Relationship Id="rId1" Type="http://schemas.openxmlformats.org/officeDocument/2006/relationships/externalLinkPath" Target="https://api.box.com/wopi/files/2214027503710/WOPIServiceId_TP_BOX_2/WOPIUserId_-/Mark%20IV%20820%201Q%202026%20DY%20Test%20v1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211563204896/WOPIServiceId_TP_BOX_2/WOPIUserId_-/1220%20Senlac%201Q%202026%20DY%20Test%20v2.xlsx" TargetMode="External"/><Relationship Id="rId1" Type="http://schemas.openxmlformats.org/officeDocument/2006/relationships/externalLinkPath" Target="https://api.box.com/wopi/files/2211563204896/WOPIServiceId_TP_BOX_2/WOPIUserId_-/1220%20Senlac%201Q%202026%20DY%20Test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New) Comm OSAR"/>
      <sheetName val="(Old) Comm OSAR"/>
      <sheetName val="QoQ"/>
      <sheetName val="DSCR Calc"/>
      <sheetName val="Operating Statement"/>
      <sheetName val="Rent Roll"/>
      <sheetName val="Aged Report"/>
      <sheetName val="WALT"/>
      <sheetName val="RE Tax"/>
      <sheetName val="Archive --&gt;"/>
      <sheetName val="Variance"/>
      <sheetName val="2025 Budget"/>
    </sheetNames>
    <sheetDataSet>
      <sheetData sheetId="0"/>
      <sheetData sheetId="1">
        <row r="6">
          <cell r="I6">
            <v>0</v>
          </cell>
        </row>
        <row r="7">
          <cell r="G7" t="str">
            <v>MM/DD/YY</v>
          </cell>
        </row>
        <row r="8">
          <cell r="G8" t="str">
            <v>MM/DD/YY</v>
          </cell>
        </row>
        <row r="12">
          <cell r="G12" t="str">
            <v>SF</v>
          </cell>
        </row>
        <row r="13">
          <cell r="G13" t="str">
            <v>YYYY</v>
          </cell>
        </row>
        <row r="14">
          <cell r="G14" t="str">
            <v>(annual/per SF)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New) Comm OSAR"/>
      <sheetName val="(Old) Comm OSAR"/>
      <sheetName val="QoQ"/>
      <sheetName val="DSCR Calc"/>
      <sheetName val="Operating Statement"/>
      <sheetName val="Rent Roll"/>
      <sheetName val="RE Tax &amp; Insurance"/>
      <sheetName val="WALT"/>
      <sheetName val="Variance"/>
      <sheetName val="2025 Budget"/>
    </sheetNames>
    <sheetDataSet>
      <sheetData sheetId="0" refreshError="1"/>
      <sheetData sheetId="1" refreshError="1">
        <row r="24">
          <cell r="H24">
            <v>45930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nty-taxes.net/fl-miamidade/fl-miamidade/property-ta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BC9F-7423-4772-B75F-3A0019402E5E}">
  <dimension ref="B1:O98"/>
  <sheetViews>
    <sheetView tabSelected="1" topLeftCell="C10" workbookViewId="0">
      <selection activeCell="I25" sqref="I25"/>
    </sheetView>
  </sheetViews>
  <sheetFormatPr defaultRowHeight="12.75" outlineLevelCol="1"/>
  <cols>
    <col min="1" max="1" width="0" style="187" hidden="1" customWidth="1"/>
    <col min="2" max="2" width="9.5703125" style="187" hidden="1" customWidth="1"/>
    <col min="3" max="3" width="48.140625" style="61" customWidth="1"/>
    <col min="4" max="4" width="3.5703125" style="61" customWidth="1"/>
    <col min="5" max="5" width="16.140625" style="61" customWidth="1"/>
    <col min="6" max="7" width="13.7109375" style="61" customWidth="1"/>
    <col min="8" max="8" width="15" style="61" customWidth="1"/>
    <col min="9" max="9" width="15.140625" style="61" customWidth="1"/>
    <col min="10" max="10" width="15.140625" style="61" customWidth="1" outlineLevel="1"/>
    <col min="11" max="11" width="21.28515625" style="61" customWidth="1" outlineLevel="1"/>
    <col min="12" max="12" width="67.85546875" style="187" customWidth="1"/>
    <col min="13" max="13" width="9.140625" style="187"/>
    <col min="14" max="14" width="9.7109375" style="187" bestFit="1" customWidth="1"/>
    <col min="15" max="256" width="9.140625" style="187"/>
    <col min="257" max="258" width="0" style="187" hidden="1" customWidth="1"/>
    <col min="259" max="259" width="48.140625" style="187" customWidth="1"/>
    <col min="260" max="260" width="3.5703125" style="187" customWidth="1"/>
    <col min="261" max="261" width="16.140625" style="187" customWidth="1"/>
    <col min="262" max="263" width="13.7109375" style="187" customWidth="1"/>
    <col min="264" max="264" width="15" style="187" customWidth="1"/>
    <col min="265" max="266" width="15.140625" style="187" customWidth="1"/>
    <col min="267" max="267" width="21.28515625" style="187" customWidth="1"/>
    <col min="268" max="512" width="9.140625" style="187"/>
    <col min="513" max="514" width="0" style="187" hidden="1" customWidth="1"/>
    <col min="515" max="515" width="48.140625" style="187" customWidth="1"/>
    <col min="516" max="516" width="3.5703125" style="187" customWidth="1"/>
    <col min="517" max="517" width="16.140625" style="187" customWidth="1"/>
    <col min="518" max="519" width="13.7109375" style="187" customWidth="1"/>
    <col min="520" max="520" width="15" style="187" customWidth="1"/>
    <col min="521" max="522" width="15.140625" style="187" customWidth="1"/>
    <col min="523" max="523" width="21.28515625" style="187" customWidth="1"/>
    <col min="524" max="768" width="9.140625" style="187"/>
    <col min="769" max="770" width="0" style="187" hidden="1" customWidth="1"/>
    <col min="771" max="771" width="48.140625" style="187" customWidth="1"/>
    <col min="772" max="772" width="3.5703125" style="187" customWidth="1"/>
    <col min="773" max="773" width="16.140625" style="187" customWidth="1"/>
    <col min="774" max="775" width="13.7109375" style="187" customWidth="1"/>
    <col min="776" max="776" width="15" style="187" customWidth="1"/>
    <col min="777" max="778" width="15.140625" style="187" customWidth="1"/>
    <col min="779" max="779" width="21.28515625" style="187" customWidth="1"/>
    <col min="780" max="1024" width="9.140625" style="187"/>
    <col min="1025" max="1026" width="0" style="187" hidden="1" customWidth="1"/>
    <col min="1027" max="1027" width="48.140625" style="187" customWidth="1"/>
    <col min="1028" max="1028" width="3.5703125" style="187" customWidth="1"/>
    <col min="1029" max="1029" width="16.140625" style="187" customWidth="1"/>
    <col min="1030" max="1031" width="13.7109375" style="187" customWidth="1"/>
    <col min="1032" max="1032" width="15" style="187" customWidth="1"/>
    <col min="1033" max="1034" width="15.140625" style="187" customWidth="1"/>
    <col min="1035" max="1035" width="21.28515625" style="187" customWidth="1"/>
    <col min="1036" max="1280" width="9.140625" style="187"/>
    <col min="1281" max="1282" width="0" style="187" hidden="1" customWidth="1"/>
    <col min="1283" max="1283" width="48.140625" style="187" customWidth="1"/>
    <col min="1284" max="1284" width="3.5703125" style="187" customWidth="1"/>
    <col min="1285" max="1285" width="16.140625" style="187" customWidth="1"/>
    <col min="1286" max="1287" width="13.7109375" style="187" customWidth="1"/>
    <col min="1288" max="1288" width="15" style="187" customWidth="1"/>
    <col min="1289" max="1290" width="15.140625" style="187" customWidth="1"/>
    <col min="1291" max="1291" width="21.28515625" style="187" customWidth="1"/>
    <col min="1292" max="1536" width="9.140625" style="187"/>
    <col min="1537" max="1538" width="0" style="187" hidden="1" customWidth="1"/>
    <col min="1539" max="1539" width="48.140625" style="187" customWidth="1"/>
    <col min="1540" max="1540" width="3.5703125" style="187" customWidth="1"/>
    <col min="1541" max="1541" width="16.140625" style="187" customWidth="1"/>
    <col min="1542" max="1543" width="13.7109375" style="187" customWidth="1"/>
    <col min="1544" max="1544" width="15" style="187" customWidth="1"/>
    <col min="1545" max="1546" width="15.140625" style="187" customWidth="1"/>
    <col min="1547" max="1547" width="21.28515625" style="187" customWidth="1"/>
    <col min="1548" max="1792" width="9.140625" style="187"/>
    <col min="1793" max="1794" width="0" style="187" hidden="1" customWidth="1"/>
    <col min="1795" max="1795" width="48.140625" style="187" customWidth="1"/>
    <col min="1796" max="1796" width="3.5703125" style="187" customWidth="1"/>
    <col min="1797" max="1797" width="16.140625" style="187" customWidth="1"/>
    <col min="1798" max="1799" width="13.7109375" style="187" customWidth="1"/>
    <col min="1800" max="1800" width="15" style="187" customWidth="1"/>
    <col min="1801" max="1802" width="15.140625" style="187" customWidth="1"/>
    <col min="1803" max="1803" width="21.28515625" style="187" customWidth="1"/>
    <col min="1804" max="2048" width="9.140625" style="187"/>
    <col min="2049" max="2050" width="0" style="187" hidden="1" customWidth="1"/>
    <col min="2051" max="2051" width="48.140625" style="187" customWidth="1"/>
    <col min="2052" max="2052" width="3.5703125" style="187" customWidth="1"/>
    <col min="2053" max="2053" width="16.140625" style="187" customWidth="1"/>
    <col min="2054" max="2055" width="13.7109375" style="187" customWidth="1"/>
    <col min="2056" max="2056" width="15" style="187" customWidth="1"/>
    <col min="2057" max="2058" width="15.140625" style="187" customWidth="1"/>
    <col min="2059" max="2059" width="21.28515625" style="187" customWidth="1"/>
    <col min="2060" max="2304" width="9.140625" style="187"/>
    <col min="2305" max="2306" width="0" style="187" hidden="1" customWidth="1"/>
    <col min="2307" max="2307" width="48.140625" style="187" customWidth="1"/>
    <col min="2308" max="2308" width="3.5703125" style="187" customWidth="1"/>
    <col min="2309" max="2309" width="16.140625" style="187" customWidth="1"/>
    <col min="2310" max="2311" width="13.7109375" style="187" customWidth="1"/>
    <col min="2312" max="2312" width="15" style="187" customWidth="1"/>
    <col min="2313" max="2314" width="15.140625" style="187" customWidth="1"/>
    <col min="2315" max="2315" width="21.28515625" style="187" customWidth="1"/>
    <col min="2316" max="2560" width="9.140625" style="187"/>
    <col min="2561" max="2562" width="0" style="187" hidden="1" customWidth="1"/>
    <col min="2563" max="2563" width="48.140625" style="187" customWidth="1"/>
    <col min="2564" max="2564" width="3.5703125" style="187" customWidth="1"/>
    <col min="2565" max="2565" width="16.140625" style="187" customWidth="1"/>
    <col min="2566" max="2567" width="13.7109375" style="187" customWidth="1"/>
    <col min="2568" max="2568" width="15" style="187" customWidth="1"/>
    <col min="2569" max="2570" width="15.140625" style="187" customWidth="1"/>
    <col min="2571" max="2571" width="21.28515625" style="187" customWidth="1"/>
    <col min="2572" max="2816" width="9.140625" style="187"/>
    <col min="2817" max="2818" width="0" style="187" hidden="1" customWidth="1"/>
    <col min="2819" max="2819" width="48.140625" style="187" customWidth="1"/>
    <col min="2820" max="2820" width="3.5703125" style="187" customWidth="1"/>
    <col min="2821" max="2821" width="16.140625" style="187" customWidth="1"/>
    <col min="2822" max="2823" width="13.7109375" style="187" customWidth="1"/>
    <col min="2824" max="2824" width="15" style="187" customWidth="1"/>
    <col min="2825" max="2826" width="15.140625" style="187" customWidth="1"/>
    <col min="2827" max="2827" width="21.28515625" style="187" customWidth="1"/>
    <col min="2828" max="3072" width="9.140625" style="187"/>
    <col min="3073" max="3074" width="0" style="187" hidden="1" customWidth="1"/>
    <col min="3075" max="3075" width="48.140625" style="187" customWidth="1"/>
    <col min="3076" max="3076" width="3.5703125" style="187" customWidth="1"/>
    <col min="3077" max="3077" width="16.140625" style="187" customWidth="1"/>
    <col min="3078" max="3079" width="13.7109375" style="187" customWidth="1"/>
    <col min="3080" max="3080" width="15" style="187" customWidth="1"/>
    <col min="3081" max="3082" width="15.140625" style="187" customWidth="1"/>
    <col min="3083" max="3083" width="21.28515625" style="187" customWidth="1"/>
    <col min="3084" max="3328" width="9.140625" style="187"/>
    <col min="3329" max="3330" width="0" style="187" hidden="1" customWidth="1"/>
    <col min="3331" max="3331" width="48.140625" style="187" customWidth="1"/>
    <col min="3332" max="3332" width="3.5703125" style="187" customWidth="1"/>
    <col min="3333" max="3333" width="16.140625" style="187" customWidth="1"/>
    <col min="3334" max="3335" width="13.7109375" style="187" customWidth="1"/>
    <col min="3336" max="3336" width="15" style="187" customWidth="1"/>
    <col min="3337" max="3338" width="15.140625" style="187" customWidth="1"/>
    <col min="3339" max="3339" width="21.28515625" style="187" customWidth="1"/>
    <col min="3340" max="3584" width="9.140625" style="187"/>
    <col min="3585" max="3586" width="0" style="187" hidden="1" customWidth="1"/>
    <col min="3587" max="3587" width="48.140625" style="187" customWidth="1"/>
    <col min="3588" max="3588" width="3.5703125" style="187" customWidth="1"/>
    <col min="3589" max="3589" width="16.140625" style="187" customWidth="1"/>
    <col min="3590" max="3591" width="13.7109375" style="187" customWidth="1"/>
    <col min="3592" max="3592" width="15" style="187" customWidth="1"/>
    <col min="3593" max="3594" width="15.140625" style="187" customWidth="1"/>
    <col min="3595" max="3595" width="21.28515625" style="187" customWidth="1"/>
    <col min="3596" max="3840" width="9.140625" style="187"/>
    <col min="3841" max="3842" width="0" style="187" hidden="1" customWidth="1"/>
    <col min="3843" max="3843" width="48.140625" style="187" customWidth="1"/>
    <col min="3844" max="3844" width="3.5703125" style="187" customWidth="1"/>
    <col min="3845" max="3845" width="16.140625" style="187" customWidth="1"/>
    <col min="3846" max="3847" width="13.7109375" style="187" customWidth="1"/>
    <col min="3848" max="3848" width="15" style="187" customWidth="1"/>
    <col min="3849" max="3850" width="15.140625" style="187" customWidth="1"/>
    <col min="3851" max="3851" width="21.28515625" style="187" customWidth="1"/>
    <col min="3852" max="4096" width="9.140625" style="187"/>
    <col min="4097" max="4098" width="0" style="187" hidden="1" customWidth="1"/>
    <col min="4099" max="4099" width="48.140625" style="187" customWidth="1"/>
    <col min="4100" max="4100" width="3.5703125" style="187" customWidth="1"/>
    <col min="4101" max="4101" width="16.140625" style="187" customWidth="1"/>
    <col min="4102" max="4103" width="13.7109375" style="187" customWidth="1"/>
    <col min="4104" max="4104" width="15" style="187" customWidth="1"/>
    <col min="4105" max="4106" width="15.140625" style="187" customWidth="1"/>
    <col min="4107" max="4107" width="21.28515625" style="187" customWidth="1"/>
    <col min="4108" max="4352" width="9.140625" style="187"/>
    <col min="4353" max="4354" width="0" style="187" hidden="1" customWidth="1"/>
    <col min="4355" max="4355" width="48.140625" style="187" customWidth="1"/>
    <col min="4356" max="4356" width="3.5703125" style="187" customWidth="1"/>
    <col min="4357" max="4357" width="16.140625" style="187" customWidth="1"/>
    <col min="4358" max="4359" width="13.7109375" style="187" customWidth="1"/>
    <col min="4360" max="4360" width="15" style="187" customWidth="1"/>
    <col min="4361" max="4362" width="15.140625" style="187" customWidth="1"/>
    <col min="4363" max="4363" width="21.28515625" style="187" customWidth="1"/>
    <col min="4364" max="4608" width="9.140625" style="187"/>
    <col min="4609" max="4610" width="0" style="187" hidden="1" customWidth="1"/>
    <col min="4611" max="4611" width="48.140625" style="187" customWidth="1"/>
    <col min="4612" max="4612" width="3.5703125" style="187" customWidth="1"/>
    <col min="4613" max="4613" width="16.140625" style="187" customWidth="1"/>
    <col min="4614" max="4615" width="13.7109375" style="187" customWidth="1"/>
    <col min="4616" max="4616" width="15" style="187" customWidth="1"/>
    <col min="4617" max="4618" width="15.140625" style="187" customWidth="1"/>
    <col min="4619" max="4619" width="21.28515625" style="187" customWidth="1"/>
    <col min="4620" max="4864" width="9.140625" style="187"/>
    <col min="4865" max="4866" width="0" style="187" hidden="1" customWidth="1"/>
    <col min="4867" max="4867" width="48.140625" style="187" customWidth="1"/>
    <col min="4868" max="4868" width="3.5703125" style="187" customWidth="1"/>
    <col min="4869" max="4869" width="16.140625" style="187" customWidth="1"/>
    <col min="4870" max="4871" width="13.7109375" style="187" customWidth="1"/>
    <col min="4872" max="4872" width="15" style="187" customWidth="1"/>
    <col min="4873" max="4874" width="15.140625" style="187" customWidth="1"/>
    <col min="4875" max="4875" width="21.28515625" style="187" customWidth="1"/>
    <col min="4876" max="5120" width="9.140625" style="187"/>
    <col min="5121" max="5122" width="0" style="187" hidden="1" customWidth="1"/>
    <col min="5123" max="5123" width="48.140625" style="187" customWidth="1"/>
    <col min="5124" max="5124" width="3.5703125" style="187" customWidth="1"/>
    <col min="5125" max="5125" width="16.140625" style="187" customWidth="1"/>
    <col min="5126" max="5127" width="13.7109375" style="187" customWidth="1"/>
    <col min="5128" max="5128" width="15" style="187" customWidth="1"/>
    <col min="5129" max="5130" width="15.140625" style="187" customWidth="1"/>
    <col min="5131" max="5131" width="21.28515625" style="187" customWidth="1"/>
    <col min="5132" max="5376" width="9.140625" style="187"/>
    <col min="5377" max="5378" width="0" style="187" hidden="1" customWidth="1"/>
    <col min="5379" max="5379" width="48.140625" style="187" customWidth="1"/>
    <col min="5380" max="5380" width="3.5703125" style="187" customWidth="1"/>
    <col min="5381" max="5381" width="16.140625" style="187" customWidth="1"/>
    <col min="5382" max="5383" width="13.7109375" style="187" customWidth="1"/>
    <col min="5384" max="5384" width="15" style="187" customWidth="1"/>
    <col min="5385" max="5386" width="15.140625" style="187" customWidth="1"/>
    <col min="5387" max="5387" width="21.28515625" style="187" customWidth="1"/>
    <col min="5388" max="5632" width="9.140625" style="187"/>
    <col min="5633" max="5634" width="0" style="187" hidden="1" customWidth="1"/>
    <col min="5635" max="5635" width="48.140625" style="187" customWidth="1"/>
    <col min="5636" max="5636" width="3.5703125" style="187" customWidth="1"/>
    <col min="5637" max="5637" width="16.140625" style="187" customWidth="1"/>
    <col min="5638" max="5639" width="13.7109375" style="187" customWidth="1"/>
    <col min="5640" max="5640" width="15" style="187" customWidth="1"/>
    <col min="5641" max="5642" width="15.140625" style="187" customWidth="1"/>
    <col min="5643" max="5643" width="21.28515625" style="187" customWidth="1"/>
    <col min="5644" max="5888" width="9.140625" style="187"/>
    <col min="5889" max="5890" width="0" style="187" hidden="1" customWidth="1"/>
    <col min="5891" max="5891" width="48.140625" style="187" customWidth="1"/>
    <col min="5892" max="5892" width="3.5703125" style="187" customWidth="1"/>
    <col min="5893" max="5893" width="16.140625" style="187" customWidth="1"/>
    <col min="5894" max="5895" width="13.7109375" style="187" customWidth="1"/>
    <col min="5896" max="5896" width="15" style="187" customWidth="1"/>
    <col min="5897" max="5898" width="15.140625" style="187" customWidth="1"/>
    <col min="5899" max="5899" width="21.28515625" style="187" customWidth="1"/>
    <col min="5900" max="6144" width="9.140625" style="187"/>
    <col min="6145" max="6146" width="0" style="187" hidden="1" customWidth="1"/>
    <col min="6147" max="6147" width="48.140625" style="187" customWidth="1"/>
    <col min="6148" max="6148" width="3.5703125" style="187" customWidth="1"/>
    <col min="6149" max="6149" width="16.140625" style="187" customWidth="1"/>
    <col min="6150" max="6151" width="13.7109375" style="187" customWidth="1"/>
    <col min="6152" max="6152" width="15" style="187" customWidth="1"/>
    <col min="6153" max="6154" width="15.140625" style="187" customWidth="1"/>
    <col min="6155" max="6155" width="21.28515625" style="187" customWidth="1"/>
    <col min="6156" max="6400" width="9.140625" style="187"/>
    <col min="6401" max="6402" width="0" style="187" hidden="1" customWidth="1"/>
    <col min="6403" max="6403" width="48.140625" style="187" customWidth="1"/>
    <col min="6404" max="6404" width="3.5703125" style="187" customWidth="1"/>
    <col min="6405" max="6405" width="16.140625" style="187" customWidth="1"/>
    <col min="6406" max="6407" width="13.7109375" style="187" customWidth="1"/>
    <col min="6408" max="6408" width="15" style="187" customWidth="1"/>
    <col min="6409" max="6410" width="15.140625" style="187" customWidth="1"/>
    <col min="6411" max="6411" width="21.28515625" style="187" customWidth="1"/>
    <col min="6412" max="6656" width="9.140625" style="187"/>
    <col min="6657" max="6658" width="0" style="187" hidden="1" customWidth="1"/>
    <col min="6659" max="6659" width="48.140625" style="187" customWidth="1"/>
    <col min="6660" max="6660" width="3.5703125" style="187" customWidth="1"/>
    <col min="6661" max="6661" width="16.140625" style="187" customWidth="1"/>
    <col min="6662" max="6663" width="13.7109375" style="187" customWidth="1"/>
    <col min="6664" max="6664" width="15" style="187" customWidth="1"/>
    <col min="6665" max="6666" width="15.140625" style="187" customWidth="1"/>
    <col min="6667" max="6667" width="21.28515625" style="187" customWidth="1"/>
    <col min="6668" max="6912" width="9.140625" style="187"/>
    <col min="6913" max="6914" width="0" style="187" hidden="1" customWidth="1"/>
    <col min="6915" max="6915" width="48.140625" style="187" customWidth="1"/>
    <col min="6916" max="6916" width="3.5703125" style="187" customWidth="1"/>
    <col min="6917" max="6917" width="16.140625" style="187" customWidth="1"/>
    <col min="6918" max="6919" width="13.7109375" style="187" customWidth="1"/>
    <col min="6920" max="6920" width="15" style="187" customWidth="1"/>
    <col min="6921" max="6922" width="15.140625" style="187" customWidth="1"/>
    <col min="6923" max="6923" width="21.28515625" style="187" customWidth="1"/>
    <col min="6924" max="7168" width="9.140625" style="187"/>
    <col min="7169" max="7170" width="0" style="187" hidden="1" customWidth="1"/>
    <col min="7171" max="7171" width="48.140625" style="187" customWidth="1"/>
    <col min="7172" max="7172" width="3.5703125" style="187" customWidth="1"/>
    <col min="7173" max="7173" width="16.140625" style="187" customWidth="1"/>
    <col min="7174" max="7175" width="13.7109375" style="187" customWidth="1"/>
    <col min="7176" max="7176" width="15" style="187" customWidth="1"/>
    <col min="7177" max="7178" width="15.140625" style="187" customWidth="1"/>
    <col min="7179" max="7179" width="21.28515625" style="187" customWidth="1"/>
    <col min="7180" max="7424" width="9.140625" style="187"/>
    <col min="7425" max="7426" width="0" style="187" hidden="1" customWidth="1"/>
    <col min="7427" max="7427" width="48.140625" style="187" customWidth="1"/>
    <col min="7428" max="7428" width="3.5703125" style="187" customWidth="1"/>
    <col min="7429" max="7429" width="16.140625" style="187" customWidth="1"/>
    <col min="7430" max="7431" width="13.7109375" style="187" customWidth="1"/>
    <col min="7432" max="7432" width="15" style="187" customWidth="1"/>
    <col min="7433" max="7434" width="15.140625" style="187" customWidth="1"/>
    <col min="7435" max="7435" width="21.28515625" style="187" customWidth="1"/>
    <col min="7436" max="7680" width="9.140625" style="187"/>
    <col min="7681" max="7682" width="0" style="187" hidden="1" customWidth="1"/>
    <col min="7683" max="7683" width="48.140625" style="187" customWidth="1"/>
    <col min="7684" max="7684" width="3.5703125" style="187" customWidth="1"/>
    <col min="7685" max="7685" width="16.140625" style="187" customWidth="1"/>
    <col min="7686" max="7687" width="13.7109375" style="187" customWidth="1"/>
    <col min="7688" max="7688" width="15" style="187" customWidth="1"/>
    <col min="7689" max="7690" width="15.140625" style="187" customWidth="1"/>
    <col min="7691" max="7691" width="21.28515625" style="187" customWidth="1"/>
    <col min="7692" max="7936" width="9.140625" style="187"/>
    <col min="7937" max="7938" width="0" style="187" hidden="1" customWidth="1"/>
    <col min="7939" max="7939" width="48.140625" style="187" customWidth="1"/>
    <col min="7940" max="7940" width="3.5703125" style="187" customWidth="1"/>
    <col min="7941" max="7941" width="16.140625" style="187" customWidth="1"/>
    <col min="7942" max="7943" width="13.7109375" style="187" customWidth="1"/>
    <col min="7944" max="7944" width="15" style="187" customWidth="1"/>
    <col min="7945" max="7946" width="15.140625" style="187" customWidth="1"/>
    <col min="7947" max="7947" width="21.28515625" style="187" customWidth="1"/>
    <col min="7948" max="8192" width="9.140625" style="187"/>
    <col min="8193" max="8194" width="0" style="187" hidden="1" customWidth="1"/>
    <col min="8195" max="8195" width="48.140625" style="187" customWidth="1"/>
    <col min="8196" max="8196" width="3.5703125" style="187" customWidth="1"/>
    <col min="8197" max="8197" width="16.140625" style="187" customWidth="1"/>
    <col min="8198" max="8199" width="13.7109375" style="187" customWidth="1"/>
    <col min="8200" max="8200" width="15" style="187" customWidth="1"/>
    <col min="8201" max="8202" width="15.140625" style="187" customWidth="1"/>
    <col min="8203" max="8203" width="21.28515625" style="187" customWidth="1"/>
    <col min="8204" max="8448" width="9.140625" style="187"/>
    <col min="8449" max="8450" width="0" style="187" hidden="1" customWidth="1"/>
    <col min="8451" max="8451" width="48.140625" style="187" customWidth="1"/>
    <col min="8452" max="8452" width="3.5703125" style="187" customWidth="1"/>
    <col min="8453" max="8453" width="16.140625" style="187" customWidth="1"/>
    <col min="8454" max="8455" width="13.7109375" style="187" customWidth="1"/>
    <col min="8456" max="8456" width="15" style="187" customWidth="1"/>
    <col min="8457" max="8458" width="15.140625" style="187" customWidth="1"/>
    <col min="8459" max="8459" width="21.28515625" style="187" customWidth="1"/>
    <col min="8460" max="8704" width="9.140625" style="187"/>
    <col min="8705" max="8706" width="0" style="187" hidden="1" customWidth="1"/>
    <col min="8707" max="8707" width="48.140625" style="187" customWidth="1"/>
    <col min="8708" max="8708" width="3.5703125" style="187" customWidth="1"/>
    <col min="8709" max="8709" width="16.140625" style="187" customWidth="1"/>
    <col min="8710" max="8711" width="13.7109375" style="187" customWidth="1"/>
    <col min="8712" max="8712" width="15" style="187" customWidth="1"/>
    <col min="8713" max="8714" width="15.140625" style="187" customWidth="1"/>
    <col min="8715" max="8715" width="21.28515625" style="187" customWidth="1"/>
    <col min="8716" max="8960" width="9.140625" style="187"/>
    <col min="8961" max="8962" width="0" style="187" hidden="1" customWidth="1"/>
    <col min="8963" max="8963" width="48.140625" style="187" customWidth="1"/>
    <col min="8964" max="8964" width="3.5703125" style="187" customWidth="1"/>
    <col min="8965" max="8965" width="16.140625" style="187" customWidth="1"/>
    <col min="8966" max="8967" width="13.7109375" style="187" customWidth="1"/>
    <col min="8968" max="8968" width="15" style="187" customWidth="1"/>
    <col min="8969" max="8970" width="15.140625" style="187" customWidth="1"/>
    <col min="8971" max="8971" width="21.28515625" style="187" customWidth="1"/>
    <col min="8972" max="9216" width="9.140625" style="187"/>
    <col min="9217" max="9218" width="0" style="187" hidden="1" customWidth="1"/>
    <col min="9219" max="9219" width="48.140625" style="187" customWidth="1"/>
    <col min="9220" max="9220" width="3.5703125" style="187" customWidth="1"/>
    <col min="9221" max="9221" width="16.140625" style="187" customWidth="1"/>
    <col min="9222" max="9223" width="13.7109375" style="187" customWidth="1"/>
    <col min="9224" max="9224" width="15" style="187" customWidth="1"/>
    <col min="9225" max="9226" width="15.140625" style="187" customWidth="1"/>
    <col min="9227" max="9227" width="21.28515625" style="187" customWidth="1"/>
    <col min="9228" max="9472" width="9.140625" style="187"/>
    <col min="9473" max="9474" width="0" style="187" hidden="1" customWidth="1"/>
    <col min="9475" max="9475" width="48.140625" style="187" customWidth="1"/>
    <col min="9476" max="9476" width="3.5703125" style="187" customWidth="1"/>
    <col min="9477" max="9477" width="16.140625" style="187" customWidth="1"/>
    <col min="9478" max="9479" width="13.7109375" style="187" customWidth="1"/>
    <col min="9480" max="9480" width="15" style="187" customWidth="1"/>
    <col min="9481" max="9482" width="15.140625" style="187" customWidth="1"/>
    <col min="9483" max="9483" width="21.28515625" style="187" customWidth="1"/>
    <col min="9484" max="9728" width="9.140625" style="187"/>
    <col min="9729" max="9730" width="0" style="187" hidden="1" customWidth="1"/>
    <col min="9731" max="9731" width="48.140625" style="187" customWidth="1"/>
    <col min="9732" max="9732" width="3.5703125" style="187" customWidth="1"/>
    <col min="9733" max="9733" width="16.140625" style="187" customWidth="1"/>
    <col min="9734" max="9735" width="13.7109375" style="187" customWidth="1"/>
    <col min="9736" max="9736" width="15" style="187" customWidth="1"/>
    <col min="9737" max="9738" width="15.140625" style="187" customWidth="1"/>
    <col min="9739" max="9739" width="21.28515625" style="187" customWidth="1"/>
    <col min="9740" max="9984" width="9.140625" style="187"/>
    <col min="9985" max="9986" width="0" style="187" hidden="1" customWidth="1"/>
    <col min="9987" max="9987" width="48.140625" style="187" customWidth="1"/>
    <col min="9988" max="9988" width="3.5703125" style="187" customWidth="1"/>
    <col min="9989" max="9989" width="16.140625" style="187" customWidth="1"/>
    <col min="9990" max="9991" width="13.7109375" style="187" customWidth="1"/>
    <col min="9992" max="9992" width="15" style="187" customWidth="1"/>
    <col min="9993" max="9994" width="15.140625" style="187" customWidth="1"/>
    <col min="9995" max="9995" width="21.28515625" style="187" customWidth="1"/>
    <col min="9996" max="10240" width="9.140625" style="187"/>
    <col min="10241" max="10242" width="0" style="187" hidden="1" customWidth="1"/>
    <col min="10243" max="10243" width="48.140625" style="187" customWidth="1"/>
    <col min="10244" max="10244" width="3.5703125" style="187" customWidth="1"/>
    <col min="10245" max="10245" width="16.140625" style="187" customWidth="1"/>
    <col min="10246" max="10247" width="13.7109375" style="187" customWidth="1"/>
    <col min="10248" max="10248" width="15" style="187" customWidth="1"/>
    <col min="10249" max="10250" width="15.140625" style="187" customWidth="1"/>
    <col min="10251" max="10251" width="21.28515625" style="187" customWidth="1"/>
    <col min="10252" max="10496" width="9.140625" style="187"/>
    <col min="10497" max="10498" width="0" style="187" hidden="1" customWidth="1"/>
    <col min="10499" max="10499" width="48.140625" style="187" customWidth="1"/>
    <col min="10500" max="10500" width="3.5703125" style="187" customWidth="1"/>
    <col min="10501" max="10501" width="16.140625" style="187" customWidth="1"/>
    <col min="10502" max="10503" width="13.7109375" style="187" customWidth="1"/>
    <col min="10504" max="10504" width="15" style="187" customWidth="1"/>
    <col min="10505" max="10506" width="15.140625" style="187" customWidth="1"/>
    <col min="10507" max="10507" width="21.28515625" style="187" customWidth="1"/>
    <col min="10508" max="10752" width="9.140625" style="187"/>
    <col min="10753" max="10754" width="0" style="187" hidden="1" customWidth="1"/>
    <col min="10755" max="10755" width="48.140625" style="187" customWidth="1"/>
    <col min="10756" max="10756" width="3.5703125" style="187" customWidth="1"/>
    <col min="10757" max="10757" width="16.140625" style="187" customWidth="1"/>
    <col min="10758" max="10759" width="13.7109375" style="187" customWidth="1"/>
    <col min="10760" max="10760" width="15" style="187" customWidth="1"/>
    <col min="10761" max="10762" width="15.140625" style="187" customWidth="1"/>
    <col min="10763" max="10763" width="21.28515625" style="187" customWidth="1"/>
    <col min="10764" max="11008" width="9.140625" style="187"/>
    <col min="11009" max="11010" width="0" style="187" hidden="1" customWidth="1"/>
    <col min="11011" max="11011" width="48.140625" style="187" customWidth="1"/>
    <col min="11012" max="11012" width="3.5703125" style="187" customWidth="1"/>
    <col min="11013" max="11013" width="16.140625" style="187" customWidth="1"/>
    <col min="11014" max="11015" width="13.7109375" style="187" customWidth="1"/>
    <col min="11016" max="11016" width="15" style="187" customWidth="1"/>
    <col min="11017" max="11018" width="15.140625" style="187" customWidth="1"/>
    <col min="11019" max="11019" width="21.28515625" style="187" customWidth="1"/>
    <col min="11020" max="11264" width="9.140625" style="187"/>
    <col min="11265" max="11266" width="0" style="187" hidden="1" customWidth="1"/>
    <col min="11267" max="11267" width="48.140625" style="187" customWidth="1"/>
    <col min="11268" max="11268" width="3.5703125" style="187" customWidth="1"/>
    <col min="11269" max="11269" width="16.140625" style="187" customWidth="1"/>
    <col min="11270" max="11271" width="13.7109375" style="187" customWidth="1"/>
    <col min="11272" max="11272" width="15" style="187" customWidth="1"/>
    <col min="11273" max="11274" width="15.140625" style="187" customWidth="1"/>
    <col min="11275" max="11275" width="21.28515625" style="187" customWidth="1"/>
    <col min="11276" max="11520" width="9.140625" style="187"/>
    <col min="11521" max="11522" width="0" style="187" hidden="1" customWidth="1"/>
    <col min="11523" max="11523" width="48.140625" style="187" customWidth="1"/>
    <col min="11524" max="11524" width="3.5703125" style="187" customWidth="1"/>
    <col min="11525" max="11525" width="16.140625" style="187" customWidth="1"/>
    <col min="11526" max="11527" width="13.7109375" style="187" customWidth="1"/>
    <col min="11528" max="11528" width="15" style="187" customWidth="1"/>
    <col min="11529" max="11530" width="15.140625" style="187" customWidth="1"/>
    <col min="11531" max="11531" width="21.28515625" style="187" customWidth="1"/>
    <col min="11532" max="11776" width="9.140625" style="187"/>
    <col min="11777" max="11778" width="0" style="187" hidden="1" customWidth="1"/>
    <col min="11779" max="11779" width="48.140625" style="187" customWidth="1"/>
    <col min="11780" max="11780" width="3.5703125" style="187" customWidth="1"/>
    <col min="11781" max="11781" width="16.140625" style="187" customWidth="1"/>
    <col min="11782" max="11783" width="13.7109375" style="187" customWidth="1"/>
    <col min="11784" max="11784" width="15" style="187" customWidth="1"/>
    <col min="11785" max="11786" width="15.140625" style="187" customWidth="1"/>
    <col min="11787" max="11787" width="21.28515625" style="187" customWidth="1"/>
    <col min="11788" max="12032" width="9.140625" style="187"/>
    <col min="12033" max="12034" width="0" style="187" hidden="1" customWidth="1"/>
    <col min="12035" max="12035" width="48.140625" style="187" customWidth="1"/>
    <col min="12036" max="12036" width="3.5703125" style="187" customWidth="1"/>
    <col min="12037" max="12037" width="16.140625" style="187" customWidth="1"/>
    <col min="12038" max="12039" width="13.7109375" style="187" customWidth="1"/>
    <col min="12040" max="12040" width="15" style="187" customWidth="1"/>
    <col min="12041" max="12042" width="15.140625" style="187" customWidth="1"/>
    <col min="12043" max="12043" width="21.28515625" style="187" customWidth="1"/>
    <col min="12044" max="12288" width="9.140625" style="187"/>
    <col min="12289" max="12290" width="0" style="187" hidden="1" customWidth="1"/>
    <col min="12291" max="12291" width="48.140625" style="187" customWidth="1"/>
    <col min="12292" max="12292" width="3.5703125" style="187" customWidth="1"/>
    <col min="12293" max="12293" width="16.140625" style="187" customWidth="1"/>
    <col min="12294" max="12295" width="13.7109375" style="187" customWidth="1"/>
    <col min="12296" max="12296" width="15" style="187" customWidth="1"/>
    <col min="12297" max="12298" width="15.140625" style="187" customWidth="1"/>
    <col min="12299" max="12299" width="21.28515625" style="187" customWidth="1"/>
    <col min="12300" max="12544" width="9.140625" style="187"/>
    <col min="12545" max="12546" width="0" style="187" hidden="1" customWidth="1"/>
    <col min="12547" max="12547" width="48.140625" style="187" customWidth="1"/>
    <col min="12548" max="12548" width="3.5703125" style="187" customWidth="1"/>
    <col min="12549" max="12549" width="16.140625" style="187" customWidth="1"/>
    <col min="12550" max="12551" width="13.7109375" style="187" customWidth="1"/>
    <col min="12552" max="12552" width="15" style="187" customWidth="1"/>
    <col min="12553" max="12554" width="15.140625" style="187" customWidth="1"/>
    <col min="12555" max="12555" width="21.28515625" style="187" customWidth="1"/>
    <col min="12556" max="12800" width="9.140625" style="187"/>
    <col min="12801" max="12802" width="0" style="187" hidden="1" customWidth="1"/>
    <col min="12803" max="12803" width="48.140625" style="187" customWidth="1"/>
    <col min="12804" max="12804" width="3.5703125" style="187" customWidth="1"/>
    <col min="12805" max="12805" width="16.140625" style="187" customWidth="1"/>
    <col min="12806" max="12807" width="13.7109375" style="187" customWidth="1"/>
    <col min="12808" max="12808" width="15" style="187" customWidth="1"/>
    <col min="12809" max="12810" width="15.140625" style="187" customWidth="1"/>
    <col min="12811" max="12811" width="21.28515625" style="187" customWidth="1"/>
    <col min="12812" max="13056" width="9.140625" style="187"/>
    <col min="13057" max="13058" width="0" style="187" hidden="1" customWidth="1"/>
    <col min="13059" max="13059" width="48.140625" style="187" customWidth="1"/>
    <col min="13060" max="13060" width="3.5703125" style="187" customWidth="1"/>
    <col min="13061" max="13061" width="16.140625" style="187" customWidth="1"/>
    <col min="13062" max="13063" width="13.7109375" style="187" customWidth="1"/>
    <col min="13064" max="13064" width="15" style="187" customWidth="1"/>
    <col min="13065" max="13066" width="15.140625" style="187" customWidth="1"/>
    <col min="13067" max="13067" width="21.28515625" style="187" customWidth="1"/>
    <col min="13068" max="13312" width="9.140625" style="187"/>
    <col min="13313" max="13314" width="0" style="187" hidden="1" customWidth="1"/>
    <col min="13315" max="13315" width="48.140625" style="187" customWidth="1"/>
    <col min="13316" max="13316" width="3.5703125" style="187" customWidth="1"/>
    <col min="13317" max="13317" width="16.140625" style="187" customWidth="1"/>
    <col min="13318" max="13319" width="13.7109375" style="187" customWidth="1"/>
    <col min="13320" max="13320" width="15" style="187" customWidth="1"/>
    <col min="13321" max="13322" width="15.140625" style="187" customWidth="1"/>
    <col min="13323" max="13323" width="21.28515625" style="187" customWidth="1"/>
    <col min="13324" max="13568" width="9.140625" style="187"/>
    <col min="13569" max="13570" width="0" style="187" hidden="1" customWidth="1"/>
    <col min="13571" max="13571" width="48.140625" style="187" customWidth="1"/>
    <col min="13572" max="13572" width="3.5703125" style="187" customWidth="1"/>
    <col min="13573" max="13573" width="16.140625" style="187" customWidth="1"/>
    <col min="13574" max="13575" width="13.7109375" style="187" customWidth="1"/>
    <col min="13576" max="13576" width="15" style="187" customWidth="1"/>
    <col min="13577" max="13578" width="15.140625" style="187" customWidth="1"/>
    <col min="13579" max="13579" width="21.28515625" style="187" customWidth="1"/>
    <col min="13580" max="13824" width="9.140625" style="187"/>
    <col min="13825" max="13826" width="0" style="187" hidden="1" customWidth="1"/>
    <col min="13827" max="13827" width="48.140625" style="187" customWidth="1"/>
    <col min="13828" max="13828" width="3.5703125" style="187" customWidth="1"/>
    <col min="13829" max="13829" width="16.140625" style="187" customWidth="1"/>
    <col min="13830" max="13831" width="13.7109375" style="187" customWidth="1"/>
    <col min="13832" max="13832" width="15" style="187" customWidth="1"/>
    <col min="13833" max="13834" width="15.140625" style="187" customWidth="1"/>
    <col min="13835" max="13835" width="21.28515625" style="187" customWidth="1"/>
    <col min="13836" max="14080" width="9.140625" style="187"/>
    <col min="14081" max="14082" width="0" style="187" hidden="1" customWidth="1"/>
    <col min="14083" max="14083" width="48.140625" style="187" customWidth="1"/>
    <col min="14084" max="14084" width="3.5703125" style="187" customWidth="1"/>
    <col min="14085" max="14085" width="16.140625" style="187" customWidth="1"/>
    <col min="14086" max="14087" width="13.7109375" style="187" customWidth="1"/>
    <col min="14088" max="14088" width="15" style="187" customWidth="1"/>
    <col min="14089" max="14090" width="15.140625" style="187" customWidth="1"/>
    <col min="14091" max="14091" width="21.28515625" style="187" customWidth="1"/>
    <col min="14092" max="14336" width="9.140625" style="187"/>
    <col min="14337" max="14338" width="0" style="187" hidden="1" customWidth="1"/>
    <col min="14339" max="14339" width="48.140625" style="187" customWidth="1"/>
    <col min="14340" max="14340" width="3.5703125" style="187" customWidth="1"/>
    <col min="14341" max="14341" width="16.140625" style="187" customWidth="1"/>
    <col min="14342" max="14343" width="13.7109375" style="187" customWidth="1"/>
    <col min="14344" max="14344" width="15" style="187" customWidth="1"/>
    <col min="14345" max="14346" width="15.140625" style="187" customWidth="1"/>
    <col min="14347" max="14347" width="21.28515625" style="187" customWidth="1"/>
    <col min="14348" max="14592" width="9.140625" style="187"/>
    <col min="14593" max="14594" width="0" style="187" hidden="1" customWidth="1"/>
    <col min="14595" max="14595" width="48.140625" style="187" customWidth="1"/>
    <col min="14596" max="14596" width="3.5703125" style="187" customWidth="1"/>
    <col min="14597" max="14597" width="16.140625" style="187" customWidth="1"/>
    <col min="14598" max="14599" width="13.7109375" style="187" customWidth="1"/>
    <col min="14600" max="14600" width="15" style="187" customWidth="1"/>
    <col min="14601" max="14602" width="15.140625" style="187" customWidth="1"/>
    <col min="14603" max="14603" width="21.28515625" style="187" customWidth="1"/>
    <col min="14604" max="14848" width="9.140625" style="187"/>
    <col min="14849" max="14850" width="0" style="187" hidden="1" customWidth="1"/>
    <col min="14851" max="14851" width="48.140625" style="187" customWidth="1"/>
    <col min="14852" max="14852" width="3.5703125" style="187" customWidth="1"/>
    <col min="14853" max="14853" width="16.140625" style="187" customWidth="1"/>
    <col min="14854" max="14855" width="13.7109375" style="187" customWidth="1"/>
    <col min="14856" max="14856" width="15" style="187" customWidth="1"/>
    <col min="14857" max="14858" width="15.140625" style="187" customWidth="1"/>
    <col min="14859" max="14859" width="21.28515625" style="187" customWidth="1"/>
    <col min="14860" max="15104" width="9.140625" style="187"/>
    <col min="15105" max="15106" width="0" style="187" hidden="1" customWidth="1"/>
    <col min="15107" max="15107" width="48.140625" style="187" customWidth="1"/>
    <col min="15108" max="15108" width="3.5703125" style="187" customWidth="1"/>
    <col min="15109" max="15109" width="16.140625" style="187" customWidth="1"/>
    <col min="15110" max="15111" width="13.7109375" style="187" customWidth="1"/>
    <col min="15112" max="15112" width="15" style="187" customWidth="1"/>
    <col min="15113" max="15114" width="15.140625" style="187" customWidth="1"/>
    <col min="15115" max="15115" width="21.28515625" style="187" customWidth="1"/>
    <col min="15116" max="15360" width="9.140625" style="187"/>
    <col min="15361" max="15362" width="0" style="187" hidden="1" customWidth="1"/>
    <col min="15363" max="15363" width="48.140625" style="187" customWidth="1"/>
    <col min="15364" max="15364" width="3.5703125" style="187" customWidth="1"/>
    <col min="15365" max="15365" width="16.140625" style="187" customWidth="1"/>
    <col min="15366" max="15367" width="13.7109375" style="187" customWidth="1"/>
    <col min="15368" max="15368" width="15" style="187" customWidth="1"/>
    <col min="15369" max="15370" width="15.140625" style="187" customWidth="1"/>
    <col min="15371" max="15371" width="21.28515625" style="187" customWidth="1"/>
    <col min="15372" max="15616" width="9.140625" style="187"/>
    <col min="15617" max="15618" width="0" style="187" hidden="1" customWidth="1"/>
    <col min="15619" max="15619" width="48.140625" style="187" customWidth="1"/>
    <col min="15620" max="15620" width="3.5703125" style="187" customWidth="1"/>
    <col min="15621" max="15621" width="16.140625" style="187" customWidth="1"/>
    <col min="15622" max="15623" width="13.7109375" style="187" customWidth="1"/>
    <col min="15624" max="15624" width="15" style="187" customWidth="1"/>
    <col min="15625" max="15626" width="15.140625" style="187" customWidth="1"/>
    <col min="15627" max="15627" width="21.28515625" style="187" customWidth="1"/>
    <col min="15628" max="15872" width="9.140625" style="187"/>
    <col min="15873" max="15874" width="0" style="187" hidden="1" customWidth="1"/>
    <col min="15875" max="15875" width="48.140625" style="187" customWidth="1"/>
    <col min="15876" max="15876" width="3.5703125" style="187" customWidth="1"/>
    <col min="15877" max="15877" width="16.140625" style="187" customWidth="1"/>
    <col min="15878" max="15879" width="13.7109375" style="187" customWidth="1"/>
    <col min="15880" max="15880" width="15" style="187" customWidth="1"/>
    <col min="15881" max="15882" width="15.140625" style="187" customWidth="1"/>
    <col min="15883" max="15883" width="21.28515625" style="187" customWidth="1"/>
    <col min="15884" max="16128" width="9.140625" style="187"/>
    <col min="16129" max="16130" width="0" style="187" hidden="1" customWidth="1"/>
    <col min="16131" max="16131" width="48.140625" style="187" customWidth="1"/>
    <col min="16132" max="16132" width="3.5703125" style="187" customWidth="1"/>
    <col min="16133" max="16133" width="16.140625" style="187" customWidth="1"/>
    <col min="16134" max="16135" width="13.7109375" style="187" customWidth="1"/>
    <col min="16136" max="16136" width="15" style="187" customWidth="1"/>
    <col min="16137" max="16138" width="15.140625" style="187" customWidth="1"/>
    <col min="16139" max="16139" width="21.28515625" style="187" customWidth="1"/>
    <col min="16140" max="16384" width="9.140625" style="187"/>
  </cols>
  <sheetData>
    <row r="1" spans="3:15" s="186" customFormat="1" ht="18">
      <c r="C1" s="326" t="s">
        <v>0</v>
      </c>
      <c r="D1" s="327"/>
      <c r="E1" s="327"/>
      <c r="F1" s="327"/>
      <c r="G1" s="327"/>
      <c r="H1" s="327"/>
      <c r="I1" s="327"/>
      <c r="J1" s="327"/>
      <c r="K1" s="327"/>
    </row>
    <row r="2" spans="3:15" s="186" customFormat="1" ht="18">
      <c r="C2" s="1" t="s">
        <v>75</v>
      </c>
      <c r="D2" s="1"/>
      <c r="E2" s="2"/>
      <c r="F2" s="2"/>
      <c r="G2" s="2"/>
      <c r="H2" s="2"/>
      <c r="I2" s="2"/>
      <c r="J2" s="2"/>
      <c r="K2" s="2"/>
    </row>
    <row r="3" spans="3:15" s="186" customFormat="1" ht="18.75" thickBot="1">
      <c r="C3" s="1" t="str">
        <f>"as of " &amp;TEXT($I$15,"mm/dd/yyyy")</f>
        <v>as of 03/31/2026</v>
      </c>
      <c r="D3" s="1"/>
      <c r="E3" s="2"/>
      <c r="F3" s="2"/>
      <c r="G3" s="2"/>
      <c r="H3" s="2"/>
      <c r="I3" s="2"/>
      <c r="J3" s="2"/>
      <c r="K3" s="2"/>
    </row>
    <row r="4" spans="3:15" ht="18.75" customHeight="1" thickTop="1" thickBot="1">
      <c r="C4" s="3" t="s">
        <v>1</v>
      </c>
      <c r="D4" s="4"/>
      <c r="E4" s="5"/>
      <c r="F4" s="6"/>
      <c r="G4" s="5"/>
      <c r="H4" s="328" t="s">
        <v>2</v>
      </c>
      <c r="I4" s="328"/>
      <c r="J4" s="83"/>
      <c r="K4" s="7"/>
      <c r="L4" s="8"/>
      <c r="M4" s="8"/>
      <c r="N4" s="8"/>
      <c r="O4" s="8"/>
    </row>
    <row r="5" spans="3:15" ht="27" customHeight="1" thickBot="1">
      <c r="C5" s="9" t="s">
        <v>3</v>
      </c>
      <c r="D5" s="10"/>
      <c r="E5" s="11" t="s">
        <v>4</v>
      </c>
      <c r="F5" s="12" t="s">
        <v>5</v>
      </c>
      <c r="G5" s="13" t="s">
        <v>6</v>
      </c>
      <c r="H5" s="14" t="s">
        <v>7</v>
      </c>
      <c r="I5" s="14" t="s">
        <v>8</v>
      </c>
      <c r="J5" s="14"/>
      <c r="K5" s="15"/>
      <c r="L5" s="8"/>
      <c r="M5" s="8"/>
      <c r="N5" s="8"/>
      <c r="O5" s="8"/>
    </row>
    <row r="6" spans="3:15">
      <c r="C6" s="16" t="s">
        <v>9</v>
      </c>
      <c r="D6" s="17"/>
      <c r="E6" s="235">
        <v>42768425</v>
      </c>
      <c r="F6" s="129">
        <v>46112</v>
      </c>
      <c r="G6" s="84" t="s">
        <v>342</v>
      </c>
      <c r="H6" s="188"/>
      <c r="I6" s="189">
        <f>IFERROR(E6/SUM($E$6:$E$8),0)</f>
        <v>1</v>
      </c>
      <c r="J6" s="190"/>
      <c r="K6" s="18"/>
      <c r="L6" s="19"/>
      <c r="M6" s="19"/>
      <c r="N6" s="19"/>
      <c r="O6" s="19"/>
    </row>
    <row r="7" spans="3:15">
      <c r="C7" s="16" t="s">
        <v>11</v>
      </c>
      <c r="D7" s="17"/>
      <c r="E7" s="188"/>
      <c r="F7" s="85" t="str">
        <f>'[1](Old) Comm OSAR'!G7</f>
        <v>MM/DD/YY</v>
      </c>
      <c r="G7" s="84" t="s">
        <v>342</v>
      </c>
      <c r="H7" s="188"/>
      <c r="I7" s="189">
        <f t="shared" ref="I7:I8" si="0">IFERROR(E7/SUM($E$6:$E$8),0)</f>
        <v>0</v>
      </c>
      <c r="J7" s="190"/>
      <c r="K7" s="18"/>
      <c r="L7" s="19"/>
      <c r="M7" s="19"/>
      <c r="N7" s="19"/>
      <c r="O7" s="19"/>
    </row>
    <row r="8" spans="3:15">
      <c r="C8" s="16" t="s">
        <v>12</v>
      </c>
      <c r="D8" s="17"/>
      <c r="E8" s="188"/>
      <c r="F8" s="85" t="str">
        <f>'[1](Old) Comm OSAR'!G8</f>
        <v>MM/DD/YY</v>
      </c>
      <c r="G8" s="84" t="s">
        <v>342</v>
      </c>
      <c r="H8" s="188"/>
      <c r="I8" s="189">
        <f t="shared" si="0"/>
        <v>0</v>
      </c>
      <c r="J8" s="190"/>
      <c r="K8" s="18"/>
      <c r="L8" s="19"/>
      <c r="M8" s="19"/>
      <c r="N8" s="19"/>
      <c r="O8" s="19"/>
    </row>
    <row r="9" spans="3:15">
      <c r="C9" s="20" t="s">
        <v>13</v>
      </c>
      <c r="D9" s="21"/>
      <c r="E9" s="191" t="s">
        <v>86</v>
      </c>
      <c r="F9" s="192"/>
      <c r="G9" s="193"/>
      <c r="H9" s="193"/>
      <c r="I9" s="194"/>
      <c r="J9" s="19"/>
      <c r="K9" s="18"/>
      <c r="L9" s="19"/>
      <c r="M9" s="19"/>
      <c r="N9" s="19"/>
      <c r="O9" s="19"/>
    </row>
    <row r="10" spans="3:15">
      <c r="C10" s="22" t="s">
        <v>14</v>
      </c>
      <c r="D10" s="19"/>
      <c r="E10" s="195" t="s">
        <v>74</v>
      </c>
      <c r="F10" s="196"/>
      <c r="G10" s="197"/>
      <c r="H10" s="197"/>
      <c r="I10" s="197"/>
      <c r="J10" s="23"/>
      <c r="K10" s="18"/>
      <c r="L10" s="19"/>
      <c r="M10" s="23"/>
      <c r="N10" s="19"/>
      <c r="O10" s="19"/>
    </row>
    <row r="11" spans="3:15">
      <c r="C11" s="16" t="s">
        <v>15</v>
      </c>
      <c r="D11" s="17"/>
      <c r="E11" s="198" t="s">
        <v>88</v>
      </c>
      <c r="F11" s="196"/>
      <c r="G11" s="197"/>
      <c r="H11" s="196"/>
      <c r="I11" s="199"/>
      <c r="J11" s="23"/>
      <c r="K11" s="18"/>
      <c r="L11" s="19"/>
      <c r="M11" s="23"/>
      <c r="N11" s="19"/>
      <c r="O11" s="19"/>
    </row>
    <row r="12" spans="3:15">
      <c r="C12" s="24" t="s">
        <v>16</v>
      </c>
      <c r="D12" s="25"/>
      <c r="E12" s="200">
        <f>'1Q26 RR'!F57</f>
        <v>298769</v>
      </c>
      <c r="F12" s="201" t="str">
        <f>'[1](Old) Comm OSAR'!G12</f>
        <v>SF</v>
      </c>
      <c r="G12" s="26" t="s">
        <v>17</v>
      </c>
      <c r="H12" s="26"/>
      <c r="I12" s="27"/>
      <c r="J12" s="27"/>
      <c r="K12" s="18"/>
      <c r="L12" s="19"/>
      <c r="M12" s="23"/>
      <c r="N12" s="19"/>
      <c r="O12" s="19"/>
    </row>
    <row r="13" spans="3:15">
      <c r="C13" s="24" t="s">
        <v>18</v>
      </c>
      <c r="D13" s="25"/>
      <c r="E13" s="233" t="s">
        <v>87</v>
      </c>
      <c r="F13" s="85" t="str">
        <f>'[1](Old) Comm OSAR'!G13</f>
        <v>YYYY</v>
      </c>
      <c r="G13" s="28"/>
      <c r="H13" s="28"/>
      <c r="I13" s="29"/>
      <c r="J13" s="29"/>
      <c r="K13" s="18"/>
      <c r="L13" s="30"/>
      <c r="M13" s="23"/>
      <c r="N13" s="19"/>
      <c r="O13" s="19"/>
    </row>
    <row r="14" spans="3:15">
      <c r="C14" s="24" t="s">
        <v>19</v>
      </c>
      <c r="D14" s="25"/>
      <c r="E14" s="234">
        <v>0.25</v>
      </c>
      <c r="F14" s="202" t="str">
        <f>'[1](Old) Comm OSAR'!G14</f>
        <v>(annual/per SF)</v>
      </c>
      <c r="G14" s="31" t="s">
        <v>20</v>
      </c>
      <c r="H14" s="31"/>
      <c r="I14" s="29"/>
      <c r="J14" s="29"/>
      <c r="K14" s="18"/>
      <c r="L14" s="30"/>
      <c r="M14" s="23"/>
      <c r="N14" s="19"/>
      <c r="O14" s="19"/>
    </row>
    <row r="15" spans="3:15">
      <c r="C15" s="32" t="s">
        <v>21</v>
      </c>
      <c r="D15" s="29"/>
      <c r="E15" s="101" t="s">
        <v>10</v>
      </c>
      <c r="F15" s="230">
        <v>45838</v>
      </c>
      <c r="G15" s="231">
        <v>45930</v>
      </c>
      <c r="H15" s="231">
        <v>46022</v>
      </c>
      <c r="I15" s="231">
        <v>46112</v>
      </c>
      <c r="J15" s="33"/>
      <c r="K15" s="18"/>
      <c r="L15" s="23"/>
      <c r="M15" s="23"/>
      <c r="N15" s="19"/>
      <c r="O15" s="19"/>
    </row>
    <row r="16" spans="3:15">
      <c r="C16" s="34" t="s">
        <v>22</v>
      </c>
      <c r="D16" s="35"/>
      <c r="E16" s="144">
        <v>1</v>
      </c>
      <c r="F16" s="236">
        <v>0.53475852947862201</v>
      </c>
      <c r="G16" s="236">
        <v>0.53475852947862201</v>
      </c>
      <c r="H16" s="236">
        <v>0.53480000000000005</v>
      </c>
      <c r="I16" s="189">
        <f>'1Q26 RR'!F62</f>
        <v>0.44819576328200045</v>
      </c>
      <c r="J16" s="203"/>
      <c r="K16" s="18"/>
      <c r="L16" s="23"/>
      <c r="M16" s="23"/>
      <c r="N16" s="19"/>
      <c r="O16" s="19"/>
    </row>
    <row r="17" spans="3:15">
      <c r="C17" s="34" t="s">
        <v>23</v>
      </c>
      <c r="D17" s="35"/>
      <c r="E17" s="145" t="str">
        <f>E15</f>
        <v>MM/DD/YY</v>
      </c>
      <c r="F17" s="232">
        <v>45838</v>
      </c>
      <c r="G17" s="232">
        <v>45930</v>
      </c>
      <c r="H17" s="232">
        <v>46022</v>
      </c>
      <c r="I17" s="232">
        <v>46112</v>
      </c>
      <c r="J17" s="36"/>
      <c r="K17" s="18"/>
      <c r="L17" s="23"/>
      <c r="M17" s="23"/>
      <c r="N17" s="19"/>
      <c r="O17" s="19"/>
    </row>
    <row r="18" spans="3:15">
      <c r="C18" s="24"/>
      <c r="D18" s="25"/>
      <c r="E18" s="204" t="s">
        <v>24</v>
      </c>
      <c r="F18" s="205"/>
      <c r="G18" s="37"/>
      <c r="H18" s="205"/>
      <c r="I18" s="37"/>
      <c r="J18" s="37"/>
      <c r="K18" s="18"/>
      <c r="L18" s="23"/>
      <c r="M18" s="23"/>
      <c r="N18" s="19"/>
      <c r="O18" s="19"/>
    </row>
    <row r="19" spans="3:15" ht="13.5" thickBot="1">
      <c r="C19" s="38"/>
      <c r="D19" s="39"/>
      <c r="E19" s="206" t="s">
        <v>25</v>
      </c>
      <c r="F19" s="207"/>
      <c r="G19" s="40"/>
      <c r="H19" s="40"/>
      <c r="I19" s="40"/>
      <c r="J19" s="40"/>
      <c r="K19" s="41"/>
      <c r="L19" s="19"/>
      <c r="M19" s="19"/>
      <c r="N19" s="19"/>
      <c r="O19" s="19"/>
    </row>
    <row r="20" spans="3:15" ht="13.5" thickTop="1">
      <c r="C20" s="42"/>
      <c r="D20" s="42"/>
      <c r="E20" s="10"/>
      <c r="F20" s="43"/>
      <c r="G20" s="43"/>
      <c r="H20" s="43"/>
      <c r="I20" s="43"/>
      <c r="J20" s="44"/>
      <c r="K20" s="43"/>
    </row>
    <row r="21" spans="3:15">
      <c r="C21" s="45" t="s">
        <v>26</v>
      </c>
      <c r="D21" s="45"/>
      <c r="E21" s="208"/>
      <c r="F21" s="46"/>
      <c r="G21" s="46"/>
      <c r="H21" s="46"/>
      <c r="I21" s="46"/>
      <c r="J21" s="46"/>
      <c r="K21" s="42"/>
    </row>
    <row r="22" spans="3:15">
      <c r="C22" s="47" t="s">
        <v>27</v>
      </c>
      <c r="D22" s="47"/>
      <c r="E22" s="42"/>
      <c r="F22" s="209" t="s">
        <v>30</v>
      </c>
      <c r="G22" s="209" t="s">
        <v>30</v>
      </c>
      <c r="H22" s="209" t="s">
        <v>76</v>
      </c>
      <c r="I22" s="209" t="s">
        <v>30</v>
      </c>
      <c r="J22" s="210" t="s">
        <v>343</v>
      </c>
      <c r="K22" s="48" t="s">
        <v>344</v>
      </c>
    </row>
    <row r="23" spans="3:15" ht="13.5" thickBot="1">
      <c r="C23" s="47" t="s">
        <v>28</v>
      </c>
      <c r="D23" s="47"/>
      <c r="E23" s="49" t="s">
        <v>29</v>
      </c>
      <c r="F23" s="211" t="s">
        <v>361</v>
      </c>
      <c r="G23" s="212" t="s">
        <v>360</v>
      </c>
      <c r="H23" s="213" t="s">
        <v>359</v>
      </c>
      <c r="I23" s="213" t="s">
        <v>359</v>
      </c>
      <c r="J23" s="214" t="s">
        <v>345</v>
      </c>
      <c r="K23" s="49" t="str">
        <f>YEAR('[2](Old) Comm OSAR'!H24)&amp;"-"&amp;YEAR(F6)</f>
        <v>2025-2026</v>
      </c>
      <c r="L23" s="215"/>
      <c r="N23" s="318" t="s">
        <v>432</v>
      </c>
      <c r="O23" s="319"/>
    </row>
    <row r="24" spans="3:15">
      <c r="C24" s="50" t="s">
        <v>21</v>
      </c>
      <c r="D24" s="51"/>
      <c r="E24" s="216" t="s">
        <v>32</v>
      </c>
      <c r="F24" s="216" t="s">
        <v>362</v>
      </c>
      <c r="G24" s="216" t="s">
        <v>363</v>
      </c>
      <c r="H24" s="217" t="str">
        <f>"as of "&amp;TEXT($F$6,"mm/dd/yy")</f>
        <v>as of 03/31/26</v>
      </c>
      <c r="I24" s="217" t="str">
        <f>"as of "&amp;TEXT($F$6,"mm/dd/yy")</f>
        <v>as of 03/31/26</v>
      </c>
      <c r="J24" s="52" t="s">
        <v>346</v>
      </c>
      <c r="K24" s="52" t="s">
        <v>346</v>
      </c>
      <c r="L24" s="218" t="s">
        <v>31</v>
      </c>
      <c r="N24" s="320" t="s">
        <v>433</v>
      </c>
      <c r="O24" s="320" t="s">
        <v>8</v>
      </c>
    </row>
    <row r="25" spans="3:15">
      <c r="C25" s="47" t="s">
        <v>33</v>
      </c>
      <c r="D25" s="47"/>
      <c r="E25" s="263">
        <v>2442036</v>
      </c>
      <c r="F25" s="263">
        <v>1605912.3599999999</v>
      </c>
      <c r="G25" s="263">
        <v>1630918.41</v>
      </c>
      <c r="H25" s="286">
        <f>'1Q26 T12'!O13</f>
        <v>1604326.68</v>
      </c>
      <c r="I25" s="271">
        <f>SUM('1Q26 RR'!V:V)</f>
        <v>1413926.9640000002</v>
      </c>
      <c r="J25" s="56">
        <f>IF(E25=0," ",(I25-E25)/E25)</f>
        <v>-0.42100486479314797</v>
      </c>
      <c r="K25" s="56">
        <f>IF(G25=0," ",(I25-G25)/G25)</f>
        <v>-0.13304862135929887</v>
      </c>
      <c r="L25" s="86" t="s">
        <v>244</v>
      </c>
      <c r="N25" s="321">
        <f t="shared" ref="N25:N65" si="1">IFERROR(I25-G25,0)</f>
        <v>-216991.44599999976</v>
      </c>
      <c r="O25" s="322">
        <f t="shared" ref="O25:O65" si="2">IFERROR(N25/G25,"")</f>
        <v>-0.13304862135929887</v>
      </c>
    </row>
    <row r="26" spans="3:15">
      <c r="C26" s="53" t="s">
        <v>34</v>
      </c>
      <c r="D26" s="54"/>
      <c r="E26" s="263">
        <v>0</v>
      </c>
      <c r="F26" s="263">
        <v>0</v>
      </c>
      <c r="G26" s="263">
        <v>0</v>
      </c>
      <c r="H26" s="286">
        <v>0</v>
      </c>
      <c r="I26" s="271">
        <f>-IF(I16&gt;0.95,(I16-0.95)*I25,0)</f>
        <v>0</v>
      </c>
      <c r="J26" s="56" t="str">
        <f>IF(E26=0," ",(I26-E26)/E26)</f>
        <v xml:space="preserve"> </v>
      </c>
      <c r="K26" s="56" t="str">
        <f>IF(G26=0," ",(I26-G26)/G26)</f>
        <v xml:space="preserve"> </v>
      </c>
      <c r="L26" s="86" t="str">
        <f>"Greater of actual ("&amp;TEXT(1-$I$16,"0%")&amp;") or 5%"</f>
        <v>Greater of actual (55%) or 5%</v>
      </c>
      <c r="N26" s="321">
        <f t="shared" si="1"/>
        <v>0</v>
      </c>
      <c r="O26" s="322" t="str">
        <f t="shared" si="2"/>
        <v/>
      </c>
    </row>
    <row r="27" spans="3:15">
      <c r="C27" s="55" t="s">
        <v>35</v>
      </c>
      <c r="D27" s="55"/>
      <c r="E27" s="238"/>
      <c r="F27" s="253"/>
      <c r="G27" s="238" t="s">
        <v>73</v>
      </c>
      <c r="H27" s="272" t="s">
        <v>73</v>
      </c>
      <c r="I27" s="273" t="s">
        <v>73</v>
      </c>
      <c r="J27" s="220"/>
      <c r="K27" s="219"/>
      <c r="L27" s="265" t="s">
        <v>73</v>
      </c>
      <c r="N27" s="321">
        <f t="shared" si="1"/>
        <v>0</v>
      </c>
      <c r="O27" s="322" t="str">
        <f t="shared" si="2"/>
        <v/>
      </c>
    </row>
    <row r="28" spans="3:15">
      <c r="C28" s="47" t="s">
        <v>356</v>
      </c>
      <c r="D28" s="47"/>
      <c r="E28" s="237"/>
      <c r="F28" s="252"/>
      <c r="G28" s="237" t="s">
        <v>73</v>
      </c>
      <c r="H28" s="274" t="s">
        <v>73</v>
      </c>
      <c r="I28" s="275" t="s">
        <v>73</v>
      </c>
      <c r="J28" s="221"/>
      <c r="K28" s="221"/>
      <c r="L28" s="86" t="s">
        <v>73</v>
      </c>
      <c r="N28" s="321">
        <f t="shared" si="1"/>
        <v>0</v>
      </c>
      <c r="O28" s="322" t="str">
        <f t="shared" si="2"/>
        <v/>
      </c>
    </row>
    <row r="29" spans="3:15">
      <c r="C29" s="47" t="s">
        <v>36</v>
      </c>
      <c r="D29" s="47"/>
      <c r="E29" s="263">
        <v>949400</v>
      </c>
      <c r="F29" s="263">
        <v>466440</v>
      </c>
      <c r="G29" s="263">
        <v>466440</v>
      </c>
      <c r="H29" s="286">
        <f>SUM('1Q26 T12'!O14:O16)</f>
        <v>298740</v>
      </c>
      <c r="I29" s="271">
        <f>SUM('1Q26 RR'!R:R)*12</f>
        <v>610140</v>
      </c>
      <c r="J29" s="221"/>
      <c r="K29" s="221"/>
      <c r="L29" s="86" t="s">
        <v>244</v>
      </c>
      <c r="N29" s="321">
        <f t="shared" si="1"/>
        <v>143700</v>
      </c>
      <c r="O29" s="322">
        <f t="shared" si="2"/>
        <v>0.30807820941600206</v>
      </c>
    </row>
    <row r="30" spans="3:15">
      <c r="C30" s="47" t="s">
        <v>37</v>
      </c>
      <c r="D30" s="47"/>
      <c r="E30" s="263">
        <v>0</v>
      </c>
      <c r="F30" s="263">
        <v>0</v>
      </c>
      <c r="G30" s="263">
        <v>0</v>
      </c>
      <c r="H30" s="286">
        <v>0</v>
      </c>
      <c r="I30" s="271">
        <v>0</v>
      </c>
      <c r="J30" s="56" t="str">
        <f>IF(E30=0," ",(I30-E30)/E30)</f>
        <v xml:space="preserve"> </v>
      </c>
      <c r="K30" s="56" t="str">
        <f>IF(G30=0," ",(I30-G30)/G30)</f>
        <v xml:space="preserve"> </v>
      </c>
      <c r="L30" s="86" t="s">
        <v>73</v>
      </c>
      <c r="N30" s="321">
        <f t="shared" si="1"/>
        <v>0</v>
      </c>
      <c r="O30" s="322" t="str">
        <f t="shared" si="2"/>
        <v/>
      </c>
    </row>
    <row r="31" spans="3:15">
      <c r="C31" s="47" t="s">
        <v>38</v>
      </c>
      <c r="D31" s="47"/>
      <c r="E31" s="263">
        <v>0</v>
      </c>
      <c r="F31" s="263">
        <v>0</v>
      </c>
      <c r="G31" s="263">
        <v>0</v>
      </c>
      <c r="H31" s="286">
        <v>0</v>
      </c>
      <c r="I31" s="271">
        <v>0</v>
      </c>
      <c r="J31" s="56"/>
      <c r="K31" s="56" t="str">
        <f>IF(G31=0," ",(I31-G31)/G31)</f>
        <v xml:space="preserve"> </v>
      </c>
      <c r="L31" s="86" t="s">
        <v>73</v>
      </c>
      <c r="N31" s="321">
        <f t="shared" si="1"/>
        <v>0</v>
      </c>
      <c r="O31" s="322" t="str">
        <f t="shared" si="2"/>
        <v/>
      </c>
    </row>
    <row r="32" spans="3:15">
      <c r="C32" s="47" t="s">
        <v>39</v>
      </c>
      <c r="D32" s="47"/>
      <c r="E32" s="263">
        <v>0</v>
      </c>
      <c r="F32" s="263">
        <v>160.76999999999998</v>
      </c>
      <c r="G32" s="263">
        <v>60</v>
      </c>
      <c r="H32" s="286">
        <f>'1Q26 T12'!O21</f>
        <v>0</v>
      </c>
      <c r="I32" s="271">
        <f>H32</f>
        <v>0</v>
      </c>
      <c r="J32" s="56"/>
      <c r="K32" s="221"/>
      <c r="L32" s="86" t="str">
        <f>"T12 ended "&amp;TEXT($I$15,"mm/dd/yyyy")</f>
        <v>T12 ended 03/31/2026</v>
      </c>
      <c r="N32" s="321">
        <f t="shared" si="1"/>
        <v>-60</v>
      </c>
      <c r="O32" s="322">
        <f t="shared" si="2"/>
        <v>-1</v>
      </c>
    </row>
    <row r="33" spans="3:15">
      <c r="C33" s="42"/>
      <c r="D33" s="42"/>
      <c r="E33" s="239"/>
      <c r="F33" s="239"/>
      <c r="G33" s="239"/>
      <c r="H33" s="276"/>
      <c r="I33" s="277"/>
      <c r="J33" s="58"/>
      <c r="K33" s="57"/>
      <c r="L33" s="124"/>
      <c r="N33" s="321">
        <f t="shared" si="1"/>
        <v>0</v>
      </c>
      <c r="O33" s="322" t="str">
        <f t="shared" si="2"/>
        <v/>
      </c>
    </row>
    <row r="34" spans="3:15">
      <c r="C34" s="59" t="s">
        <v>40</v>
      </c>
      <c r="D34" s="59"/>
      <c r="E34" s="264">
        <v>3391436</v>
      </c>
      <c r="F34" s="264">
        <v>2072513.13</v>
      </c>
      <c r="G34" s="264">
        <v>2097418.41</v>
      </c>
      <c r="H34" s="278">
        <f>SUM(H25:H32)</f>
        <v>1903066.68</v>
      </c>
      <c r="I34" s="278">
        <f>SUM(I25:I32)</f>
        <v>2024066.9640000002</v>
      </c>
      <c r="J34" s="221"/>
      <c r="K34" s="221"/>
      <c r="L34" s="86" t="s">
        <v>73</v>
      </c>
      <c r="N34" s="321">
        <f t="shared" si="1"/>
        <v>-73351.445999999996</v>
      </c>
      <c r="O34" s="322">
        <f t="shared" si="2"/>
        <v>-3.4972252389069092E-2</v>
      </c>
    </row>
    <row r="35" spans="3:15">
      <c r="C35" s="42"/>
      <c r="D35" s="42"/>
      <c r="E35" s="240" t="s">
        <v>240</v>
      </c>
      <c r="F35" s="254"/>
      <c r="G35" s="259" t="s">
        <v>73</v>
      </c>
      <c r="H35" s="279"/>
      <c r="I35" s="280" t="s">
        <v>73</v>
      </c>
      <c r="J35" s="222"/>
      <c r="K35" s="23"/>
      <c r="L35" s="81"/>
      <c r="N35" s="321">
        <f t="shared" si="1"/>
        <v>0</v>
      </c>
      <c r="O35" s="322" t="str">
        <f t="shared" si="2"/>
        <v/>
      </c>
    </row>
    <row r="36" spans="3:15">
      <c r="C36" s="42"/>
      <c r="D36" s="42"/>
      <c r="E36" s="241"/>
      <c r="F36" s="255"/>
      <c r="G36" s="260"/>
      <c r="H36" s="281"/>
      <c r="I36" s="282"/>
      <c r="J36" s="58"/>
      <c r="K36" s="43"/>
      <c r="L36" s="82"/>
      <c r="N36" s="321">
        <f t="shared" si="1"/>
        <v>0</v>
      </c>
      <c r="O36" s="322" t="str">
        <f t="shared" si="2"/>
        <v/>
      </c>
    </row>
    <row r="37" spans="3:15">
      <c r="C37" s="45" t="s">
        <v>41</v>
      </c>
      <c r="D37" s="45"/>
      <c r="E37" s="242"/>
      <c r="F37" s="255"/>
      <c r="G37" s="260"/>
      <c r="H37" s="283"/>
      <c r="I37" s="146"/>
      <c r="J37" s="58"/>
      <c r="K37" s="43"/>
      <c r="L37" s="82"/>
      <c r="N37" s="321">
        <f t="shared" si="1"/>
        <v>0</v>
      </c>
      <c r="O37" s="322" t="str">
        <f t="shared" si="2"/>
        <v/>
      </c>
    </row>
    <row r="38" spans="3:15">
      <c r="C38" s="47" t="s">
        <v>42</v>
      </c>
      <c r="D38" s="47"/>
      <c r="E38" s="263">
        <v>561986</v>
      </c>
      <c r="F38" s="263">
        <v>494233.61</v>
      </c>
      <c r="G38" s="263">
        <v>474465</v>
      </c>
      <c r="H38" s="286">
        <f>'1Q26 T12'!O31</f>
        <v>383350.47</v>
      </c>
      <c r="I38" s="271">
        <f>MAX(H38,Tax!B7)</f>
        <v>452696.25</v>
      </c>
      <c r="J38" s="221"/>
      <c r="K38" s="221"/>
      <c r="L38" s="86" t="str">
        <f>"Greater of actual tax bill from 01/01/2025-01/01/2026 ($"&amp;TEXT(Tax!B7/1000,"0.0")&amp;"K) and T12 ended "&amp;TEXT('(New) Comm OSAR'!I15,"mm/dd/yyyy")</f>
        <v>Greater of actual tax bill from 01/01/2025-01/01/2026 ($452.7K) and T12 ended 03/31/2026</v>
      </c>
      <c r="N38" s="321">
        <f t="shared" si="1"/>
        <v>-21768.75</v>
      </c>
      <c r="O38" s="322">
        <f t="shared" si="2"/>
        <v>-4.5880623439031328E-2</v>
      </c>
    </row>
    <row r="39" spans="3:15">
      <c r="C39" s="47" t="s">
        <v>43</v>
      </c>
      <c r="D39" s="47"/>
      <c r="E39" s="263">
        <v>344808</v>
      </c>
      <c r="F39" s="263">
        <v>171976.41</v>
      </c>
      <c r="G39" s="263">
        <v>210758</v>
      </c>
      <c r="H39" s="286">
        <f>'1Q26 T12'!O32</f>
        <v>194042.95</v>
      </c>
      <c r="I39" s="271">
        <f>MAX(H39,Insurance!O4)</f>
        <v>194042.95</v>
      </c>
      <c r="J39" s="56"/>
      <c r="K39" s="221"/>
      <c r="L39" s="86" t="str">
        <f>"Greater of actual insurance bill from 05/31/2025-05/31/2026 ($"&amp;TEXT(Insurance!O4/1000,"0.0")&amp;"K) and T12 ended "&amp;TEXT('(New) Comm OSAR'!I15,"mm/dd/yyyy")</f>
        <v>Greater of actual insurance bill from 05/31/2025-05/31/2026 ($112.8K) and T12 ended 03/31/2026</v>
      </c>
      <c r="N39" s="321">
        <f t="shared" si="1"/>
        <v>-16715.049999999988</v>
      </c>
      <c r="O39" s="322">
        <f t="shared" si="2"/>
        <v>-7.9309207716907484E-2</v>
      </c>
    </row>
    <row r="40" spans="3:15">
      <c r="C40" s="51" t="s">
        <v>44</v>
      </c>
      <c r="D40" s="51"/>
      <c r="E40" s="263">
        <v>0</v>
      </c>
      <c r="F40" s="263">
        <v>68375.81</v>
      </c>
      <c r="G40" s="263">
        <v>60040</v>
      </c>
      <c r="H40" s="286">
        <f>'1Q26 T12'!O59</f>
        <v>63835.99</v>
      </c>
      <c r="I40" s="271">
        <f>H40</f>
        <v>63835.99</v>
      </c>
      <c r="J40" s="56"/>
      <c r="K40" s="221"/>
      <c r="L40" s="86" t="str">
        <f>"T12 ended "&amp;TEXT($I$15,"mm/dd/yyyy")</f>
        <v>T12 ended 03/31/2026</v>
      </c>
      <c r="N40" s="321">
        <f t="shared" si="1"/>
        <v>3795.989999999998</v>
      </c>
      <c r="O40" s="322">
        <f t="shared" si="2"/>
        <v>6.3224350433044599E-2</v>
      </c>
    </row>
    <row r="41" spans="3:15">
      <c r="C41" s="51" t="s">
        <v>45</v>
      </c>
      <c r="D41" s="51"/>
      <c r="E41" s="263">
        <v>71832</v>
      </c>
      <c r="F41" s="263">
        <v>66518.559999999998</v>
      </c>
      <c r="G41" s="263">
        <v>52989</v>
      </c>
      <c r="H41" s="286">
        <f>'1Q26 T12'!O74</f>
        <v>67844.72</v>
      </c>
      <c r="I41" s="271">
        <f>H41</f>
        <v>67844.72</v>
      </c>
      <c r="J41" s="221"/>
      <c r="K41" s="221"/>
      <c r="L41" s="86" t="str">
        <f>"T12 ended "&amp;TEXT($I$15,"mm/dd/yyyy")</f>
        <v>T12 ended 03/31/2026</v>
      </c>
      <c r="N41" s="321">
        <f t="shared" si="1"/>
        <v>14855.720000000001</v>
      </c>
      <c r="O41" s="322">
        <f t="shared" si="2"/>
        <v>0.28035479061692054</v>
      </c>
    </row>
    <row r="42" spans="3:15">
      <c r="C42" s="47" t="s">
        <v>46</v>
      </c>
      <c r="D42" s="47"/>
      <c r="E42" s="263">
        <v>0</v>
      </c>
      <c r="F42" s="263">
        <v>0</v>
      </c>
      <c r="G42" s="263">
        <v>0</v>
      </c>
      <c r="H42" s="286">
        <v>0</v>
      </c>
      <c r="I42" s="271">
        <f>H42</f>
        <v>0</v>
      </c>
      <c r="J42" s="56"/>
      <c r="K42" s="56"/>
      <c r="L42" s="86" t="str">
        <f>"T12 ended "&amp;TEXT($I$15,"mm/dd/yyyy")</f>
        <v>T12 ended 03/31/2026</v>
      </c>
      <c r="N42" s="321">
        <f t="shared" si="1"/>
        <v>0</v>
      </c>
      <c r="O42" s="322" t="str">
        <f t="shared" si="2"/>
        <v/>
      </c>
    </row>
    <row r="43" spans="3:15">
      <c r="C43" s="47" t="s">
        <v>47</v>
      </c>
      <c r="D43" s="47"/>
      <c r="E43" s="263">
        <v>101744</v>
      </c>
      <c r="F43" s="263">
        <v>62175.393899999995</v>
      </c>
      <c r="G43" s="263">
        <v>62922.552300000003</v>
      </c>
      <c r="H43" s="286">
        <f>'1Q26 T12'!O82</f>
        <v>54928.480000000003</v>
      </c>
      <c r="I43" s="271">
        <f>MAX(+I34*0.03,H43)</f>
        <v>60722.00892</v>
      </c>
      <c r="J43" s="221"/>
      <c r="K43" s="221"/>
      <c r="L43" s="86" t="s">
        <v>281</v>
      </c>
      <c r="N43" s="321">
        <f t="shared" si="1"/>
        <v>-2200.5433800000028</v>
      </c>
      <c r="O43" s="322">
        <f t="shared" si="2"/>
        <v>-3.4972252389069133E-2</v>
      </c>
    </row>
    <row r="44" spans="3:15">
      <c r="C44" s="47" t="s">
        <v>48</v>
      </c>
      <c r="D44" s="47"/>
      <c r="E44" s="263">
        <v>0</v>
      </c>
      <c r="F44" s="263">
        <v>0</v>
      </c>
      <c r="G44" s="263">
        <v>0</v>
      </c>
      <c r="H44" s="286">
        <v>0</v>
      </c>
      <c r="I44" s="271">
        <f t="shared" ref="I44:I49" si="3">H44</f>
        <v>0</v>
      </c>
      <c r="J44" s="56"/>
      <c r="K44" s="56"/>
      <c r="L44" s="86" t="str">
        <f t="shared" ref="L44:L49" si="4">"T12 ended "&amp;TEXT($I$15,"mm/dd/yyyy")</f>
        <v>T12 ended 03/31/2026</v>
      </c>
      <c r="N44" s="321">
        <f t="shared" si="1"/>
        <v>0</v>
      </c>
      <c r="O44" s="322" t="str">
        <f t="shared" si="2"/>
        <v/>
      </c>
    </row>
    <row r="45" spans="3:15">
      <c r="C45" s="51" t="s">
        <v>49</v>
      </c>
      <c r="D45" s="51"/>
      <c r="E45" s="263">
        <v>0</v>
      </c>
      <c r="F45" s="263">
        <v>0</v>
      </c>
      <c r="G45" s="263">
        <v>0</v>
      </c>
      <c r="H45" s="286">
        <v>0</v>
      </c>
      <c r="I45" s="271">
        <f t="shared" si="3"/>
        <v>0</v>
      </c>
      <c r="J45" s="56"/>
      <c r="K45" s="56"/>
      <c r="L45" s="86" t="str">
        <f t="shared" si="4"/>
        <v>T12 ended 03/31/2026</v>
      </c>
      <c r="N45" s="321">
        <f t="shared" si="1"/>
        <v>0</v>
      </c>
      <c r="O45" s="322" t="str">
        <f t="shared" si="2"/>
        <v/>
      </c>
    </row>
    <row r="46" spans="3:15">
      <c r="C46" s="47" t="s">
        <v>50</v>
      </c>
      <c r="D46" s="47"/>
      <c r="E46" s="263">
        <v>0</v>
      </c>
      <c r="F46" s="263">
        <v>64488.74</v>
      </c>
      <c r="G46" s="263">
        <v>63484</v>
      </c>
      <c r="H46" s="286">
        <f>SUM('1Q26 T12'!O50,'1Q26 T12'!O98:O99)</f>
        <v>170477.52000000002</v>
      </c>
      <c r="I46" s="271">
        <f t="shared" si="3"/>
        <v>170477.52000000002</v>
      </c>
      <c r="J46" s="56"/>
      <c r="K46" s="221"/>
      <c r="L46" s="86" t="str">
        <f t="shared" si="4"/>
        <v>T12 ended 03/31/2026</v>
      </c>
      <c r="N46" s="321">
        <f t="shared" si="1"/>
        <v>106993.52000000002</v>
      </c>
      <c r="O46" s="322">
        <f t="shared" si="2"/>
        <v>1.6853619809715836</v>
      </c>
    </row>
    <row r="47" spans="3:15">
      <c r="C47" s="47" t="s">
        <v>51</v>
      </c>
      <c r="D47" s="47"/>
      <c r="E47" s="263">
        <v>0</v>
      </c>
      <c r="F47" s="263">
        <v>24250.93</v>
      </c>
      <c r="G47" s="263">
        <v>18946</v>
      </c>
      <c r="H47" s="286">
        <f>SUM('1Q26 T12'!O43,'1Q26 T12'!O100)</f>
        <v>16053.91</v>
      </c>
      <c r="I47" s="271">
        <f t="shared" si="3"/>
        <v>16053.91</v>
      </c>
      <c r="J47" s="56"/>
      <c r="K47" s="221"/>
      <c r="L47" s="86" t="str">
        <f t="shared" si="4"/>
        <v>T12 ended 03/31/2026</v>
      </c>
      <c r="N47" s="321">
        <f t="shared" si="1"/>
        <v>-2892.09</v>
      </c>
      <c r="O47" s="322">
        <f t="shared" si="2"/>
        <v>-0.15264910799113271</v>
      </c>
    </row>
    <row r="48" spans="3:15">
      <c r="C48" s="47" t="s">
        <v>52</v>
      </c>
      <c r="D48" s="47"/>
      <c r="E48" s="263">
        <v>0</v>
      </c>
      <c r="F48" s="263">
        <v>0</v>
      </c>
      <c r="G48" s="263">
        <v>0</v>
      </c>
      <c r="H48" s="286">
        <f>'1Q26 T12'!O97</f>
        <v>3919.36</v>
      </c>
      <c r="I48" s="271">
        <f t="shared" si="3"/>
        <v>3919.36</v>
      </c>
      <c r="J48" s="221"/>
      <c r="K48" s="56"/>
      <c r="L48" s="86" t="str">
        <f t="shared" si="4"/>
        <v>T12 ended 03/31/2026</v>
      </c>
      <c r="N48" s="321">
        <f t="shared" si="1"/>
        <v>3919.36</v>
      </c>
      <c r="O48" s="322" t="str">
        <f t="shared" si="2"/>
        <v/>
      </c>
    </row>
    <row r="49" spans="3:15">
      <c r="C49" s="47" t="s">
        <v>53</v>
      </c>
      <c r="D49" s="47"/>
      <c r="E49" s="263">
        <v>0</v>
      </c>
      <c r="F49" s="263">
        <v>0</v>
      </c>
      <c r="G49" s="263">
        <v>0</v>
      </c>
      <c r="H49" s="286">
        <v>0</v>
      </c>
      <c r="I49" s="271">
        <f t="shared" si="3"/>
        <v>0</v>
      </c>
      <c r="J49" s="56"/>
      <c r="K49" s="56"/>
      <c r="L49" s="86" t="str">
        <f t="shared" si="4"/>
        <v>T12 ended 03/31/2026</v>
      </c>
      <c r="N49" s="321">
        <f t="shared" si="1"/>
        <v>0</v>
      </c>
      <c r="O49" s="322" t="str">
        <f t="shared" si="2"/>
        <v/>
      </c>
    </row>
    <row r="50" spans="3:15">
      <c r="C50" s="59" t="s">
        <v>54</v>
      </c>
      <c r="D50" s="59"/>
      <c r="E50" s="264">
        <v>1080370</v>
      </c>
      <c r="F50" s="264">
        <v>952019.4539000002</v>
      </c>
      <c r="G50" s="264">
        <v>943604.55229999998</v>
      </c>
      <c r="H50" s="278">
        <f>SUM(H38:H49)</f>
        <v>954453.39999999991</v>
      </c>
      <c r="I50" s="278">
        <f>SUM(I38:I49)</f>
        <v>1029592.70892</v>
      </c>
      <c r="J50" s="221"/>
      <c r="K50" s="221"/>
      <c r="L50" s="223" t="s">
        <v>73</v>
      </c>
      <c r="N50" s="321">
        <f t="shared" si="1"/>
        <v>85988.156620000023</v>
      </c>
      <c r="O50" s="322">
        <f t="shared" si="2"/>
        <v>9.1127322786231993E-2</v>
      </c>
    </row>
    <row r="51" spans="3:15">
      <c r="C51" s="51"/>
      <c r="D51" s="51"/>
      <c r="E51" s="224"/>
      <c r="F51" s="239"/>
      <c r="G51" s="244"/>
      <c r="H51" s="276"/>
      <c r="I51" s="277"/>
      <c r="J51" s="57"/>
      <c r="K51" s="225"/>
      <c r="L51" s="270"/>
      <c r="N51" s="321">
        <f t="shared" si="1"/>
        <v>0</v>
      </c>
      <c r="O51" s="322" t="str">
        <f t="shared" si="2"/>
        <v/>
      </c>
    </row>
    <row r="52" spans="3:15">
      <c r="C52" s="59" t="s">
        <v>55</v>
      </c>
      <c r="D52" s="59"/>
      <c r="E52" s="243">
        <v>0.31855827443006446</v>
      </c>
      <c r="F52" s="243">
        <v>0.45935508929682883</v>
      </c>
      <c r="G52" s="243">
        <v>0.44988856195841243</v>
      </c>
      <c r="H52" s="284">
        <f>H50/H34</f>
        <v>0.50153439710268055</v>
      </c>
      <c r="I52" s="130">
        <f>I50/I34</f>
        <v>0.5086752203520476</v>
      </c>
      <c r="J52" s="221"/>
      <c r="K52" s="221"/>
      <c r="L52" s="223" t="s">
        <v>73</v>
      </c>
      <c r="N52" s="321">
        <f t="shared" si="1"/>
        <v>5.8786658393635172E-2</v>
      </c>
      <c r="O52" s="322">
        <f t="shared" si="2"/>
        <v>0.13066937762927477</v>
      </c>
    </row>
    <row r="53" spans="3:15">
      <c r="C53" s="51"/>
      <c r="D53" s="51"/>
      <c r="E53" s="244"/>
      <c r="F53" s="256"/>
      <c r="G53" s="261"/>
      <c r="H53" s="276"/>
      <c r="I53" s="285"/>
      <c r="J53" s="62"/>
      <c r="K53" s="225"/>
      <c r="L53" s="266"/>
      <c r="N53" s="321">
        <f t="shared" si="1"/>
        <v>0</v>
      </c>
      <c r="O53" s="322" t="str">
        <f t="shared" si="2"/>
        <v/>
      </c>
    </row>
    <row r="54" spans="3:15">
      <c r="C54" s="59" t="s">
        <v>56</v>
      </c>
      <c r="D54" s="59"/>
      <c r="E54" s="264">
        <v>2311066</v>
      </c>
      <c r="F54" s="264">
        <v>1120493.6760999998</v>
      </c>
      <c r="G54" s="264">
        <v>1153813.8577000001</v>
      </c>
      <c r="H54" s="278">
        <f>H34-H50</f>
        <v>948613.28</v>
      </c>
      <c r="I54" s="278">
        <f>I34-I50</f>
        <v>994474.25508000015</v>
      </c>
      <c r="J54" s="221"/>
      <c r="K54" s="221"/>
      <c r="L54" s="86" t="s">
        <v>73</v>
      </c>
      <c r="N54" s="321">
        <f t="shared" si="1"/>
        <v>-159339.6026199999</v>
      </c>
      <c r="O54" s="322">
        <f t="shared" si="2"/>
        <v>-0.1380981876380179</v>
      </c>
    </row>
    <row r="55" spans="3:15">
      <c r="C55" s="59"/>
      <c r="D55" s="59"/>
      <c r="E55" s="245"/>
      <c r="F55" s="239"/>
      <c r="G55" s="245"/>
      <c r="H55" s="276"/>
      <c r="I55" s="277"/>
      <c r="J55" s="57"/>
      <c r="K55" s="226"/>
      <c r="L55" s="267"/>
      <c r="N55" s="321">
        <f t="shared" si="1"/>
        <v>0</v>
      </c>
      <c r="O55" s="322" t="str">
        <f t="shared" si="2"/>
        <v/>
      </c>
    </row>
    <row r="56" spans="3:15">
      <c r="C56" s="63" t="s">
        <v>57</v>
      </c>
      <c r="D56" s="63"/>
      <c r="E56" s="263"/>
      <c r="F56" s="263"/>
      <c r="G56" s="263" t="s">
        <v>73</v>
      </c>
      <c r="H56" s="286">
        <f>'1Q26 T12'!O120</f>
        <v>743322.43</v>
      </c>
      <c r="I56" s="275" t="s">
        <v>73</v>
      </c>
      <c r="J56" s="56"/>
      <c r="K56" s="56"/>
      <c r="L56" s="86" t="s">
        <v>73</v>
      </c>
      <c r="N56" s="321">
        <f t="shared" si="1"/>
        <v>0</v>
      </c>
      <c r="O56" s="322" t="str">
        <f t="shared" si="2"/>
        <v/>
      </c>
    </row>
    <row r="57" spans="3:15">
      <c r="C57" s="63" t="s">
        <v>58</v>
      </c>
      <c r="D57" s="63"/>
      <c r="E57" s="263"/>
      <c r="F57" s="263"/>
      <c r="G57" s="263" t="s">
        <v>73</v>
      </c>
      <c r="H57" s="286">
        <f>'1Q26 T12'!O119</f>
        <v>19675.3</v>
      </c>
      <c r="I57" s="275" t="s">
        <v>73</v>
      </c>
      <c r="J57" s="56"/>
      <c r="K57" s="56"/>
      <c r="L57" s="86" t="s">
        <v>73</v>
      </c>
      <c r="N57" s="321">
        <f t="shared" si="1"/>
        <v>0</v>
      </c>
      <c r="O57" s="322" t="str">
        <f t="shared" si="2"/>
        <v/>
      </c>
    </row>
    <row r="58" spans="3:15">
      <c r="C58" s="63" t="s">
        <v>59</v>
      </c>
      <c r="D58" s="63"/>
      <c r="E58" s="263">
        <v>71832</v>
      </c>
      <c r="F58" s="263">
        <v>72586.5</v>
      </c>
      <c r="G58" s="263">
        <v>74692.25</v>
      </c>
      <c r="H58" s="286">
        <f>SUM('1Q26 T12'!O118,'1Q26 T12'!O121)</f>
        <v>1400954.9899999998</v>
      </c>
      <c r="I58" s="275">
        <f>$E$12*$E$14</f>
        <v>74692.25</v>
      </c>
      <c r="J58" s="56"/>
      <c r="K58" s="56"/>
      <c r="L58" s="86" t="s">
        <v>222</v>
      </c>
      <c r="N58" s="321">
        <f t="shared" si="1"/>
        <v>0</v>
      </c>
      <c r="O58" s="322">
        <f t="shared" si="2"/>
        <v>0</v>
      </c>
    </row>
    <row r="59" spans="3:15">
      <c r="C59" s="63" t="s">
        <v>60</v>
      </c>
      <c r="D59" s="63"/>
      <c r="E59" s="246"/>
      <c r="F59" s="253"/>
      <c r="G59" s="253" t="s">
        <v>73</v>
      </c>
      <c r="H59" s="272" t="s">
        <v>73</v>
      </c>
      <c r="I59" s="272" t="s">
        <v>73</v>
      </c>
      <c r="J59" s="220"/>
      <c r="K59" s="64"/>
      <c r="L59" s="268" t="s">
        <v>73</v>
      </c>
      <c r="N59" s="321">
        <f t="shared" si="1"/>
        <v>0</v>
      </c>
      <c r="O59" s="322" t="str">
        <f t="shared" si="2"/>
        <v/>
      </c>
    </row>
    <row r="60" spans="3:15">
      <c r="C60" s="65" t="s">
        <v>61</v>
      </c>
      <c r="D60" s="65"/>
      <c r="E60" s="264">
        <v>71832</v>
      </c>
      <c r="F60" s="264">
        <v>72586.5</v>
      </c>
      <c r="G60" s="264">
        <v>74692.25</v>
      </c>
      <c r="H60" s="278">
        <f>SUM(H56:H59)</f>
        <v>2163952.7199999997</v>
      </c>
      <c r="I60" s="278">
        <f>SUM(I56:I59)</f>
        <v>74692.25</v>
      </c>
      <c r="J60" s="56"/>
      <c r="K60" s="56"/>
      <c r="L60" s="86" t="s">
        <v>73</v>
      </c>
      <c r="N60" s="321">
        <f t="shared" si="1"/>
        <v>0</v>
      </c>
      <c r="O60" s="322">
        <f t="shared" si="2"/>
        <v>0</v>
      </c>
    </row>
    <row r="61" spans="3:15">
      <c r="C61" s="59"/>
      <c r="D61" s="59"/>
      <c r="E61" s="247"/>
      <c r="F61" s="257"/>
      <c r="G61" s="262"/>
      <c r="H61" s="66"/>
      <c r="I61" s="66"/>
      <c r="J61" s="66"/>
      <c r="K61" s="125"/>
      <c r="L61" s="125"/>
      <c r="N61" s="321">
        <f t="shared" si="1"/>
        <v>0</v>
      </c>
      <c r="O61" s="322" t="str">
        <f t="shared" si="2"/>
        <v/>
      </c>
    </row>
    <row r="62" spans="3:15">
      <c r="C62" s="65" t="s">
        <v>62</v>
      </c>
      <c r="D62" s="65"/>
      <c r="E62" s="264">
        <v>2239234</v>
      </c>
      <c r="F62" s="264">
        <v>1047907.1760999998</v>
      </c>
      <c r="G62" s="264">
        <v>1079121.6077000001</v>
      </c>
      <c r="H62" s="278">
        <f>H54-H60</f>
        <v>-1215339.4399999997</v>
      </c>
      <c r="I62" s="278">
        <f>I54-I60</f>
        <v>919782.00508000015</v>
      </c>
      <c r="J62" s="221"/>
      <c r="K62" s="221"/>
      <c r="L62" s="56"/>
      <c r="N62" s="321">
        <f t="shared" si="1"/>
        <v>-159339.6026199999</v>
      </c>
      <c r="O62" s="322">
        <f t="shared" si="2"/>
        <v>-0.14765676220644905</v>
      </c>
    </row>
    <row r="63" spans="3:15">
      <c r="C63" s="42"/>
      <c r="D63" s="42"/>
      <c r="E63" s="42"/>
      <c r="F63" s="42"/>
      <c r="G63" s="42"/>
      <c r="H63" s="42"/>
      <c r="I63" s="227"/>
      <c r="J63" s="42"/>
      <c r="K63" s="42"/>
      <c r="L63" s="42"/>
      <c r="N63" s="321">
        <f t="shared" si="1"/>
        <v>0</v>
      </c>
      <c r="O63" s="322" t="str">
        <f t="shared" si="2"/>
        <v/>
      </c>
    </row>
    <row r="64" spans="3:15">
      <c r="C64" s="45" t="s">
        <v>63</v>
      </c>
      <c r="D64" s="45"/>
      <c r="E64" s="264">
        <v>3070163.5534649999</v>
      </c>
      <c r="F64" s="264">
        <v>2855578.9514833335</v>
      </c>
      <c r="G64" s="264">
        <v>2623520.2757279095</v>
      </c>
      <c r="H64" s="287">
        <f>'1Q26 T12'!O109</f>
        <v>2747766.17</v>
      </c>
      <c r="I64" s="287">
        <f>+'Debt Service'!$C$11</f>
        <v>2723160.6606944441</v>
      </c>
      <c r="J64" s="60"/>
      <c r="K64" s="60"/>
      <c r="L64" s="56"/>
      <c r="N64" s="321">
        <f t="shared" si="1"/>
        <v>99640.384966534562</v>
      </c>
      <c r="O64" s="322">
        <f t="shared" si="2"/>
        <v>3.7979651191713704E-2</v>
      </c>
    </row>
    <row r="65" spans="3:15">
      <c r="C65" s="45" t="s">
        <v>64</v>
      </c>
      <c r="D65" s="45"/>
      <c r="E65" s="60"/>
      <c r="F65" s="60"/>
      <c r="G65" s="60"/>
      <c r="H65" s="60"/>
      <c r="I65" s="60"/>
      <c r="J65" s="60"/>
      <c r="K65" s="60"/>
      <c r="L65" s="60"/>
      <c r="N65" s="321">
        <f t="shared" si="1"/>
        <v>0</v>
      </c>
      <c r="O65" s="322" t="str">
        <f t="shared" si="2"/>
        <v/>
      </c>
    </row>
    <row r="66" spans="3:15">
      <c r="C66" s="45" t="s">
        <v>65</v>
      </c>
      <c r="D66" s="45"/>
      <c r="E66" s="60"/>
      <c r="F66" s="60"/>
      <c r="G66" s="60"/>
      <c r="H66" s="60"/>
      <c r="I66" s="60"/>
      <c r="J66" s="60"/>
      <c r="K66" s="60"/>
      <c r="L66" s="56"/>
    </row>
    <row r="67" spans="3:15">
      <c r="C67" s="45"/>
      <c r="D67" s="45"/>
      <c r="E67" s="67"/>
      <c r="F67" s="67"/>
      <c r="G67" s="67"/>
      <c r="H67" s="67"/>
      <c r="I67" s="67"/>
      <c r="J67" s="67"/>
      <c r="K67" s="67"/>
      <c r="L67" s="269"/>
    </row>
    <row r="68" spans="3:15">
      <c r="C68" s="45" t="s">
        <v>66</v>
      </c>
      <c r="D68" s="45"/>
      <c r="E68" s="264"/>
      <c r="F68" s="264">
        <v>-1807671.7753833337</v>
      </c>
      <c r="G68" s="264">
        <v>-1544398.6680279095</v>
      </c>
      <c r="H68" s="278">
        <f>H62-H64</f>
        <v>-3963105.6099999994</v>
      </c>
      <c r="I68" s="278">
        <f>I62-I64</f>
        <v>-1803378.6556144441</v>
      </c>
      <c r="J68" s="56"/>
      <c r="K68" s="56"/>
      <c r="L68" s="56"/>
    </row>
    <row r="69" spans="3:15">
      <c r="C69" s="45"/>
      <c r="D69" s="45"/>
      <c r="E69" s="66"/>
      <c r="F69" s="66"/>
      <c r="G69" s="66"/>
      <c r="H69" s="66"/>
      <c r="I69" s="66"/>
      <c r="J69" s="66"/>
      <c r="K69" s="66"/>
      <c r="L69" s="42"/>
    </row>
    <row r="70" spans="3:15">
      <c r="C70" s="59" t="s">
        <v>347</v>
      </c>
      <c r="D70" s="59"/>
      <c r="E70" s="248"/>
      <c r="F70" s="251">
        <v>0.36696837800813153</v>
      </c>
      <c r="G70" s="251">
        <v>0.41132581199533214</v>
      </c>
      <c r="H70" s="301">
        <f>H54/H64</f>
        <v>0.34523071517399168</v>
      </c>
      <c r="I70" s="249">
        <f>'Debt Service'!$C$14</f>
        <v>0.36519118002622558</v>
      </c>
      <c r="J70" s="56"/>
      <c r="K70" s="56"/>
      <c r="L70" s="56"/>
    </row>
    <row r="71" spans="3:15">
      <c r="C71" s="59" t="s">
        <v>67</v>
      </c>
      <c r="D71" s="59"/>
      <c r="E71" s="250"/>
      <c r="F71" s="250"/>
      <c r="G71" s="250"/>
      <c r="H71" s="250"/>
      <c r="I71" s="250"/>
      <c r="J71" s="56"/>
      <c r="K71" s="56"/>
      <c r="L71" s="56"/>
    </row>
    <row r="72" spans="3:15">
      <c r="C72" s="59" t="s">
        <v>68</v>
      </c>
      <c r="D72" s="59"/>
      <c r="E72" s="250"/>
      <c r="F72" s="250"/>
      <c r="G72" s="250"/>
      <c r="H72" s="250"/>
      <c r="I72" s="250"/>
      <c r="J72" s="56"/>
      <c r="K72" s="56"/>
      <c r="L72" s="56"/>
    </row>
    <row r="73" spans="3:15">
      <c r="C73" s="42"/>
      <c r="D73" s="42"/>
      <c r="E73" s="68"/>
      <c r="F73" s="68"/>
      <c r="G73" s="68"/>
      <c r="H73" s="68"/>
      <c r="I73" s="68"/>
      <c r="J73" s="42"/>
      <c r="K73" s="42"/>
    </row>
    <row r="74" spans="3:15">
      <c r="C74" s="59" t="s">
        <v>348</v>
      </c>
      <c r="D74" s="59"/>
      <c r="E74" s="251">
        <v>0.7527501254425748</v>
      </c>
      <c r="F74" s="251">
        <v>0.36696837800813153</v>
      </c>
      <c r="G74" s="251">
        <v>0.41132581199533214</v>
      </c>
      <c r="H74" s="301">
        <f>H62/H64</f>
        <v>-0.44230089636775743</v>
      </c>
      <c r="I74" s="249">
        <f>'Debt Service'!$C$14</f>
        <v>0.36519118002622558</v>
      </c>
      <c r="J74" s="56"/>
      <c r="K74" s="126"/>
      <c r="L74" s="126"/>
    </row>
    <row r="75" spans="3:15">
      <c r="C75" s="59" t="s">
        <v>69</v>
      </c>
      <c r="D75" s="59"/>
      <c r="E75" s="250"/>
      <c r="F75" s="250"/>
      <c r="G75" s="250"/>
      <c r="H75" s="250"/>
      <c r="I75" s="250"/>
      <c r="J75" s="69"/>
      <c r="K75" s="127"/>
      <c r="L75" s="127"/>
    </row>
    <row r="76" spans="3:15">
      <c r="C76" s="59" t="s">
        <v>70</v>
      </c>
      <c r="D76" s="59"/>
      <c r="E76" s="250"/>
      <c r="F76" s="250"/>
      <c r="G76" s="250"/>
      <c r="H76" s="250"/>
      <c r="I76" s="250"/>
      <c r="J76" s="56"/>
      <c r="K76" s="126"/>
      <c r="L76" s="126"/>
    </row>
    <row r="77" spans="3:15">
      <c r="C77" s="59"/>
      <c r="D77" s="59"/>
      <c r="E77" s="70"/>
      <c r="F77" s="70"/>
      <c r="G77" s="70"/>
      <c r="H77" s="70"/>
      <c r="I77" s="70"/>
      <c r="J77" s="58"/>
      <c r="K77" s="58"/>
      <c r="L77" s="58"/>
    </row>
    <row r="78" spans="3:15">
      <c r="C78" s="45" t="s">
        <v>364</v>
      </c>
      <c r="D78" s="59"/>
      <c r="E78" s="258">
        <v>6.2854635474454995E-2</v>
      </c>
      <c r="F78" s="258">
        <v>2.8500191335359304E-2</v>
      </c>
      <c r="G78" s="258">
        <v>2.9349138139971483E-2</v>
      </c>
      <c r="H78" s="288">
        <f>H62/$E$6</f>
        <v>-2.8416745297494581E-2</v>
      </c>
      <c r="I78" s="288">
        <f>I62/$E$6</f>
        <v>2.1506099536749368E-2</v>
      </c>
      <c r="J78" s="58"/>
      <c r="K78" s="58"/>
      <c r="L78" s="58"/>
    </row>
    <row r="79" spans="3:15">
      <c r="C79" s="59"/>
      <c r="D79" s="59"/>
      <c r="E79" s="67"/>
      <c r="F79" s="67"/>
      <c r="G79" s="67"/>
      <c r="H79" s="67"/>
      <c r="I79" s="67"/>
      <c r="J79" s="67"/>
      <c r="K79" s="67"/>
    </row>
    <row r="80" spans="3:15">
      <c r="C80" s="62" t="s">
        <v>71</v>
      </c>
      <c r="D80" s="62"/>
      <c r="E80" s="258"/>
      <c r="F80" s="258"/>
      <c r="G80" s="258"/>
      <c r="H80" s="258"/>
      <c r="I80" s="258"/>
      <c r="J80" s="42"/>
      <c r="K80" s="42"/>
    </row>
    <row r="81" spans="3:11" ht="13.5" thickBot="1">
      <c r="C81" s="71"/>
      <c r="D81" s="71"/>
      <c r="E81" s="72" t="s">
        <v>72</v>
      </c>
      <c r="F81" s="73"/>
      <c r="G81" s="73"/>
      <c r="H81" s="73"/>
      <c r="I81" s="73"/>
      <c r="J81" s="73"/>
      <c r="K81" s="73"/>
    </row>
    <row r="82" spans="3:11">
      <c r="C82" s="65" t="s">
        <v>357</v>
      </c>
      <c r="D82" s="65"/>
      <c r="E82" s="42"/>
      <c r="F82" s="42"/>
      <c r="G82" s="42"/>
      <c r="H82" s="42"/>
      <c r="I82" s="42"/>
      <c r="J82" s="42"/>
      <c r="K82" s="42"/>
    </row>
    <row r="83" spans="3:11">
      <c r="C83" s="31" t="s">
        <v>358</v>
      </c>
      <c r="D83" s="31"/>
      <c r="E83" s="42"/>
      <c r="F83" s="42"/>
      <c r="G83" s="42"/>
      <c r="H83" s="42"/>
      <c r="I83" s="42"/>
      <c r="J83" s="42"/>
      <c r="K83" s="42"/>
    </row>
    <row r="84" spans="3:11">
      <c r="C84" s="228" t="s">
        <v>349</v>
      </c>
      <c r="D84" s="31"/>
      <c r="E84" s="42"/>
      <c r="F84" s="42"/>
      <c r="G84" s="42"/>
      <c r="H84" s="42"/>
      <c r="I84" s="42"/>
      <c r="J84" s="42"/>
      <c r="K84" s="42"/>
    </row>
    <row r="85" spans="3:11">
      <c r="C85" s="74" t="s">
        <v>350</v>
      </c>
      <c r="D85" s="74"/>
      <c r="E85" s="75"/>
      <c r="F85" s="75"/>
      <c r="G85" s="75"/>
      <c r="H85" s="75"/>
      <c r="I85" s="75"/>
      <c r="J85" s="75"/>
      <c r="K85" s="75"/>
    </row>
    <row r="86" spans="3:11">
      <c r="C86" s="76"/>
      <c r="D86" s="76"/>
      <c r="E86" s="77"/>
      <c r="F86" s="77"/>
      <c r="G86" s="77"/>
      <c r="H86" s="77"/>
      <c r="I86" s="77"/>
      <c r="J86" s="77"/>
      <c r="K86" s="77"/>
    </row>
    <row r="87" spans="3:11">
      <c r="C87" s="76"/>
      <c r="D87" s="76"/>
      <c r="E87" s="77"/>
      <c r="F87" s="77"/>
      <c r="G87" s="77"/>
      <c r="H87" s="77"/>
      <c r="I87" s="77"/>
      <c r="J87" s="77"/>
      <c r="K87" s="77"/>
    </row>
    <row r="88" spans="3:11">
      <c r="C88" s="78" t="s">
        <v>351</v>
      </c>
      <c r="D88" s="78"/>
      <c r="E88" s="75"/>
      <c r="F88" s="75"/>
      <c r="G88" s="75"/>
      <c r="H88" s="75"/>
      <c r="I88" s="75"/>
      <c r="J88" s="75"/>
      <c r="K88" s="75"/>
    </row>
    <row r="89" spans="3:11">
      <c r="C89" s="76"/>
      <c r="D89" s="76"/>
      <c r="E89" s="77"/>
      <c r="F89" s="77"/>
      <c r="G89" s="77"/>
      <c r="H89" s="77"/>
      <c r="I89" s="77"/>
      <c r="J89" s="77"/>
      <c r="K89" s="77"/>
    </row>
    <row r="90" spans="3:11">
      <c r="C90" s="76"/>
      <c r="D90" s="76"/>
      <c r="E90" s="77"/>
      <c r="F90" s="77"/>
      <c r="G90" s="77"/>
      <c r="H90" s="77"/>
      <c r="I90" s="77"/>
      <c r="J90" s="77"/>
      <c r="K90" s="77"/>
    </row>
    <row r="91" spans="3:11">
      <c r="C91" s="78" t="s">
        <v>352</v>
      </c>
      <c r="D91" s="78"/>
      <c r="E91" s="75"/>
      <c r="F91" s="75"/>
      <c r="G91" s="75"/>
      <c r="H91" s="75"/>
      <c r="I91" s="75"/>
      <c r="J91" s="75"/>
      <c r="K91" s="75"/>
    </row>
    <row r="92" spans="3:11">
      <c r="C92" s="229"/>
      <c r="D92" s="229"/>
      <c r="E92" s="77"/>
      <c r="F92" s="77"/>
      <c r="G92" s="77"/>
      <c r="H92" s="77"/>
      <c r="I92" s="77"/>
      <c r="J92" s="77"/>
      <c r="K92" s="77"/>
    </row>
    <row r="93" spans="3:11">
      <c r="C93" s="79"/>
      <c r="D93" s="79"/>
      <c r="E93" s="77"/>
      <c r="F93" s="77"/>
      <c r="G93" s="77"/>
      <c r="H93" s="77"/>
      <c r="I93" s="77"/>
      <c r="J93" s="77"/>
      <c r="K93" s="77"/>
    </row>
    <row r="94" spans="3:11">
      <c r="C94" s="74" t="s">
        <v>353</v>
      </c>
      <c r="D94" s="75"/>
      <c r="E94" s="75"/>
      <c r="F94" s="75"/>
      <c r="G94" s="75"/>
      <c r="H94" s="75"/>
      <c r="I94" s="75"/>
      <c r="J94" s="75"/>
      <c r="K94" s="75"/>
    </row>
    <row r="95" spans="3:11">
      <c r="C95" s="75"/>
      <c r="D95" s="75"/>
      <c r="E95" s="75"/>
      <c r="F95" s="75"/>
      <c r="G95" s="75"/>
      <c r="H95" s="75"/>
      <c r="I95" s="75"/>
      <c r="J95" s="75"/>
      <c r="K95" s="75"/>
    </row>
    <row r="96" spans="3:11">
      <c r="C96" s="75" t="s">
        <v>73</v>
      </c>
      <c r="D96" s="75"/>
      <c r="E96" s="75"/>
      <c r="F96" s="75"/>
      <c r="G96" s="75"/>
      <c r="H96" s="75"/>
      <c r="I96" s="75"/>
      <c r="J96" s="75"/>
      <c r="K96" s="42"/>
    </row>
    <row r="97" spans="3:11">
      <c r="C97" s="80" t="s">
        <v>354</v>
      </c>
      <c r="D97" s="80"/>
      <c r="E97" s="42"/>
      <c r="F97" s="42"/>
      <c r="G97" s="42"/>
      <c r="H97" s="42"/>
      <c r="I97" s="42"/>
      <c r="J97" s="45"/>
      <c r="K97" s="42"/>
    </row>
    <row r="98" spans="3:11">
      <c r="C98" s="19" t="s">
        <v>355</v>
      </c>
      <c r="D98" s="19"/>
      <c r="E98" s="42"/>
      <c r="F98" s="42"/>
      <c r="G98" s="42"/>
      <c r="H98" s="42"/>
      <c r="I98" s="42"/>
      <c r="J98" s="42"/>
      <c r="K98" s="42"/>
    </row>
  </sheetData>
  <mergeCells count="2">
    <mergeCell ref="C1:K1"/>
    <mergeCell ref="H4:I4"/>
  </mergeCells>
  <conditionalFormatting sqref="E15:E17">
    <cfRule type="expression" dxfId="26" priority="34">
      <formula>$A$1=1</formula>
    </cfRule>
    <cfRule type="expression" dxfId="25" priority="35">
      <formula>$C$2</formula>
    </cfRule>
  </conditionalFormatting>
  <conditionalFormatting sqref="E56:H58">
    <cfRule type="expression" dxfId="24" priority="2">
      <formula>$A$1=1</formula>
    </cfRule>
    <cfRule type="expression" dxfId="23" priority="3">
      <formula>#REF!</formula>
    </cfRule>
  </conditionalFormatting>
  <conditionalFormatting sqref="E25:I26">
    <cfRule type="expression" dxfId="22" priority="8">
      <formula>$A$1=1</formula>
    </cfRule>
    <cfRule type="expression" dxfId="21" priority="9">
      <formula>#REF!</formula>
    </cfRule>
  </conditionalFormatting>
  <conditionalFormatting sqref="E29:I32">
    <cfRule type="expression" dxfId="20" priority="6">
      <formula>$A$1=1</formula>
    </cfRule>
    <cfRule type="expression" dxfId="19" priority="7">
      <formula>#REF!</formula>
    </cfRule>
  </conditionalFormatting>
  <conditionalFormatting sqref="E34:I34">
    <cfRule type="expression" dxfId="18" priority="22">
      <formula>$A$1=1</formula>
    </cfRule>
    <cfRule type="expression" dxfId="17" priority="23">
      <formula>#REF!</formula>
    </cfRule>
  </conditionalFormatting>
  <conditionalFormatting sqref="E38:I50">
    <cfRule type="expression" dxfId="16" priority="4">
      <formula>$A$1=1</formula>
    </cfRule>
    <cfRule type="expression" dxfId="15" priority="5">
      <formula>#REF!</formula>
    </cfRule>
  </conditionalFormatting>
  <conditionalFormatting sqref="E54:I54">
    <cfRule type="expression" dxfId="14" priority="18">
      <formula>$A$1=1</formula>
    </cfRule>
    <cfRule type="expression" dxfId="13" priority="19">
      <formula>#REF!</formula>
    </cfRule>
  </conditionalFormatting>
  <conditionalFormatting sqref="E60:I60">
    <cfRule type="expression" dxfId="12" priority="16">
      <formula>$A$1=1</formula>
    </cfRule>
    <cfRule type="expression" dxfId="11" priority="17">
      <formula>#REF!</formula>
    </cfRule>
  </conditionalFormatting>
  <conditionalFormatting sqref="E62:I62">
    <cfRule type="expression" dxfId="10" priority="14">
      <formula>$A$1=1</formula>
    </cfRule>
    <cfRule type="expression" dxfId="9" priority="15">
      <formula>#REF!</formula>
    </cfRule>
  </conditionalFormatting>
  <conditionalFormatting sqref="E64:I64">
    <cfRule type="expression" dxfId="8" priority="12">
      <formula>$A$1=1</formula>
    </cfRule>
    <cfRule type="expression" dxfId="7" priority="13">
      <formula>#REF!</formula>
    </cfRule>
  </conditionalFormatting>
  <conditionalFormatting sqref="E68:I68">
    <cfRule type="expression" dxfId="6" priority="10">
      <formula>$A$1=1</formula>
    </cfRule>
    <cfRule type="expression" dxfId="5" priority="11">
      <formula>#REF!</formula>
    </cfRule>
  </conditionalFormatting>
  <conditionalFormatting sqref="L23:L24">
    <cfRule type="expression" dxfId="4" priority="36">
      <formula>$A$1=1</formula>
    </cfRule>
  </conditionalFormatting>
  <conditionalFormatting sqref="L50:L52">
    <cfRule type="expression" dxfId="3" priority="37">
      <formula>$A$1=1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00B7-6C29-422B-85B2-A8CDC035AF7D}">
  <sheetPr codeName="Sheet6"/>
  <dimension ref="B2:P13"/>
  <sheetViews>
    <sheetView workbookViewId="0">
      <selection activeCell="M4" sqref="M4"/>
    </sheetView>
  </sheetViews>
  <sheetFormatPr defaultRowHeight="15"/>
  <cols>
    <col min="1" max="1" width="3.7109375" customWidth="1"/>
    <col min="2" max="2" width="22" bestFit="1" customWidth="1"/>
    <col min="3" max="3" width="10.140625" bestFit="1" customWidth="1"/>
    <col min="4" max="4" width="11.42578125" bestFit="1" customWidth="1"/>
    <col min="5" max="5" width="6.5703125" bestFit="1" customWidth="1"/>
    <col min="6" max="6" width="5.7109375" bestFit="1" customWidth="1"/>
    <col min="7" max="7" width="10.140625" bestFit="1" customWidth="1"/>
    <col min="8" max="8" width="11.42578125" bestFit="1" customWidth="1"/>
    <col min="9" max="9" width="6.5703125" bestFit="1" customWidth="1"/>
    <col min="10" max="10" width="5.7109375" bestFit="1" customWidth="1"/>
    <col min="11" max="11" width="10.140625" bestFit="1" customWidth="1"/>
    <col min="12" max="12" width="13" customWidth="1"/>
    <col min="13" max="13" width="8.7109375" bestFit="1" customWidth="1"/>
    <col min="14" max="14" width="6.85546875" bestFit="1" customWidth="1"/>
    <col min="15" max="15" width="12.85546875" customWidth="1"/>
    <col min="16" max="16" width="13.7109375" bestFit="1" customWidth="1"/>
  </cols>
  <sheetData>
    <row r="2" spans="2:16">
      <c r="B2" s="87"/>
      <c r="C2" s="89" t="s">
        <v>341</v>
      </c>
      <c r="D2" s="88"/>
      <c r="E2" s="88"/>
      <c r="F2" s="88"/>
      <c r="G2" s="89" t="s">
        <v>429</v>
      </c>
      <c r="H2" s="88"/>
      <c r="I2" s="88"/>
      <c r="J2" s="88"/>
      <c r="K2" s="89" t="s">
        <v>77</v>
      </c>
      <c r="L2" s="88"/>
      <c r="M2" s="88"/>
      <c r="N2" s="88"/>
      <c r="O2" s="89" t="s">
        <v>78</v>
      </c>
      <c r="P2" s="90"/>
    </row>
    <row r="3" spans="2:16">
      <c r="B3" s="91" t="s">
        <v>79</v>
      </c>
      <c r="C3" s="170" t="s">
        <v>80</v>
      </c>
      <c r="D3" s="171" t="s">
        <v>81</v>
      </c>
      <c r="E3" s="171" t="s">
        <v>82</v>
      </c>
      <c r="F3" s="172" t="s">
        <v>83</v>
      </c>
      <c r="G3" s="170" t="s">
        <v>80</v>
      </c>
      <c r="H3" s="171" t="s">
        <v>81</v>
      </c>
      <c r="I3" s="171" t="s">
        <v>82</v>
      </c>
      <c r="J3" s="172" t="s">
        <v>83</v>
      </c>
      <c r="K3" s="170" t="s">
        <v>80</v>
      </c>
      <c r="L3" s="171" t="s">
        <v>81</v>
      </c>
      <c r="M3" s="171" t="s">
        <v>82</v>
      </c>
      <c r="N3" s="172" t="s">
        <v>83</v>
      </c>
      <c r="O3" s="171" t="s">
        <v>84</v>
      </c>
      <c r="P3" s="173" t="s">
        <v>279</v>
      </c>
    </row>
    <row r="4" spans="2:16">
      <c r="B4" s="102" t="e">
        <f>#REF!</f>
        <v>#REF!</v>
      </c>
      <c r="C4" s="95">
        <v>0.53480000000000005</v>
      </c>
      <c r="D4" s="96">
        <v>1079121.6077000001</v>
      </c>
      <c r="E4" s="97">
        <v>2.9349138139971483E-2</v>
      </c>
      <c r="F4" s="98">
        <v>0.41132581199533214</v>
      </c>
      <c r="G4" s="95">
        <f>'(New) Comm OSAR'!I16</f>
        <v>0.44819576328200045</v>
      </c>
      <c r="H4" s="96">
        <f>'(New) Comm OSAR'!I62</f>
        <v>919782.00508000015</v>
      </c>
      <c r="I4" s="97">
        <f>'(New) Comm OSAR'!I78</f>
        <v>2.1506099536749368E-2</v>
      </c>
      <c r="J4" s="98">
        <f>'(New) Comm OSAR'!I74</f>
        <v>0.36519118002622558</v>
      </c>
      <c r="K4" s="95">
        <f>IF(G4="","-",G4-C4)</f>
        <v>-8.6604236717999605E-2</v>
      </c>
      <c r="L4" s="96">
        <f>IF(H4="","-",H4-D4)</f>
        <v>-159339.6026199999</v>
      </c>
      <c r="M4" s="169">
        <f>IF(I4="","-",I4-E4)</f>
        <v>-7.8430386032221147E-3</v>
      </c>
      <c r="N4" s="98">
        <f>IF(J4="","-",J4-F4)</f>
        <v>-4.6134631969106554E-2</v>
      </c>
      <c r="O4" s="99" t="s">
        <v>228</v>
      </c>
      <c r="P4" s="100">
        <v>7.0000000000000007E-2</v>
      </c>
    </row>
    <row r="5" spans="2:16"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</row>
    <row r="6" spans="2:16">
      <c r="B6" s="93" t="s">
        <v>85</v>
      </c>
      <c r="C6" s="93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2:16">
      <c r="B7" s="94" t="s">
        <v>280</v>
      </c>
      <c r="C7" s="9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2:16">
      <c r="B8" s="94" t="s">
        <v>241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</row>
    <row r="9" spans="2:16">
      <c r="B9" s="94" t="s">
        <v>434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</row>
    <row r="10" spans="2:16">
      <c r="B10" s="94" t="s">
        <v>435</v>
      </c>
    </row>
    <row r="11" spans="2:16">
      <c r="B11" s="94"/>
    </row>
    <row r="12" spans="2:16">
      <c r="B12" s="94"/>
    </row>
    <row r="13" spans="2:16">
      <c r="B13" s="94"/>
    </row>
  </sheetData>
  <conditionalFormatting sqref="B8:B13">
    <cfRule type="expression" dxfId="2" priority="1">
      <formula>$A$1</formula>
    </cfRule>
  </conditionalFormatting>
  <conditionalFormatting sqref="B4:P9">
    <cfRule type="expression" dxfId="1" priority="3">
      <formula>$A$1</formula>
    </cfRule>
  </conditionalFormatting>
  <dataValidations count="1">
    <dataValidation type="list" allowBlank="1" showInputMessage="1" showErrorMessage="1" sqref="O4" xr:uid="{FF919113-E4C3-4C36-8D96-D7D894810591}">
      <formula1>"Yes, 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F22A-D8B8-41BE-8C5E-850F2917B2C2}">
  <sheetPr codeName="Sheet5"/>
  <dimension ref="B2:D27"/>
  <sheetViews>
    <sheetView workbookViewId="0">
      <selection activeCell="B18" sqref="B18"/>
    </sheetView>
  </sheetViews>
  <sheetFormatPr defaultColWidth="9.140625" defaultRowHeight="12.75"/>
  <cols>
    <col min="1" max="1" width="4.140625" style="103" customWidth="1"/>
    <col min="2" max="2" width="31.85546875" style="103" customWidth="1"/>
    <col min="3" max="3" width="25.140625" style="103" customWidth="1"/>
    <col min="4" max="4" width="14.85546875" style="103" bestFit="1" customWidth="1"/>
    <col min="5" max="16384" width="9.140625" style="103"/>
  </cols>
  <sheetData>
    <row r="2" spans="2:4">
      <c r="B2" s="103" t="s">
        <v>91</v>
      </c>
      <c r="C2" s="104">
        <v>4.4999999999999998E-2</v>
      </c>
      <c r="D2" s="105" t="str">
        <f>IF(C2=C3,"At-the-Money",IF(C2&lt;C3,"In-the-Money",IF(C2&gt;C3,"Out-of-the-Money")))</f>
        <v>Out-of-the-Money</v>
      </c>
    </row>
    <row r="3" spans="2:4">
      <c r="B3" s="106" t="s">
        <v>89</v>
      </c>
      <c r="C3" s="104">
        <v>3.6799999999999999E-2</v>
      </c>
      <c r="D3" s="168">
        <v>46112</v>
      </c>
    </row>
    <row r="4" spans="2:4">
      <c r="B4" s="103" t="s">
        <v>90</v>
      </c>
      <c r="C4" s="104">
        <v>2.5999999999999999E-2</v>
      </c>
      <c r="D4" s="61"/>
    </row>
    <row r="5" spans="2:4">
      <c r="B5" s="107" t="s">
        <v>92</v>
      </c>
      <c r="C5" s="108">
        <f>SUM(MIN(C3,C2),C4)</f>
        <v>6.2799999999999995E-2</v>
      </c>
      <c r="D5" s="61"/>
    </row>
    <row r="7" spans="2:4">
      <c r="B7" s="109" t="s">
        <v>93</v>
      </c>
      <c r="C7" s="316">
        <f>'(New) Comm OSAR'!E6</f>
        <v>42768425</v>
      </c>
    </row>
    <row r="8" spans="2:4">
      <c r="B8" s="110"/>
      <c r="C8" s="111"/>
    </row>
    <row r="9" spans="2:4" ht="15">
      <c r="B9" s="132" t="s">
        <v>81</v>
      </c>
      <c r="C9" s="133">
        <f>'(New) Comm OSAR'!I54</f>
        <v>994474.25508000015</v>
      </c>
    </row>
    <row r="10" spans="2:4" ht="15">
      <c r="B10" s="132" t="s">
        <v>94</v>
      </c>
      <c r="C10" s="133">
        <f>$C$7*($C$3+$C$4)*(365/360)</f>
        <v>2723160.6606944441</v>
      </c>
    </row>
    <row r="11" spans="2:4">
      <c r="B11" s="134" t="s">
        <v>95</v>
      </c>
      <c r="C11" s="135">
        <f>$C$7*$C$5*(365/360)</f>
        <v>2723160.6606944441</v>
      </c>
    </row>
    <row r="12" spans="2:4" ht="15">
      <c r="B12"/>
      <c r="C12"/>
    </row>
    <row r="13" spans="2:4" ht="15">
      <c r="B13" s="132" t="s">
        <v>96</v>
      </c>
      <c r="C13" s="136">
        <f>C9/C10</f>
        <v>0.36519118002622558</v>
      </c>
      <c r="D13" s="112"/>
    </row>
    <row r="14" spans="2:4" ht="15">
      <c r="B14" s="134" t="s">
        <v>97</v>
      </c>
      <c r="C14" s="137">
        <f>C9/C11</f>
        <v>0.36519118002622558</v>
      </c>
      <c r="D14" s="112"/>
    </row>
    <row r="16" spans="2:4">
      <c r="B16" s="151" t="s">
        <v>82</v>
      </c>
      <c r="C16" s="152">
        <f>C9/$C$7</f>
        <v>2.3252533968225395E-2</v>
      </c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</sheetData>
  <conditionalFormatting sqref="D2">
    <cfRule type="expression" dxfId="0" priority="1" stopIfTrue="1">
      <formula>$A$1=1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D415-09C3-4A28-B3F5-378411059823}">
  <sheetPr codeName="Sheet4"/>
  <dimension ref="A1:B7"/>
  <sheetViews>
    <sheetView workbookViewId="0">
      <selection activeCell="B7" sqref="B7"/>
    </sheetView>
  </sheetViews>
  <sheetFormatPr defaultRowHeight="15"/>
  <cols>
    <col min="1" max="1" width="20.7109375" customWidth="1"/>
    <col min="2" max="2" width="12.5703125" customWidth="1"/>
  </cols>
  <sheetData>
    <row r="1" spans="1:2">
      <c r="A1" s="140" t="s">
        <v>239</v>
      </c>
      <c r="B1" t="s">
        <v>428</v>
      </c>
    </row>
    <row r="2" spans="1:2">
      <c r="B2" s="143">
        <v>2025</v>
      </c>
    </row>
    <row r="3" spans="1:2">
      <c r="A3" s="128" t="s">
        <v>210</v>
      </c>
      <c r="B3" s="139">
        <v>84403.89</v>
      </c>
    </row>
    <row r="4" spans="1:2">
      <c r="A4" s="128" t="s">
        <v>211</v>
      </c>
      <c r="B4" s="139">
        <v>161851.51</v>
      </c>
    </row>
    <row r="5" spans="1:2">
      <c r="A5" s="128" t="s">
        <v>212</v>
      </c>
      <c r="B5" s="139">
        <v>206440.85</v>
      </c>
    </row>
    <row r="7" spans="1:2">
      <c r="A7" s="141" t="s">
        <v>153</v>
      </c>
      <c r="B7" s="142">
        <f>SUM(B3:B5)</f>
        <v>452696.25</v>
      </c>
    </row>
  </sheetData>
  <hyperlinks>
    <hyperlink ref="A1" r:id="rId1" display="https://county-taxes.net/fl-miamidade/fl-miamidade/property-tax" xr:uid="{4EC07DDE-807E-4CF0-AE19-39271C997981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66F9-B618-47AA-928A-8A524EBF8927}">
  <dimension ref="O2:O4"/>
  <sheetViews>
    <sheetView workbookViewId="0">
      <selection activeCell="O3" sqref="O3"/>
    </sheetView>
  </sheetViews>
  <sheetFormatPr defaultRowHeight="15"/>
  <cols>
    <col min="15" max="15" width="14.5703125" bestFit="1" customWidth="1"/>
  </cols>
  <sheetData>
    <row r="2" spans="15:15" ht="15.75" thickBot="1"/>
    <row r="3" spans="15:15">
      <c r="O3" s="323" t="s">
        <v>437</v>
      </c>
    </row>
    <row r="4" spans="15:15" ht="15.75" thickBot="1">
      <c r="O4" s="324">
        <v>112826.12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E4A6-6A55-4428-8B45-9633892F3F91}">
  <dimension ref="A1:O127"/>
  <sheetViews>
    <sheetView workbookViewId="0"/>
  </sheetViews>
  <sheetFormatPr defaultRowHeight="15"/>
  <cols>
    <col min="2" max="2" width="24.42578125" bestFit="1" customWidth="1"/>
  </cols>
  <sheetData>
    <row r="1" spans="1:15">
      <c r="A1" s="289" t="s">
        <v>98</v>
      </c>
      <c r="B1" s="289" t="s">
        <v>99</v>
      </c>
      <c r="C1" s="290" t="s">
        <v>250</v>
      </c>
      <c r="N1" s="289" t="s">
        <v>336</v>
      </c>
      <c r="O1" s="289" t="s">
        <v>337</v>
      </c>
    </row>
    <row r="2" spans="1:15">
      <c r="A2" s="289" t="s">
        <v>365</v>
      </c>
      <c r="B2" s="289" t="s">
        <v>366</v>
      </c>
      <c r="C2" s="290" t="s">
        <v>150</v>
      </c>
      <c r="N2" s="289" t="s">
        <v>338</v>
      </c>
      <c r="O2" s="291">
        <v>46162.707245370402</v>
      </c>
    </row>
    <row r="3" spans="1:15">
      <c r="C3" s="292" t="s">
        <v>367</v>
      </c>
      <c r="D3" s="292"/>
      <c r="E3" s="293"/>
      <c r="N3" s="289" t="s">
        <v>339</v>
      </c>
      <c r="O3" s="294">
        <v>46162.707245370402</v>
      </c>
    </row>
    <row r="4" spans="1:15">
      <c r="C4" s="292" t="s">
        <v>368</v>
      </c>
      <c r="D4" s="292"/>
      <c r="E4" s="293"/>
    </row>
    <row r="5" spans="1:15">
      <c r="A5" s="289" t="s">
        <v>152</v>
      </c>
    </row>
    <row r="8" spans="1:15">
      <c r="C8" s="295" t="s">
        <v>263</v>
      </c>
      <c r="D8" s="295" t="s">
        <v>264</v>
      </c>
      <c r="E8" s="295" t="s">
        <v>265</v>
      </c>
      <c r="F8" s="295" t="s">
        <v>369</v>
      </c>
      <c r="G8" s="295" t="s">
        <v>370</v>
      </c>
      <c r="H8" s="295" t="s">
        <v>371</v>
      </c>
      <c r="I8" s="295" t="s">
        <v>372</v>
      </c>
      <c r="J8" s="295" t="s">
        <v>373</v>
      </c>
      <c r="K8" s="295" t="s">
        <v>374</v>
      </c>
      <c r="L8" s="295" t="s">
        <v>375</v>
      </c>
      <c r="M8" s="295" t="s">
        <v>376</v>
      </c>
      <c r="N8" s="295" t="s">
        <v>377</v>
      </c>
      <c r="O8" s="296" t="s">
        <v>153</v>
      </c>
    </row>
    <row r="9" spans="1:15">
      <c r="A9" s="289" t="s">
        <v>284</v>
      </c>
    </row>
    <row r="11" spans="1:15">
      <c r="A11" s="289" t="s">
        <v>155</v>
      </c>
    </row>
    <row r="13" spans="1:15">
      <c r="A13" s="289" t="s">
        <v>285</v>
      </c>
      <c r="B13" s="289" t="s">
        <v>156</v>
      </c>
      <c r="C13" s="297">
        <v>132240.35</v>
      </c>
      <c r="D13" s="297">
        <v>133826.03</v>
      </c>
      <c r="E13" s="297">
        <v>133826.03</v>
      </c>
      <c r="F13" s="297">
        <v>133826.03</v>
      </c>
      <c r="G13" s="297">
        <v>133826.03</v>
      </c>
      <c r="H13" s="297">
        <v>133826.03</v>
      </c>
      <c r="I13" s="297">
        <v>133826.03</v>
      </c>
      <c r="J13" s="297">
        <v>133826.03</v>
      </c>
      <c r="K13" s="297">
        <v>133826.03</v>
      </c>
      <c r="L13" s="297">
        <v>133826.03</v>
      </c>
      <c r="M13" s="297">
        <v>133826.03</v>
      </c>
      <c r="N13" s="297">
        <v>133826.03</v>
      </c>
      <c r="O13" s="297">
        <v>1604326.68</v>
      </c>
    </row>
    <row r="14" spans="1:15">
      <c r="A14" s="289" t="s">
        <v>289</v>
      </c>
      <c r="B14" s="289" t="s">
        <v>159</v>
      </c>
      <c r="C14" s="297">
        <v>11494</v>
      </c>
      <c r="D14" s="297">
        <v>-130205</v>
      </c>
      <c r="E14" s="297">
        <v>11494</v>
      </c>
      <c r="F14" s="297">
        <v>11494</v>
      </c>
      <c r="G14" s="297">
        <v>54224.58</v>
      </c>
      <c r="H14" s="297">
        <v>11494</v>
      </c>
      <c r="I14" s="297">
        <v>11494</v>
      </c>
      <c r="J14" s="297">
        <v>36494</v>
      </c>
      <c r="K14" s="297">
        <v>11494</v>
      </c>
      <c r="L14" s="297">
        <v>3414</v>
      </c>
      <c r="M14" s="297">
        <v>3414</v>
      </c>
      <c r="N14" s="297">
        <v>3414</v>
      </c>
      <c r="O14" s="297">
        <v>39719.58</v>
      </c>
    </row>
    <row r="15" spans="1:15">
      <c r="A15" s="289" t="s">
        <v>290</v>
      </c>
      <c r="B15" s="289" t="s">
        <v>160</v>
      </c>
      <c r="C15" s="297">
        <v>24390</v>
      </c>
      <c r="D15" s="297">
        <v>21093</v>
      </c>
      <c r="E15" s="297">
        <v>24390</v>
      </c>
      <c r="F15" s="297">
        <v>24390</v>
      </c>
      <c r="G15" s="297">
        <v>24390</v>
      </c>
      <c r="H15" s="297">
        <v>24390</v>
      </c>
      <c r="I15" s="297">
        <v>24390</v>
      </c>
      <c r="J15" s="297">
        <v>24390</v>
      </c>
      <c r="K15" s="297">
        <v>24390</v>
      </c>
      <c r="L15" s="297">
        <v>21006</v>
      </c>
      <c r="M15" s="297">
        <v>21006</v>
      </c>
      <c r="N15" s="297">
        <v>21006</v>
      </c>
      <c r="O15" s="297">
        <v>279231</v>
      </c>
    </row>
    <row r="16" spans="1:15">
      <c r="A16" s="289" t="s">
        <v>291</v>
      </c>
      <c r="B16" s="289" t="s">
        <v>161</v>
      </c>
      <c r="C16" s="298">
        <v>2986</v>
      </c>
      <c r="D16" s="298">
        <v>-10326</v>
      </c>
      <c r="E16" s="298">
        <v>-39744.58</v>
      </c>
      <c r="F16" s="298">
        <v>2986</v>
      </c>
      <c r="G16" s="298">
        <v>2986</v>
      </c>
      <c r="H16" s="298">
        <v>2986</v>
      </c>
      <c r="I16" s="298">
        <v>2986</v>
      </c>
      <c r="J16" s="298">
        <v>2986</v>
      </c>
      <c r="K16" s="298">
        <v>2986</v>
      </c>
      <c r="L16" s="298">
        <v>2986</v>
      </c>
      <c r="M16" s="298">
        <v>2986</v>
      </c>
      <c r="N16" s="298">
        <v>2986</v>
      </c>
      <c r="O16" s="298">
        <v>-20210.580000000002</v>
      </c>
    </row>
    <row r="17" spans="1:15">
      <c r="A17" s="289" t="s">
        <v>157</v>
      </c>
      <c r="C17" s="297">
        <v>171110.35</v>
      </c>
      <c r="D17" s="297">
        <v>14388.03</v>
      </c>
      <c r="E17" s="297">
        <v>129965.45</v>
      </c>
      <c r="F17" s="297">
        <v>172696.03</v>
      </c>
      <c r="G17" s="297">
        <v>215426.61</v>
      </c>
      <c r="H17" s="297">
        <v>172696.03</v>
      </c>
      <c r="I17" s="297">
        <v>172696.03</v>
      </c>
      <c r="J17" s="297">
        <v>197696.03</v>
      </c>
      <c r="K17" s="297">
        <v>172696.03</v>
      </c>
      <c r="L17" s="297">
        <v>161232.03</v>
      </c>
      <c r="M17" s="297">
        <v>161232.03</v>
      </c>
      <c r="N17" s="297">
        <v>161232.03</v>
      </c>
      <c r="O17" s="297">
        <v>1903066.68</v>
      </c>
    </row>
    <row r="19" spans="1:15">
      <c r="A19" s="289" t="s">
        <v>158</v>
      </c>
    </row>
    <row r="20" spans="1:15"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>
      <c r="A21" s="289" t="s">
        <v>162</v>
      </c>
      <c r="C21" s="297">
        <v>0</v>
      </c>
      <c r="D21" s="297">
        <v>0</v>
      </c>
      <c r="E21" s="297">
        <v>0</v>
      </c>
      <c r="F21" s="297">
        <v>0</v>
      </c>
      <c r="G21" s="297">
        <v>0</v>
      </c>
      <c r="H21" s="297">
        <v>0</v>
      </c>
      <c r="I21" s="297">
        <v>0</v>
      </c>
      <c r="J21" s="297">
        <v>0</v>
      </c>
      <c r="K21" s="297">
        <v>0</v>
      </c>
      <c r="L21" s="297">
        <v>0</v>
      </c>
      <c r="M21" s="297">
        <v>0</v>
      </c>
      <c r="N21" s="297">
        <v>0</v>
      </c>
      <c r="O21" s="297">
        <v>0</v>
      </c>
    </row>
    <row r="22" spans="1:15"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>
      <c r="A23" s="289" t="s">
        <v>378</v>
      </c>
      <c r="C23" s="297">
        <v>171110.35</v>
      </c>
      <c r="D23" s="297">
        <v>14388.03</v>
      </c>
      <c r="E23" s="297">
        <v>129965.45</v>
      </c>
      <c r="F23" s="297">
        <v>172696.03</v>
      </c>
      <c r="G23" s="297">
        <v>215426.61</v>
      </c>
      <c r="H23" s="297">
        <v>172696.03</v>
      </c>
      <c r="I23" s="297">
        <v>172696.03</v>
      </c>
      <c r="J23" s="297">
        <v>197696.03</v>
      </c>
      <c r="K23" s="297">
        <v>172696.03</v>
      </c>
      <c r="L23" s="297">
        <v>161232.03</v>
      </c>
      <c r="M23" s="297">
        <v>161232.03</v>
      </c>
      <c r="N23" s="297">
        <v>161232.03</v>
      </c>
      <c r="O23" s="297">
        <v>1903066.68</v>
      </c>
    </row>
    <row r="25" spans="1:15">
      <c r="A25" s="289" t="s">
        <v>297</v>
      </c>
    </row>
    <row r="27" spans="1:15">
      <c r="A27" s="289" t="s">
        <v>165</v>
      </c>
    </row>
    <row r="29" spans="1:15">
      <c r="A29" s="289" t="s">
        <v>166</v>
      </c>
    </row>
    <row r="31" spans="1:15">
      <c r="A31" s="289" t="s">
        <v>298</v>
      </c>
      <c r="B31" s="289" t="s">
        <v>167</v>
      </c>
      <c r="C31" s="297">
        <v>48858.75</v>
      </c>
      <c r="D31" s="297">
        <v>48858.75</v>
      </c>
      <c r="E31" s="297">
        <v>48858.75</v>
      </c>
      <c r="F31" s="297">
        <v>48858.75</v>
      </c>
      <c r="G31" s="297">
        <v>48858.75</v>
      </c>
      <c r="H31" s="297">
        <v>48858.75</v>
      </c>
      <c r="I31" s="297">
        <v>11578.75</v>
      </c>
      <c r="J31" s="297">
        <v>11578.75</v>
      </c>
      <c r="K31" s="297">
        <v>11578.75</v>
      </c>
      <c r="L31" s="297">
        <v>18487.240000000002</v>
      </c>
      <c r="M31" s="297">
        <v>18487.240000000002</v>
      </c>
      <c r="N31" s="297">
        <v>18487.240000000002</v>
      </c>
      <c r="O31" s="297">
        <v>383350.47</v>
      </c>
    </row>
    <row r="32" spans="1:15">
      <c r="A32" s="289" t="s">
        <v>299</v>
      </c>
      <c r="B32" s="289" t="s">
        <v>168</v>
      </c>
      <c r="C32" s="298">
        <v>751.41</v>
      </c>
      <c r="D32" s="298">
        <v>665.67</v>
      </c>
      <c r="E32" s="298">
        <v>9724.02</v>
      </c>
      <c r="F32" s="298">
        <v>19334.78</v>
      </c>
      <c r="G32" s="298">
        <v>19332.7</v>
      </c>
      <c r="H32" s="298">
        <v>9666.34</v>
      </c>
      <c r="I32" s="298">
        <v>85858.58</v>
      </c>
      <c r="J32" s="298">
        <v>9666.35</v>
      </c>
      <c r="K32" s="298">
        <v>9666.35</v>
      </c>
      <c r="L32" s="298">
        <v>9652.02</v>
      </c>
      <c r="M32" s="298">
        <v>9666.35</v>
      </c>
      <c r="N32" s="298">
        <v>10058.379999999999</v>
      </c>
      <c r="O32" s="298">
        <v>194042.95</v>
      </c>
    </row>
    <row r="33" spans="1:15">
      <c r="A33" s="289" t="s">
        <v>169</v>
      </c>
      <c r="C33" s="297">
        <v>49610.16</v>
      </c>
      <c r="D33" s="297">
        <v>49524.42</v>
      </c>
      <c r="E33" s="297">
        <v>58582.77</v>
      </c>
      <c r="F33" s="297">
        <v>68193.53</v>
      </c>
      <c r="G33" s="297">
        <v>68191.45</v>
      </c>
      <c r="H33" s="297">
        <v>58525.09</v>
      </c>
      <c r="I33" s="297">
        <v>97437.33</v>
      </c>
      <c r="J33" s="297">
        <v>21245.1</v>
      </c>
      <c r="K33" s="297">
        <v>21245.1</v>
      </c>
      <c r="L33" s="297">
        <v>28139.26</v>
      </c>
      <c r="M33" s="297">
        <v>28153.59</v>
      </c>
      <c r="N33" s="297">
        <v>28545.62</v>
      </c>
      <c r="O33" s="297">
        <v>577393.42000000004</v>
      </c>
    </row>
    <row r="35" spans="1:15">
      <c r="A35" s="289" t="s">
        <v>170</v>
      </c>
    </row>
    <row r="37" spans="1:15">
      <c r="A37" s="289" t="s">
        <v>300</v>
      </c>
      <c r="B37" s="289" t="s">
        <v>171</v>
      </c>
      <c r="C37" s="297">
        <v>625</v>
      </c>
      <c r="D37" s="297">
        <v>625</v>
      </c>
      <c r="E37" s="297">
        <v>625</v>
      </c>
      <c r="F37" s="297">
        <v>625</v>
      </c>
      <c r="G37" s="297">
        <v>625</v>
      </c>
      <c r="H37" s="297">
        <v>625</v>
      </c>
      <c r="I37" s="297">
        <v>625</v>
      </c>
      <c r="J37" s="297">
        <v>625</v>
      </c>
      <c r="K37" s="297">
        <v>0</v>
      </c>
      <c r="L37" s="297">
        <v>0</v>
      </c>
      <c r="M37" s="297">
        <v>0</v>
      </c>
      <c r="N37" s="297">
        <v>0</v>
      </c>
      <c r="O37" s="297">
        <v>5000</v>
      </c>
    </row>
    <row r="38" spans="1:15">
      <c r="A38" s="289" t="s">
        <v>301</v>
      </c>
      <c r="B38" s="289" t="s">
        <v>302</v>
      </c>
      <c r="C38" s="297">
        <v>0</v>
      </c>
      <c r="D38" s="297">
        <v>0</v>
      </c>
      <c r="E38" s="297">
        <v>0</v>
      </c>
      <c r="F38" s="297">
        <v>0</v>
      </c>
      <c r="G38" s="297">
        <v>417.55</v>
      </c>
      <c r="H38" s="297">
        <v>0</v>
      </c>
      <c r="I38" s="297">
        <v>0</v>
      </c>
      <c r="J38" s="297">
        <v>0</v>
      </c>
      <c r="K38" s="297">
        <v>0</v>
      </c>
      <c r="L38" s="297">
        <v>0</v>
      </c>
      <c r="M38" s="297">
        <v>0</v>
      </c>
      <c r="N38" s="297">
        <v>0</v>
      </c>
      <c r="O38" s="297">
        <v>417.55</v>
      </c>
    </row>
    <row r="39" spans="1:15">
      <c r="A39" s="289" t="s">
        <v>303</v>
      </c>
      <c r="B39" s="289" t="s">
        <v>172</v>
      </c>
      <c r="C39" s="297">
        <v>440.65</v>
      </c>
      <c r="D39" s="297">
        <v>196.52</v>
      </c>
      <c r="E39" s="297">
        <v>0</v>
      </c>
      <c r="F39" s="297">
        <v>0</v>
      </c>
      <c r="G39" s="297">
        <v>786.1</v>
      </c>
      <c r="H39" s="297">
        <v>196.52</v>
      </c>
      <c r="I39" s="297">
        <v>3688.42</v>
      </c>
      <c r="J39" s="297">
        <v>196.53</v>
      </c>
      <c r="K39" s="297">
        <v>1494.5</v>
      </c>
      <c r="L39" s="297">
        <v>943.07</v>
      </c>
      <c r="M39" s="297">
        <v>0</v>
      </c>
      <c r="N39" s="297">
        <v>0</v>
      </c>
      <c r="O39" s="297">
        <v>7942.31</v>
      </c>
    </row>
    <row r="40" spans="1:15">
      <c r="A40" s="289" t="s">
        <v>304</v>
      </c>
      <c r="B40" s="289" t="s">
        <v>173</v>
      </c>
      <c r="C40" s="297">
        <v>0</v>
      </c>
      <c r="D40" s="297">
        <v>0</v>
      </c>
      <c r="E40" s="297">
        <v>0</v>
      </c>
      <c r="F40" s="297">
        <v>0</v>
      </c>
      <c r="G40" s="297">
        <v>45.68</v>
      </c>
      <c r="H40" s="297">
        <v>112.97</v>
      </c>
      <c r="I40" s="297">
        <v>0</v>
      </c>
      <c r="J40" s="297">
        <v>28.29</v>
      </c>
      <c r="K40" s="297">
        <v>0</v>
      </c>
      <c r="L40" s="297">
        <v>0</v>
      </c>
      <c r="M40" s="297">
        <v>0</v>
      </c>
      <c r="N40" s="297">
        <v>0</v>
      </c>
      <c r="O40" s="297">
        <v>186.94</v>
      </c>
    </row>
    <row r="41" spans="1:15">
      <c r="A41" s="289" t="s">
        <v>305</v>
      </c>
      <c r="B41" s="289" t="s">
        <v>226</v>
      </c>
      <c r="C41" s="297">
        <v>0</v>
      </c>
      <c r="D41" s="297">
        <v>0</v>
      </c>
      <c r="E41" s="297">
        <v>0</v>
      </c>
      <c r="F41" s="297">
        <v>0</v>
      </c>
      <c r="G41" s="297">
        <v>0</v>
      </c>
      <c r="H41" s="297">
        <v>0</v>
      </c>
      <c r="I41" s="297">
        <v>0</v>
      </c>
      <c r="J41" s="297">
        <v>0</v>
      </c>
      <c r="K41" s="297">
        <v>1494.5</v>
      </c>
      <c r="L41" s="297">
        <v>0</v>
      </c>
      <c r="M41" s="297">
        <v>0</v>
      </c>
      <c r="N41" s="297">
        <v>0</v>
      </c>
      <c r="O41" s="297">
        <v>1494.5</v>
      </c>
    </row>
    <row r="42" spans="1:15">
      <c r="A42" s="289" t="s">
        <v>306</v>
      </c>
      <c r="B42" s="289" t="s">
        <v>232</v>
      </c>
      <c r="C42" s="298">
        <v>0</v>
      </c>
      <c r="D42" s="298">
        <v>0</v>
      </c>
      <c r="E42" s="298">
        <v>9.73</v>
      </c>
      <c r="F42" s="298">
        <v>0</v>
      </c>
      <c r="G42" s="298">
        <v>2.88</v>
      </c>
      <c r="H42" s="298">
        <v>0</v>
      </c>
      <c r="I42" s="298">
        <v>0</v>
      </c>
      <c r="J42" s="298">
        <v>0</v>
      </c>
      <c r="K42" s="298">
        <v>0</v>
      </c>
      <c r="L42" s="298">
        <v>0</v>
      </c>
      <c r="M42" s="298">
        <v>0</v>
      </c>
      <c r="N42" s="298">
        <v>0</v>
      </c>
      <c r="O42" s="298">
        <v>12.61</v>
      </c>
    </row>
    <row r="43" spans="1:15">
      <c r="A43" s="289" t="s">
        <v>174</v>
      </c>
      <c r="C43" s="297">
        <v>1065.6500000000001</v>
      </c>
      <c r="D43" s="297">
        <v>821.52</v>
      </c>
      <c r="E43" s="297">
        <v>634.73</v>
      </c>
      <c r="F43" s="297">
        <v>625</v>
      </c>
      <c r="G43" s="297">
        <v>1877.21</v>
      </c>
      <c r="H43" s="297">
        <v>934.49</v>
      </c>
      <c r="I43" s="297">
        <v>4313.42</v>
      </c>
      <c r="J43" s="297">
        <v>849.82</v>
      </c>
      <c r="K43" s="297">
        <v>2989</v>
      </c>
      <c r="L43" s="297">
        <v>943.07</v>
      </c>
      <c r="M43" s="297">
        <v>0</v>
      </c>
      <c r="N43" s="297">
        <v>0</v>
      </c>
      <c r="O43" s="297">
        <v>15053.91</v>
      </c>
    </row>
    <row r="45" spans="1:15">
      <c r="A45" s="289" t="s">
        <v>175</v>
      </c>
    </row>
    <row r="47" spans="1:15">
      <c r="A47" s="289" t="s">
        <v>307</v>
      </c>
      <c r="B47" s="289" t="s">
        <v>175</v>
      </c>
      <c r="C47" s="297">
        <v>105</v>
      </c>
      <c r="D47" s="297">
        <v>0</v>
      </c>
      <c r="E47" s="297">
        <v>0</v>
      </c>
      <c r="F47" s="297">
        <v>0</v>
      </c>
      <c r="G47" s="297">
        <v>5500</v>
      </c>
      <c r="H47" s="297">
        <v>0</v>
      </c>
      <c r="I47" s="297">
        <v>0</v>
      </c>
      <c r="J47" s="297">
        <v>105</v>
      </c>
      <c r="K47" s="297">
        <v>1800</v>
      </c>
      <c r="L47" s="297">
        <v>3950</v>
      </c>
      <c r="M47" s="297">
        <v>5000</v>
      </c>
      <c r="N47" s="297">
        <v>0</v>
      </c>
      <c r="O47" s="297">
        <v>16460</v>
      </c>
    </row>
    <row r="48" spans="1:15">
      <c r="A48" s="289" t="s">
        <v>308</v>
      </c>
      <c r="B48" s="289" t="s">
        <v>214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2732.5</v>
      </c>
      <c r="I48" s="297">
        <v>0</v>
      </c>
      <c r="J48" s="297">
        <v>0</v>
      </c>
      <c r="K48" s="297">
        <v>174</v>
      </c>
      <c r="L48" s="297">
        <v>0</v>
      </c>
      <c r="M48" s="297">
        <v>0</v>
      </c>
      <c r="N48" s="297">
        <v>93420</v>
      </c>
      <c r="O48" s="297">
        <v>96326.5</v>
      </c>
    </row>
    <row r="49" spans="1:15">
      <c r="A49" s="289" t="s">
        <v>309</v>
      </c>
      <c r="B49" s="289" t="s">
        <v>176</v>
      </c>
      <c r="C49" s="298">
        <v>0</v>
      </c>
      <c r="D49" s="298">
        <v>0</v>
      </c>
      <c r="E49" s="298">
        <v>7001.93</v>
      </c>
      <c r="F49" s="298">
        <v>0</v>
      </c>
      <c r="G49" s="298">
        <v>0</v>
      </c>
      <c r="H49" s="298">
        <v>0</v>
      </c>
      <c r="I49" s="298">
        <v>0</v>
      </c>
      <c r="J49" s="298">
        <v>0</v>
      </c>
      <c r="K49" s="298">
        <v>0</v>
      </c>
      <c r="L49" s="298">
        <v>0</v>
      </c>
      <c r="M49" s="298">
        <v>10384.540000000001</v>
      </c>
      <c r="N49" s="298">
        <v>0</v>
      </c>
      <c r="O49" s="298">
        <v>17386.47</v>
      </c>
    </row>
    <row r="50" spans="1:15">
      <c r="A50" s="289" t="s">
        <v>177</v>
      </c>
      <c r="C50" s="297">
        <v>105</v>
      </c>
      <c r="D50" s="297">
        <v>0</v>
      </c>
      <c r="E50" s="297">
        <v>7001.93</v>
      </c>
      <c r="F50" s="297">
        <v>0</v>
      </c>
      <c r="G50" s="297">
        <v>5500</v>
      </c>
      <c r="H50" s="297">
        <v>2732.5</v>
      </c>
      <c r="I50" s="297">
        <v>0</v>
      </c>
      <c r="J50" s="297">
        <v>105</v>
      </c>
      <c r="K50" s="297">
        <v>1974</v>
      </c>
      <c r="L50" s="297">
        <v>3950</v>
      </c>
      <c r="M50" s="297">
        <v>15384.54</v>
      </c>
      <c r="N50" s="297">
        <v>93420</v>
      </c>
      <c r="O50" s="297">
        <v>130172.97</v>
      </c>
    </row>
    <row r="52" spans="1:15">
      <c r="A52" s="289" t="s">
        <v>178</v>
      </c>
    </row>
    <row r="54" spans="1:15">
      <c r="A54" s="289" t="s">
        <v>310</v>
      </c>
      <c r="B54" s="289" t="s">
        <v>179</v>
      </c>
      <c r="C54" s="297">
        <v>0</v>
      </c>
      <c r="D54" s="297">
        <v>3053.81</v>
      </c>
      <c r="E54" s="297">
        <v>1589.06</v>
      </c>
      <c r="F54" s="297">
        <v>1492.63</v>
      </c>
      <c r="G54" s="297">
        <v>781.01</v>
      </c>
      <c r="H54" s="297">
        <v>604.70000000000005</v>
      </c>
      <c r="I54" s="297">
        <v>1392.11</v>
      </c>
      <c r="J54" s="297">
        <v>549.91999999999996</v>
      </c>
      <c r="K54" s="297">
        <v>1668.63</v>
      </c>
      <c r="L54" s="297">
        <v>1400</v>
      </c>
      <c r="M54" s="297">
        <v>1565.39</v>
      </c>
      <c r="N54" s="297">
        <v>1982.65</v>
      </c>
      <c r="O54" s="297">
        <v>16079.91</v>
      </c>
    </row>
    <row r="55" spans="1:15">
      <c r="A55" s="289" t="s">
        <v>311</v>
      </c>
      <c r="B55" s="289" t="s">
        <v>180</v>
      </c>
      <c r="C55" s="297">
        <v>0</v>
      </c>
      <c r="D55" s="297">
        <v>8240.84</v>
      </c>
      <c r="E55" s="297">
        <v>0</v>
      </c>
      <c r="F55" s="297">
        <v>-3268.32</v>
      </c>
      <c r="G55" s="297">
        <v>0</v>
      </c>
      <c r="H55" s="297">
        <v>8874.0499999999993</v>
      </c>
      <c r="I55" s="297">
        <v>0</v>
      </c>
      <c r="J55" s="297">
        <v>3486.56</v>
      </c>
      <c r="K55" s="297">
        <v>0</v>
      </c>
      <c r="L55" s="297">
        <v>0</v>
      </c>
      <c r="M55" s="297">
        <v>2599.38</v>
      </c>
      <c r="N55" s="297">
        <v>-451.23</v>
      </c>
      <c r="O55" s="297">
        <v>19481.28</v>
      </c>
    </row>
    <row r="56" spans="1:15">
      <c r="A56" s="289" t="s">
        <v>379</v>
      </c>
      <c r="B56" s="289" t="s">
        <v>380</v>
      </c>
      <c r="C56" s="297">
        <v>0</v>
      </c>
      <c r="D56" s="297">
        <v>0</v>
      </c>
      <c r="E56" s="297">
        <v>0</v>
      </c>
      <c r="F56" s="297">
        <v>0</v>
      </c>
      <c r="G56" s="297">
        <v>0</v>
      </c>
      <c r="H56" s="297">
        <v>0</v>
      </c>
      <c r="I56" s="297">
        <v>0</v>
      </c>
      <c r="J56" s="297">
        <v>0</v>
      </c>
      <c r="K56" s="297">
        <v>0</v>
      </c>
      <c r="L56" s="297">
        <v>0</v>
      </c>
      <c r="M56" s="297">
        <v>83</v>
      </c>
      <c r="N56" s="297">
        <v>0</v>
      </c>
      <c r="O56" s="297">
        <v>83</v>
      </c>
    </row>
    <row r="57" spans="1:15">
      <c r="A57" s="289" t="s">
        <v>312</v>
      </c>
      <c r="B57" s="289" t="s">
        <v>215</v>
      </c>
      <c r="C57" s="297">
        <v>0</v>
      </c>
      <c r="D57" s="297">
        <v>3459.36</v>
      </c>
      <c r="E57" s="297">
        <v>1729.68</v>
      </c>
      <c r="F57" s="297">
        <v>1729.68</v>
      </c>
      <c r="G57" s="297">
        <v>1729.68</v>
      </c>
      <c r="H57" s="297">
        <v>1729.68</v>
      </c>
      <c r="I57" s="297">
        <v>1729.68</v>
      </c>
      <c r="J57" s="297">
        <v>2162.11</v>
      </c>
      <c r="K57" s="297">
        <v>2162.11</v>
      </c>
      <c r="L57" s="297">
        <v>2599.38</v>
      </c>
      <c r="M57" s="297">
        <v>4324.22</v>
      </c>
      <c r="N57" s="297">
        <v>4324.22</v>
      </c>
      <c r="O57" s="297">
        <v>27679.8</v>
      </c>
    </row>
    <row r="58" spans="1:15">
      <c r="A58" s="289" t="s">
        <v>313</v>
      </c>
      <c r="B58" s="289" t="s">
        <v>267</v>
      </c>
      <c r="C58" s="298">
        <v>0</v>
      </c>
      <c r="D58" s="298">
        <v>256</v>
      </c>
      <c r="E58" s="298">
        <v>0</v>
      </c>
      <c r="F58" s="298">
        <v>0</v>
      </c>
      <c r="G58" s="298">
        <v>0</v>
      </c>
      <c r="H58" s="298">
        <v>256</v>
      </c>
      <c r="I58" s="298">
        <v>0</v>
      </c>
      <c r="J58" s="298">
        <v>0</v>
      </c>
      <c r="K58" s="298">
        <v>0</v>
      </c>
      <c r="L58" s="298">
        <v>0</v>
      </c>
      <c r="M58" s="298">
        <v>0</v>
      </c>
      <c r="N58" s="298">
        <v>0</v>
      </c>
      <c r="O58" s="298">
        <v>512</v>
      </c>
    </row>
    <row r="59" spans="1:15">
      <c r="A59" s="289" t="s">
        <v>181</v>
      </c>
      <c r="C59" s="297">
        <v>0</v>
      </c>
      <c r="D59" s="297">
        <v>15010.01</v>
      </c>
      <c r="E59" s="297">
        <v>3318.74</v>
      </c>
      <c r="F59" s="297">
        <v>-46.01</v>
      </c>
      <c r="G59" s="297">
        <v>2510.69</v>
      </c>
      <c r="H59" s="297">
        <v>11464.43</v>
      </c>
      <c r="I59" s="297">
        <v>3121.79</v>
      </c>
      <c r="J59" s="297">
        <v>6198.59</v>
      </c>
      <c r="K59" s="297">
        <v>3830.74</v>
      </c>
      <c r="L59" s="297">
        <v>3999.38</v>
      </c>
      <c r="M59" s="297">
        <v>8571.99</v>
      </c>
      <c r="N59" s="297">
        <v>5855.64</v>
      </c>
      <c r="O59" s="297">
        <v>63835.99</v>
      </c>
    </row>
    <row r="61" spans="1:15">
      <c r="A61" s="289" t="s">
        <v>182</v>
      </c>
    </row>
    <row r="63" spans="1:15">
      <c r="A63" s="289" t="s">
        <v>314</v>
      </c>
      <c r="B63" s="289" t="s">
        <v>183</v>
      </c>
      <c r="C63" s="297">
        <v>0</v>
      </c>
      <c r="D63" s="297">
        <v>0</v>
      </c>
      <c r="E63" s="297">
        <v>0</v>
      </c>
      <c r="F63" s="297">
        <v>0</v>
      </c>
      <c r="G63" s="297">
        <v>0</v>
      </c>
      <c r="H63" s="297">
        <v>0</v>
      </c>
      <c r="I63" s="297">
        <v>311.38</v>
      </c>
      <c r="J63" s="297">
        <v>0</v>
      </c>
      <c r="K63" s="297">
        <v>0</v>
      </c>
      <c r="L63" s="297">
        <v>0</v>
      </c>
      <c r="M63" s="297">
        <v>0</v>
      </c>
      <c r="N63" s="297">
        <v>0</v>
      </c>
      <c r="O63" s="297">
        <v>311.38</v>
      </c>
    </row>
    <row r="64" spans="1:15">
      <c r="A64" s="289" t="s">
        <v>315</v>
      </c>
      <c r="B64" s="289" t="s">
        <v>184</v>
      </c>
      <c r="C64" s="297">
        <v>179.76</v>
      </c>
      <c r="D64" s="297">
        <v>179.76</v>
      </c>
      <c r="E64" s="297">
        <v>179.76</v>
      </c>
      <c r="F64" s="297">
        <v>1925.46</v>
      </c>
      <c r="G64" s="297">
        <v>179.76</v>
      </c>
      <c r="H64" s="297">
        <v>179.76</v>
      </c>
      <c r="I64" s="297">
        <v>359.52</v>
      </c>
      <c r="J64" s="297">
        <v>179.76</v>
      </c>
      <c r="K64" s="297">
        <v>179.76</v>
      </c>
      <c r="L64" s="297">
        <v>179.76</v>
      </c>
      <c r="M64" s="297">
        <v>179.76</v>
      </c>
      <c r="N64" s="297">
        <v>179.76</v>
      </c>
      <c r="O64" s="297">
        <v>4082.58</v>
      </c>
    </row>
    <row r="65" spans="1:15">
      <c r="A65" s="289" t="s">
        <v>316</v>
      </c>
      <c r="B65" s="289" t="s">
        <v>185</v>
      </c>
      <c r="C65" s="297">
        <v>0</v>
      </c>
      <c r="D65" s="297">
        <v>0</v>
      </c>
      <c r="E65" s="297">
        <v>0</v>
      </c>
      <c r="F65" s="297">
        <v>0</v>
      </c>
      <c r="G65" s="297">
        <v>2187.5500000000002</v>
      </c>
      <c r="H65" s="297">
        <v>3683.44</v>
      </c>
      <c r="I65" s="297">
        <v>5625</v>
      </c>
      <c r="J65" s="297">
        <v>0</v>
      </c>
      <c r="K65" s="297">
        <v>526.44000000000005</v>
      </c>
      <c r="L65" s="297">
        <v>0</v>
      </c>
      <c r="M65" s="297">
        <v>0</v>
      </c>
      <c r="N65" s="297">
        <v>3535.58</v>
      </c>
      <c r="O65" s="297">
        <v>15558.01</v>
      </c>
    </row>
    <row r="66" spans="1:15">
      <c r="A66" s="289" t="s">
        <v>317</v>
      </c>
      <c r="B66" s="289" t="s">
        <v>268</v>
      </c>
      <c r="C66" s="297">
        <v>0</v>
      </c>
      <c r="D66" s="297">
        <v>0</v>
      </c>
      <c r="E66" s="297">
        <v>0</v>
      </c>
      <c r="F66" s="297">
        <v>420.7</v>
      </c>
      <c r="G66" s="297">
        <v>0</v>
      </c>
      <c r="H66" s="297">
        <v>0</v>
      </c>
      <c r="I66" s="297">
        <v>0</v>
      </c>
      <c r="J66" s="297">
        <v>0</v>
      </c>
      <c r="K66" s="297">
        <v>0</v>
      </c>
      <c r="L66" s="297">
        <v>2028.13</v>
      </c>
      <c r="M66" s="297">
        <v>0</v>
      </c>
      <c r="N66" s="297">
        <v>0</v>
      </c>
      <c r="O66" s="297">
        <v>2448.83</v>
      </c>
    </row>
    <row r="67" spans="1:15">
      <c r="A67" s="289" t="s">
        <v>318</v>
      </c>
      <c r="B67" s="289" t="s">
        <v>186</v>
      </c>
      <c r="C67" s="297">
        <v>1558.06</v>
      </c>
      <c r="D67" s="297">
        <v>1558.06</v>
      </c>
      <c r="E67" s="297">
        <v>1558.06</v>
      </c>
      <c r="F67" s="297">
        <v>1558.06</v>
      </c>
      <c r="G67" s="297">
        <v>1558.06</v>
      </c>
      <c r="H67" s="297">
        <v>1558.06</v>
      </c>
      <c r="I67" s="297">
        <v>1558.06</v>
      </c>
      <c r="J67" s="297">
        <v>1558.06</v>
      </c>
      <c r="K67" s="297">
        <v>1558.06</v>
      </c>
      <c r="L67" s="297">
        <v>1620.38</v>
      </c>
      <c r="M67" s="297">
        <v>1620.38</v>
      </c>
      <c r="N67" s="297">
        <v>1620.38</v>
      </c>
      <c r="O67" s="297">
        <v>18883.68</v>
      </c>
    </row>
    <row r="68" spans="1:15">
      <c r="A68" s="289" t="s">
        <v>319</v>
      </c>
      <c r="B68" s="289" t="s">
        <v>269</v>
      </c>
      <c r="C68" s="297">
        <v>0</v>
      </c>
      <c r="D68" s="297">
        <v>680</v>
      </c>
      <c r="E68" s="297">
        <v>0</v>
      </c>
      <c r="F68" s="297">
        <v>0</v>
      </c>
      <c r="G68" s="297">
        <v>0</v>
      </c>
      <c r="H68" s="297">
        <v>0</v>
      </c>
      <c r="I68" s="297">
        <v>2130</v>
      </c>
      <c r="J68" s="297">
        <v>0</v>
      </c>
      <c r="K68" s="297">
        <v>0</v>
      </c>
      <c r="L68" s="297">
        <v>0</v>
      </c>
      <c r="M68" s="297">
        <v>0</v>
      </c>
      <c r="N68" s="297">
        <v>0</v>
      </c>
      <c r="O68" s="297">
        <v>2810</v>
      </c>
    </row>
    <row r="69" spans="1:15">
      <c r="A69" s="289" t="s">
        <v>320</v>
      </c>
      <c r="B69" s="289" t="s">
        <v>321</v>
      </c>
      <c r="C69" s="297">
        <v>0</v>
      </c>
      <c r="D69" s="297">
        <v>0</v>
      </c>
      <c r="E69" s="297">
        <v>0</v>
      </c>
      <c r="F69" s="297">
        <v>0</v>
      </c>
      <c r="G69" s="297">
        <v>0</v>
      </c>
      <c r="H69" s="297">
        <v>635</v>
      </c>
      <c r="I69" s="297">
        <v>-1155</v>
      </c>
      <c r="J69" s="297">
        <v>0</v>
      </c>
      <c r="K69" s="297">
        <v>0</v>
      </c>
      <c r="L69" s="297">
        <v>100</v>
      </c>
      <c r="M69" s="297">
        <v>0</v>
      </c>
      <c r="N69" s="297">
        <v>0</v>
      </c>
      <c r="O69" s="297">
        <v>-420</v>
      </c>
    </row>
    <row r="70" spans="1:15">
      <c r="A70" s="289" t="s">
        <v>322</v>
      </c>
      <c r="B70" s="289" t="s">
        <v>270</v>
      </c>
      <c r="C70" s="297">
        <v>1041</v>
      </c>
      <c r="D70" s="297">
        <v>0</v>
      </c>
      <c r="E70" s="297">
        <v>0</v>
      </c>
      <c r="F70" s="297">
        <v>0</v>
      </c>
      <c r="G70" s="297">
        <v>0</v>
      </c>
      <c r="H70" s="297">
        <v>0</v>
      </c>
      <c r="I70" s="297">
        <v>4235</v>
      </c>
      <c r="J70" s="297">
        <v>0</v>
      </c>
      <c r="K70" s="297">
        <v>0</v>
      </c>
      <c r="L70" s="297">
        <v>0</v>
      </c>
      <c r="M70" s="297">
        <v>0</v>
      </c>
      <c r="N70" s="297">
        <v>0</v>
      </c>
      <c r="O70" s="297">
        <v>5276</v>
      </c>
    </row>
    <row r="71" spans="1:15">
      <c r="A71" s="289" t="s">
        <v>323</v>
      </c>
      <c r="B71" s="289" t="s">
        <v>188</v>
      </c>
      <c r="C71" s="297">
        <v>0</v>
      </c>
      <c r="D71" s="297">
        <v>0</v>
      </c>
      <c r="E71" s="297">
        <v>0</v>
      </c>
      <c r="F71" s="297">
        <v>0</v>
      </c>
      <c r="G71" s="297">
        <v>0</v>
      </c>
      <c r="H71" s="297">
        <v>2635</v>
      </c>
      <c r="I71" s="297">
        <v>0</v>
      </c>
      <c r="J71" s="297">
        <v>0</v>
      </c>
      <c r="K71" s="297">
        <v>0</v>
      </c>
      <c r="L71" s="297">
        <v>1245</v>
      </c>
      <c r="M71" s="297">
        <v>0</v>
      </c>
      <c r="N71" s="297">
        <v>0</v>
      </c>
      <c r="O71" s="297">
        <v>3880</v>
      </c>
    </row>
    <row r="72" spans="1:15">
      <c r="A72" s="289" t="s">
        <v>324</v>
      </c>
      <c r="B72" s="289" t="s">
        <v>227</v>
      </c>
      <c r="C72" s="297">
        <v>0</v>
      </c>
      <c r="D72" s="297">
        <v>0</v>
      </c>
      <c r="E72" s="297">
        <v>4999.24</v>
      </c>
      <c r="F72" s="297">
        <v>0</v>
      </c>
      <c r="G72" s="297">
        <v>0</v>
      </c>
      <c r="H72" s="297">
        <v>0</v>
      </c>
      <c r="I72" s="297">
        <v>0</v>
      </c>
      <c r="J72" s="297">
        <v>0</v>
      </c>
      <c r="K72" s="297">
        <v>0</v>
      </c>
      <c r="L72" s="297">
        <v>0</v>
      </c>
      <c r="M72" s="297">
        <v>0</v>
      </c>
      <c r="N72" s="297">
        <v>0</v>
      </c>
      <c r="O72" s="297">
        <v>4999.24</v>
      </c>
    </row>
    <row r="73" spans="1:15">
      <c r="A73" s="289" t="s">
        <v>325</v>
      </c>
      <c r="B73" s="289" t="s">
        <v>189</v>
      </c>
      <c r="C73" s="298">
        <v>0</v>
      </c>
      <c r="D73" s="298">
        <v>0</v>
      </c>
      <c r="E73" s="298">
        <v>0</v>
      </c>
      <c r="F73" s="298">
        <v>520</v>
      </c>
      <c r="G73" s="298">
        <v>0</v>
      </c>
      <c r="H73" s="298">
        <v>975</v>
      </c>
      <c r="I73" s="298">
        <v>-975</v>
      </c>
      <c r="J73" s="298">
        <v>0</v>
      </c>
      <c r="K73" s="298">
        <v>0</v>
      </c>
      <c r="L73" s="298">
        <v>1000</v>
      </c>
      <c r="M73" s="298">
        <v>0</v>
      </c>
      <c r="N73" s="298">
        <v>8495</v>
      </c>
      <c r="O73" s="298">
        <v>10015</v>
      </c>
    </row>
    <row r="74" spans="1:15">
      <c r="A74" s="289" t="s">
        <v>190</v>
      </c>
      <c r="C74" s="297">
        <v>2778.82</v>
      </c>
      <c r="D74" s="297">
        <v>2417.8200000000002</v>
      </c>
      <c r="E74" s="297">
        <v>6737.06</v>
      </c>
      <c r="F74" s="297">
        <v>4424.22</v>
      </c>
      <c r="G74" s="297">
        <v>3925.37</v>
      </c>
      <c r="H74" s="297">
        <v>9666.26</v>
      </c>
      <c r="I74" s="297">
        <v>12088.96</v>
      </c>
      <c r="J74" s="297">
        <v>1737.82</v>
      </c>
      <c r="K74" s="297">
        <v>2264.2600000000002</v>
      </c>
      <c r="L74" s="297">
        <v>6173.27</v>
      </c>
      <c r="M74" s="297">
        <v>1800.14</v>
      </c>
      <c r="N74" s="297">
        <v>13830.72</v>
      </c>
      <c r="O74" s="297">
        <v>67844.72</v>
      </c>
    </row>
    <row r="76" spans="1:15">
      <c r="A76" s="289" t="s">
        <v>381</v>
      </c>
    </row>
    <row r="77" spans="1:15"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</row>
    <row r="78" spans="1:15">
      <c r="A78" s="289" t="s">
        <v>382</v>
      </c>
      <c r="C78" s="297">
        <v>0</v>
      </c>
      <c r="D78" s="297">
        <v>0</v>
      </c>
      <c r="E78" s="297">
        <v>0</v>
      </c>
      <c r="F78" s="297">
        <v>0</v>
      </c>
      <c r="G78" s="297">
        <v>0</v>
      </c>
      <c r="H78" s="297">
        <v>0</v>
      </c>
      <c r="I78" s="297">
        <v>0</v>
      </c>
      <c r="J78" s="297">
        <v>0</v>
      </c>
      <c r="K78" s="297">
        <v>0</v>
      </c>
      <c r="L78" s="297">
        <v>0</v>
      </c>
      <c r="M78" s="297">
        <v>0</v>
      </c>
      <c r="N78" s="297">
        <v>0</v>
      </c>
      <c r="O78" s="297">
        <v>0</v>
      </c>
    </row>
    <row r="80" spans="1:15">
      <c r="A80" s="289" t="s">
        <v>191</v>
      </c>
    </row>
    <row r="82" spans="1:15">
      <c r="A82" s="289" t="s">
        <v>326</v>
      </c>
      <c r="B82" s="289" t="s">
        <v>192</v>
      </c>
      <c r="C82" s="298">
        <v>5177.55</v>
      </c>
      <c r="D82" s="298">
        <v>2085.39</v>
      </c>
      <c r="E82" s="298">
        <v>3527.67</v>
      </c>
      <c r="F82" s="298">
        <v>8279.7000000000007</v>
      </c>
      <c r="G82" s="298">
        <v>3098.83</v>
      </c>
      <c r="H82" s="298">
        <v>5180.88</v>
      </c>
      <c r="I82" s="298">
        <v>5180.88</v>
      </c>
      <c r="J82" s="298">
        <v>3786.37</v>
      </c>
      <c r="K82" s="298">
        <v>5180.88</v>
      </c>
      <c r="L82" s="298">
        <v>5079.78</v>
      </c>
      <c r="M82" s="298">
        <v>2082.0500000000002</v>
      </c>
      <c r="N82" s="298">
        <v>6268.5</v>
      </c>
      <c r="O82" s="298">
        <v>54928.480000000003</v>
      </c>
    </row>
    <row r="83" spans="1:15">
      <c r="A83" s="289" t="s">
        <v>193</v>
      </c>
      <c r="C83" s="297">
        <v>5177.55</v>
      </c>
      <c r="D83" s="297">
        <v>2085.39</v>
      </c>
      <c r="E83" s="297">
        <v>3527.67</v>
      </c>
      <c r="F83" s="297">
        <v>8279.7000000000007</v>
      </c>
      <c r="G83" s="297">
        <v>3098.83</v>
      </c>
      <c r="H83" s="297">
        <v>5180.88</v>
      </c>
      <c r="I83" s="297">
        <v>5180.88</v>
      </c>
      <c r="J83" s="297">
        <v>3786.37</v>
      </c>
      <c r="K83" s="297">
        <v>5180.88</v>
      </c>
      <c r="L83" s="297">
        <v>5079.78</v>
      </c>
      <c r="M83" s="297">
        <v>2082.0500000000002</v>
      </c>
      <c r="N83" s="297">
        <v>6268.5</v>
      </c>
      <c r="O83" s="297">
        <v>54928.480000000003</v>
      </c>
    </row>
    <row r="85" spans="1:15">
      <c r="A85" s="289" t="s">
        <v>383</v>
      </c>
    </row>
    <row r="86" spans="1:15"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</row>
    <row r="87" spans="1:15">
      <c r="A87" s="289" t="s">
        <v>384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0</v>
      </c>
      <c r="N87" s="297">
        <v>0</v>
      </c>
      <c r="O87" s="297">
        <v>0</v>
      </c>
    </row>
    <row r="89" spans="1:15">
      <c r="A89" s="289" t="s">
        <v>385</v>
      </c>
    </row>
    <row r="90" spans="1:15"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</row>
    <row r="91" spans="1:15">
      <c r="A91" s="289" t="s">
        <v>386</v>
      </c>
      <c r="C91" s="297">
        <v>0</v>
      </c>
      <c r="D91" s="297">
        <v>0</v>
      </c>
      <c r="E91" s="297">
        <v>0</v>
      </c>
      <c r="F91" s="297">
        <v>0</v>
      </c>
      <c r="G91" s="297">
        <v>0</v>
      </c>
      <c r="H91" s="297">
        <v>0</v>
      </c>
      <c r="I91" s="297">
        <v>0</v>
      </c>
      <c r="J91" s="297">
        <v>0</v>
      </c>
      <c r="K91" s="297">
        <v>0</v>
      </c>
      <c r="L91" s="297">
        <v>0</v>
      </c>
      <c r="M91" s="297">
        <v>0</v>
      </c>
      <c r="N91" s="297">
        <v>0</v>
      </c>
      <c r="O91" s="297">
        <v>0</v>
      </c>
    </row>
    <row r="92" spans="1:15"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</row>
    <row r="93" spans="1:15">
      <c r="A93" s="289" t="s">
        <v>194</v>
      </c>
      <c r="C93" s="297">
        <v>58737.18</v>
      </c>
      <c r="D93" s="297">
        <v>69859.16</v>
      </c>
      <c r="E93" s="297">
        <v>79802.899999999994</v>
      </c>
      <c r="F93" s="297">
        <v>81476.44</v>
      </c>
      <c r="G93" s="297">
        <v>85103.55</v>
      </c>
      <c r="H93" s="297">
        <v>88503.65</v>
      </c>
      <c r="I93" s="297">
        <v>122142.38</v>
      </c>
      <c r="J93" s="297">
        <v>33922.699999999997</v>
      </c>
      <c r="K93" s="297">
        <v>37483.980000000003</v>
      </c>
      <c r="L93" s="297">
        <v>48284.76</v>
      </c>
      <c r="M93" s="297">
        <v>55992.31</v>
      </c>
      <c r="N93" s="297">
        <v>147920.48000000001</v>
      </c>
      <c r="O93" s="297">
        <v>909229.49</v>
      </c>
    </row>
    <row r="95" spans="1:15">
      <c r="A95" s="289" t="s">
        <v>195</v>
      </c>
    </row>
    <row r="97" spans="1:15">
      <c r="A97" s="289" t="s">
        <v>387</v>
      </c>
      <c r="B97" s="289" t="s">
        <v>388</v>
      </c>
      <c r="C97" s="297">
        <v>0</v>
      </c>
      <c r="D97" s="297">
        <v>0</v>
      </c>
      <c r="E97" s="297">
        <v>0</v>
      </c>
      <c r="F97" s="297">
        <v>0</v>
      </c>
      <c r="G97" s="297">
        <v>0</v>
      </c>
      <c r="H97" s="297">
        <v>0</v>
      </c>
      <c r="I97" s="297">
        <v>0</v>
      </c>
      <c r="J97" s="297">
        <v>0</v>
      </c>
      <c r="K97" s="297">
        <v>0</v>
      </c>
      <c r="L97" s="297">
        <v>1544.21</v>
      </c>
      <c r="M97" s="297">
        <v>1250</v>
      </c>
      <c r="N97" s="297">
        <v>1125.1500000000001</v>
      </c>
      <c r="O97" s="297">
        <v>3919.36</v>
      </c>
    </row>
    <row r="98" spans="1:15">
      <c r="A98" s="289" t="s">
        <v>328</v>
      </c>
      <c r="B98" s="289" t="s">
        <v>234</v>
      </c>
      <c r="C98" s="297">
        <v>0</v>
      </c>
      <c r="D98" s="297">
        <v>20472</v>
      </c>
      <c r="E98" s="297">
        <v>16320</v>
      </c>
      <c r="F98" s="297">
        <v>1000</v>
      </c>
      <c r="G98" s="297">
        <v>0</v>
      </c>
      <c r="H98" s="297">
        <v>0.4</v>
      </c>
      <c r="I98" s="297">
        <v>0</v>
      </c>
      <c r="J98" s="297">
        <v>0</v>
      </c>
      <c r="K98" s="297">
        <v>267.75</v>
      </c>
      <c r="L98" s="297">
        <v>0</v>
      </c>
      <c r="M98" s="297">
        <v>1644.4</v>
      </c>
      <c r="N98" s="297">
        <v>0</v>
      </c>
      <c r="O98" s="297">
        <v>39704.550000000003</v>
      </c>
    </row>
    <row r="99" spans="1:15">
      <c r="A99" s="289" t="s">
        <v>329</v>
      </c>
      <c r="B99" s="289" t="s">
        <v>271</v>
      </c>
      <c r="C99" s="297">
        <v>0</v>
      </c>
      <c r="D99" s="297">
        <v>0</v>
      </c>
      <c r="E99" s="297">
        <v>0</v>
      </c>
      <c r="F99" s="297">
        <v>0</v>
      </c>
      <c r="G99" s="297">
        <v>600</v>
      </c>
      <c r="H99" s="297">
        <v>0</v>
      </c>
      <c r="I99" s="297">
        <v>0</v>
      </c>
      <c r="J99" s="297">
        <v>0</v>
      </c>
      <c r="K99" s="297">
        <v>0</v>
      </c>
      <c r="L99" s="297">
        <v>0</v>
      </c>
      <c r="M99" s="297">
        <v>0</v>
      </c>
      <c r="N99" s="297">
        <v>0</v>
      </c>
      <c r="O99" s="297">
        <v>600</v>
      </c>
    </row>
    <row r="100" spans="1:15">
      <c r="A100" s="289" t="s">
        <v>331</v>
      </c>
      <c r="B100" s="289" t="s">
        <v>235</v>
      </c>
      <c r="C100" s="298">
        <v>250</v>
      </c>
      <c r="D100" s="298">
        <v>0</v>
      </c>
      <c r="E100" s="298">
        <v>0</v>
      </c>
      <c r="F100" s="298">
        <v>250</v>
      </c>
      <c r="G100" s="298">
        <v>0</v>
      </c>
      <c r="H100" s="298">
        <v>0</v>
      </c>
      <c r="I100" s="298">
        <v>250</v>
      </c>
      <c r="J100" s="298">
        <v>0</v>
      </c>
      <c r="K100" s="298">
        <v>0</v>
      </c>
      <c r="L100" s="298">
        <v>250</v>
      </c>
      <c r="M100" s="298">
        <v>0</v>
      </c>
      <c r="N100" s="298">
        <v>0</v>
      </c>
      <c r="O100" s="298">
        <v>1000</v>
      </c>
    </row>
    <row r="101" spans="1:15">
      <c r="A101" s="289" t="s">
        <v>196</v>
      </c>
      <c r="C101" s="298">
        <v>250</v>
      </c>
      <c r="D101" s="298">
        <v>20472</v>
      </c>
      <c r="E101" s="298">
        <v>16320</v>
      </c>
      <c r="F101" s="298">
        <v>1250</v>
      </c>
      <c r="G101" s="298">
        <v>600</v>
      </c>
      <c r="H101" s="298">
        <v>0.4</v>
      </c>
      <c r="I101" s="298">
        <v>250</v>
      </c>
      <c r="J101" s="298">
        <v>0</v>
      </c>
      <c r="K101" s="298">
        <v>267.75</v>
      </c>
      <c r="L101" s="298">
        <v>1794.21</v>
      </c>
      <c r="M101" s="298">
        <v>2894.4</v>
      </c>
      <c r="N101" s="298">
        <v>1125.1500000000001</v>
      </c>
      <c r="O101" s="298">
        <v>45223.91</v>
      </c>
    </row>
    <row r="102" spans="1:15">
      <c r="A102" s="289" t="s">
        <v>197</v>
      </c>
      <c r="C102" s="297">
        <v>58987.18</v>
      </c>
      <c r="D102" s="297">
        <v>90331.16</v>
      </c>
      <c r="E102" s="297">
        <v>96122.9</v>
      </c>
      <c r="F102" s="297">
        <v>82726.44</v>
      </c>
      <c r="G102" s="297">
        <v>85703.55</v>
      </c>
      <c r="H102" s="297">
        <v>88504.05</v>
      </c>
      <c r="I102" s="297">
        <v>122392.38</v>
      </c>
      <c r="J102" s="297">
        <v>33922.699999999997</v>
      </c>
      <c r="K102" s="297">
        <v>37751.730000000003</v>
      </c>
      <c r="L102" s="297">
        <v>50078.97</v>
      </c>
      <c r="M102" s="297">
        <v>58886.71</v>
      </c>
      <c r="N102" s="297">
        <v>149045.63</v>
      </c>
      <c r="O102" s="297">
        <v>954453.4</v>
      </c>
    </row>
    <row r="104" spans="1:15">
      <c r="A104" s="289" t="s">
        <v>198</v>
      </c>
      <c r="C104" s="297">
        <v>112123.17</v>
      </c>
      <c r="D104" s="297">
        <v>-75943.13</v>
      </c>
      <c r="E104" s="297">
        <v>33842.550000000003</v>
      </c>
      <c r="F104" s="297">
        <v>89969.59</v>
      </c>
      <c r="G104" s="297">
        <v>129723.06</v>
      </c>
      <c r="H104" s="297">
        <v>84191.98</v>
      </c>
      <c r="I104" s="297">
        <v>50303.65</v>
      </c>
      <c r="J104" s="297">
        <v>163773.32999999999</v>
      </c>
      <c r="K104" s="297">
        <v>134944.29999999999</v>
      </c>
      <c r="L104" s="297">
        <v>111153.06</v>
      </c>
      <c r="M104" s="297">
        <v>102345.32</v>
      </c>
      <c r="N104" s="297">
        <v>12186.4</v>
      </c>
      <c r="O104" s="297">
        <v>948613.28</v>
      </c>
    </row>
    <row r="106" spans="1:15">
      <c r="A106" s="289" t="s">
        <v>389</v>
      </c>
    </row>
    <row r="108" spans="1:15">
      <c r="A108" s="289" t="s">
        <v>332</v>
      </c>
      <c r="B108" s="289" t="s">
        <v>200</v>
      </c>
      <c r="C108" s="297">
        <v>1260.83</v>
      </c>
      <c r="D108" s="297">
        <v>0</v>
      </c>
      <c r="E108" s="297">
        <v>2613.69</v>
      </c>
      <c r="F108" s="297">
        <v>881.92</v>
      </c>
      <c r="G108" s="297">
        <v>0</v>
      </c>
      <c r="H108" s="297">
        <v>0</v>
      </c>
      <c r="I108" s="297">
        <v>3943.31</v>
      </c>
      <c r="J108" s="297">
        <v>1295.22</v>
      </c>
      <c r="K108" s="297">
        <v>946.59</v>
      </c>
      <c r="L108" s="297">
        <v>1269.95</v>
      </c>
      <c r="M108" s="297">
        <v>1295.22</v>
      </c>
      <c r="N108" s="297">
        <v>1551.5</v>
      </c>
      <c r="O108" s="297">
        <v>15058.23</v>
      </c>
    </row>
    <row r="109" spans="1:15">
      <c r="A109" s="289" t="s">
        <v>333</v>
      </c>
      <c r="B109" s="289" t="s">
        <v>201</v>
      </c>
      <c r="C109" s="297">
        <v>174537.11</v>
      </c>
      <c r="D109" s="297">
        <v>242708.28</v>
      </c>
      <c r="E109" s="297">
        <v>243625.78</v>
      </c>
      <c r="F109" s="297">
        <v>235490.64</v>
      </c>
      <c r="G109" s="297">
        <v>244885.65</v>
      </c>
      <c r="H109" s="297">
        <v>245351.53</v>
      </c>
      <c r="I109" s="297">
        <v>230109.06</v>
      </c>
      <c r="J109" s="297">
        <v>234899.17</v>
      </c>
      <c r="K109" s="297">
        <v>268141.67</v>
      </c>
      <c r="L109" s="297">
        <v>225114.69</v>
      </c>
      <c r="M109" s="297">
        <v>221610.53</v>
      </c>
      <c r="N109" s="297">
        <v>181292.06</v>
      </c>
      <c r="O109" s="297">
        <v>2747766.17</v>
      </c>
    </row>
    <row r="110" spans="1:15">
      <c r="A110" s="289" t="s">
        <v>390</v>
      </c>
      <c r="B110" s="289" t="s">
        <v>340</v>
      </c>
      <c r="C110" s="297">
        <v>0</v>
      </c>
      <c r="D110" s="297">
        <v>0</v>
      </c>
      <c r="E110" s="297">
        <v>0</v>
      </c>
      <c r="F110" s="297">
        <v>0</v>
      </c>
      <c r="G110" s="297">
        <v>0</v>
      </c>
      <c r="H110" s="297">
        <v>0</v>
      </c>
      <c r="I110" s="297">
        <v>0</v>
      </c>
      <c r="J110" s="297">
        <v>0</v>
      </c>
      <c r="K110" s="297">
        <v>625</v>
      </c>
      <c r="L110" s="297">
        <v>0</v>
      </c>
      <c r="M110" s="297">
        <v>0</v>
      </c>
      <c r="N110" s="297">
        <v>0</v>
      </c>
      <c r="O110" s="297">
        <v>625</v>
      </c>
    </row>
    <row r="111" spans="1:15">
      <c r="A111" s="289" t="s">
        <v>391</v>
      </c>
      <c r="B111" s="289" t="s">
        <v>236</v>
      </c>
      <c r="C111" s="297">
        <v>0</v>
      </c>
      <c r="D111" s="297">
        <v>0</v>
      </c>
      <c r="E111" s="297">
        <v>0</v>
      </c>
      <c r="F111" s="297">
        <v>0</v>
      </c>
      <c r="G111" s="297">
        <v>0</v>
      </c>
      <c r="H111" s="297">
        <v>0</v>
      </c>
      <c r="I111" s="297">
        <v>36000</v>
      </c>
      <c r="J111" s="297">
        <v>0</v>
      </c>
      <c r="K111" s="297">
        <v>0</v>
      </c>
      <c r="L111" s="297">
        <v>0</v>
      </c>
      <c r="M111" s="297">
        <v>0</v>
      </c>
      <c r="N111" s="297">
        <v>0</v>
      </c>
      <c r="O111" s="297">
        <v>36000</v>
      </c>
    </row>
    <row r="112" spans="1:15">
      <c r="A112" s="289" t="s">
        <v>392</v>
      </c>
      <c r="B112" s="289" t="s">
        <v>203</v>
      </c>
      <c r="C112" s="298">
        <v>0</v>
      </c>
      <c r="D112" s="298">
        <v>0</v>
      </c>
      <c r="E112" s="298">
        <v>0</v>
      </c>
      <c r="F112" s="298">
        <v>0</v>
      </c>
      <c r="G112" s="298">
        <v>0</v>
      </c>
      <c r="H112" s="298">
        <v>0</v>
      </c>
      <c r="I112" s="298">
        <v>-14604.85</v>
      </c>
      <c r="J112" s="298">
        <v>0</v>
      </c>
      <c r="K112" s="298">
        <v>0</v>
      </c>
      <c r="L112" s="298">
        <v>0</v>
      </c>
      <c r="M112" s="298">
        <v>0</v>
      </c>
      <c r="N112" s="298">
        <v>0</v>
      </c>
      <c r="O112" s="298">
        <v>-14604.85</v>
      </c>
    </row>
    <row r="113" spans="1:15">
      <c r="A113" s="289" t="s">
        <v>393</v>
      </c>
      <c r="C113" s="298">
        <v>175797.94</v>
      </c>
      <c r="D113" s="298">
        <v>242708.28</v>
      </c>
      <c r="E113" s="298">
        <v>246239.47</v>
      </c>
      <c r="F113" s="298">
        <v>236372.56</v>
      </c>
      <c r="G113" s="298">
        <v>244885.65</v>
      </c>
      <c r="H113" s="298">
        <v>245351.53</v>
      </c>
      <c r="I113" s="298">
        <v>255447.52</v>
      </c>
      <c r="J113" s="298">
        <v>236194.39</v>
      </c>
      <c r="K113" s="298">
        <v>269713.26</v>
      </c>
      <c r="L113" s="298">
        <v>226384.64000000001</v>
      </c>
      <c r="M113" s="298">
        <v>222905.75</v>
      </c>
      <c r="N113" s="298">
        <v>182843.56</v>
      </c>
      <c r="O113" s="298">
        <v>2784844.55</v>
      </c>
    </row>
    <row r="114" spans="1:15" ht="15.75" thickBot="1">
      <c r="A114" s="289" t="s">
        <v>198</v>
      </c>
      <c r="C114" s="300">
        <v>-63674.77</v>
      </c>
      <c r="D114" s="300">
        <v>-318651.40999999997</v>
      </c>
      <c r="E114" s="300">
        <v>-212396.92</v>
      </c>
      <c r="F114" s="300">
        <v>-146402.97</v>
      </c>
      <c r="G114" s="300">
        <v>-115162.59</v>
      </c>
      <c r="H114" s="300">
        <v>-161159.54999999999</v>
      </c>
      <c r="I114" s="300">
        <v>-205143.87</v>
      </c>
      <c r="J114" s="300">
        <v>-72421.06</v>
      </c>
      <c r="K114" s="300">
        <v>-134768.95999999999</v>
      </c>
      <c r="L114" s="300">
        <v>-115231.58</v>
      </c>
      <c r="M114" s="300">
        <v>-120560.43</v>
      </c>
      <c r="N114" s="300">
        <v>-170657.16</v>
      </c>
      <c r="O114" s="300">
        <v>-1836231.27</v>
      </c>
    </row>
    <row r="115" spans="1:15" ht="15.75" thickTop="1"/>
    <row r="116" spans="1:15">
      <c r="A116" s="289" t="s">
        <v>206</v>
      </c>
    </row>
    <row r="118" spans="1:15">
      <c r="A118" s="289" t="s">
        <v>394</v>
      </c>
      <c r="B118" s="289" t="s">
        <v>207</v>
      </c>
      <c r="C118" s="297">
        <v>0</v>
      </c>
      <c r="D118" s="297">
        <v>0</v>
      </c>
      <c r="E118" s="297">
        <v>0</v>
      </c>
      <c r="F118" s="297">
        <v>0</v>
      </c>
      <c r="G118" s="297">
        <v>0</v>
      </c>
      <c r="H118" s="297">
        <v>0</v>
      </c>
      <c r="I118" s="297">
        <v>31126</v>
      </c>
      <c r="J118" s="297">
        <v>0</v>
      </c>
      <c r="K118" s="297">
        <v>23332.45</v>
      </c>
      <c r="L118" s="297">
        <v>0</v>
      </c>
      <c r="M118" s="297">
        <v>17290.63</v>
      </c>
      <c r="N118" s="297">
        <v>2052276.22</v>
      </c>
      <c r="O118" s="297">
        <v>2124025.2999999998</v>
      </c>
    </row>
    <row r="119" spans="1:15">
      <c r="A119" s="289" t="s">
        <v>395</v>
      </c>
      <c r="B119" s="289" t="s">
        <v>216</v>
      </c>
      <c r="C119" s="297">
        <v>0</v>
      </c>
      <c r="D119" s="297">
        <v>5625</v>
      </c>
      <c r="E119" s="297">
        <v>0</v>
      </c>
      <c r="F119" s="297">
        <v>0</v>
      </c>
      <c r="G119" s="297">
        <v>0</v>
      </c>
      <c r="H119" s="297">
        <v>0</v>
      </c>
      <c r="I119" s="297">
        <v>-5625</v>
      </c>
      <c r="J119" s="297">
        <v>0</v>
      </c>
      <c r="K119" s="297">
        <v>0</v>
      </c>
      <c r="L119" s="297">
        <v>0</v>
      </c>
      <c r="M119" s="297">
        <v>19675.3</v>
      </c>
      <c r="N119" s="297">
        <v>0</v>
      </c>
      <c r="O119" s="297">
        <v>19675.3</v>
      </c>
    </row>
    <row r="120" spans="1:15">
      <c r="A120" s="289" t="s">
        <v>396</v>
      </c>
      <c r="B120" s="289" t="s">
        <v>237</v>
      </c>
      <c r="C120" s="297">
        <v>0</v>
      </c>
      <c r="D120" s="297">
        <v>0</v>
      </c>
      <c r="E120" s="297">
        <v>0</v>
      </c>
      <c r="F120" s="297">
        <v>0</v>
      </c>
      <c r="G120" s="297">
        <v>0</v>
      </c>
      <c r="H120" s="297">
        <v>0</v>
      </c>
      <c r="I120" s="297">
        <v>0</v>
      </c>
      <c r="J120" s="297">
        <v>0</v>
      </c>
      <c r="K120" s="297">
        <v>0</v>
      </c>
      <c r="L120" s="297">
        <v>0</v>
      </c>
      <c r="M120" s="297">
        <v>0</v>
      </c>
      <c r="N120" s="297">
        <v>743322.43</v>
      </c>
      <c r="O120" s="297">
        <v>743322.43</v>
      </c>
    </row>
    <row r="121" spans="1:15">
      <c r="A121" s="289" t="s">
        <v>397</v>
      </c>
      <c r="B121" s="289" t="s">
        <v>238</v>
      </c>
      <c r="C121" s="297">
        <v>0</v>
      </c>
      <c r="D121" s="297">
        <v>104147.81</v>
      </c>
      <c r="E121" s="297">
        <v>0</v>
      </c>
      <c r="F121" s="297">
        <v>0</v>
      </c>
      <c r="G121" s="297">
        <v>0</v>
      </c>
      <c r="H121" s="297">
        <v>0</v>
      </c>
      <c r="I121" s="297">
        <v>0</v>
      </c>
      <c r="J121" s="297">
        <v>0</v>
      </c>
      <c r="K121" s="297">
        <v>14019</v>
      </c>
      <c r="L121" s="297">
        <v>172770.9</v>
      </c>
      <c r="M121" s="297">
        <v>554048.23</v>
      </c>
      <c r="N121" s="297">
        <v>-1568056.25</v>
      </c>
      <c r="O121" s="297">
        <v>-723070.31</v>
      </c>
    </row>
    <row r="122" spans="1:15">
      <c r="A122" s="289" t="s">
        <v>398</v>
      </c>
      <c r="B122" s="289" t="s">
        <v>399</v>
      </c>
      <c r="C122" s="297">
        <v>0</v>
      </c>
      <c r="D122" s="297">
        <v>0</v>
      </c>
      <c r="E122" s="297">
        <v>0</v>
      </c>
      <c r="F122" s="297">
        <v>0</v>
      </c>
      <c r="G122" s="297">
        <v>0</v>
      </c>
      <c r="H122" s="297">
        <v>0</v>
      </c>
      <c r="I122" s="297">
        <v>0</v>
      </c>
      <c r="J122" s="297">
        <v>0</v>
      </c>
      <c r="K122" s="297">
        <v>0</v>
      </c>
      <c r="L122" s="297">
        <v>60360</v>
      </c>
      <c r="M122" s="297">
        <v>0</v>
      </c>
      <c r="N122" s="297">
        <v>-60360</v>
      </c>
      <c r="O122" s="297">
        <v>0</v>
      </c>
    </row>
    <row r="123" spans="1:15">
      <c r="A123" s="289" t="s">
        <v>400</v>
      </c>
      <c r="B123" s="289" t="s">
        <v>401</v>
      </c>
      <c r="C123" s="298">
        <v>0</v>
      </c>
      <c r="D123" s="298">
        <v>0</v>
      </c>
      <c r="E123" s="298">
        <v>0</v>
      </c>
      <c r="F123" s="298">
        <v>0</v>
      </c>
      <c r="G123" s="298">
        <v>0</v>
      </c>
      <c r="H123" s="298">
        <v>0</v>
      </c>
      <c r="I123" s="298">
        <v>0</v>
      </c>
      <c r="J123" s="298">
        <v>0</v>
      </c>
      <c r="K123" s="298">
        <v>0</v>
      </c>
      <c r="L123" s="298">
        <v>0</v>
      </c>
      <c r="M123" s="298">
        <v>225000</v>
      </c>
      <c r="N123" s="298">
        <v>-225000</v>
      </c>
      <c r="O123" s="298">
        <v>0</v>
      </c>
    </row>
    <row r="124" spans="1:15">
      <c r="A124" s="289" t="s">
        <v>208</v>
      </c>
      <c r="C124" s="297">
        <v>0</v>
      </c>
      <c r="D124" s="297">
        <v>109772.81</v>
      </c>
      <c r="E124" s="297">
        <v>0</v>
      </c>
      <c r="F124" s="297">
        <v>0</v>
      </c>
      <c r="G124" s="297">
        <v>0</v>
      </c>
      <c r="H124" s="297">
        <v>0</v>
      </c>
      <c r="I124" s="297">
        <v>25501</v>
      </c>
      <c r="J124" s="297">
        <v>0</v>
      </c>
      <c r="K124" s="297">
        <v>37351.449999999997</v>
      </c>
      <c r="L124" s="297">
        <v>233130.9</v>
      </c>
      <c r="M124" s="297">
        <v>816014.16</v>
      </c>
      <c r="N124" s="297">
        <v>942182.40000000002</v>
      </c>
      <c r="O124" s="297">
        <v>2163952.7200000002</v>
      </c>
    </row>
    <row r="125" spans="1:15"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</row>
    <row r="126" spans="1:15" ht="15.75" thickBot="1">
      <c r="A126" s="289" t="s">
        <v>402</v>
      </c>
      <c r="C126" s="300">
        <v>-63674.77</v>
      </c>
      <c r="D126" s="300">
        <v>-428424.22</v>
      </c>
      <c r="E126" s="300">
        <v>-212396.92</v>
      </c>
      <c r="F126" s="300">
        <v>-146402.97</v>
      </c>
      <c r="G126" s="300">
        <v>-115162.59</v>
      </c>
      <c r="H126" s="300">
        <v>-161159.54999999999</v>
      </c>
      <c r="I126" s="300">
        <v>-230644.87</v>
      </c>
      <c r="J126" s="300">
        <v>-72421.06</v>
      </c>
      <c r="K126" s="300">
        <v>-172120.41</v>
      </c>
      <c r="L126" s="300">
        <v>-348362.48</v>
      </c>
      <c r="M126" s="300">
        <v>-936574.59</v>
      </c>
      <c r="N126" s="300">
        <v>-1112839.56</v>
      </c>
      <c r="O126" s="300">
        <v>-4000183.99</v>
      </c>
    </row>
    <row r="127" spans="1:15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228-8DB8-4EDC-8D87-D4801ED16AE0}">
  <dimension ref="A2:O143"/>
  <sheetViews>
    <sheetView workbookViewId="0"/>
  </sheetViews>
  <sheetFormatPr defaultRowHeight="15"/>
  <cols>
    <col min="1" max="1" width="5.7109375" customWidth="1"/>
    <col min="2" max="2" width="6.7109375" customWidth="1"/>
    <col min="3" max="3" width="19.7109375" customWidth="1"/>
    <col min="4" max="4" width="6.7109375" customWidth="1"/>
    <col min="5" max="5" width="8.7109375" bestFit="1" customWidth="1"/>
    <col min="6" max="6" width="7.7109375" customWidth="1"/>
    <col min="7" max="7" width="8.7109375" customWidth="1"/>
    <col min="8" max="8" width="6.7109375" customWidth="1"/>
    <col min="9" max="9" width="9.7109375" customWidth="1"/>
    <col min="10" max="10" width="6.7109375" customWidth="1"/>
    <col min="11" max="11" width="9.7109375" customWidth="1"/>
    <col min="13" max="13" width="23.42578125" bestFit="1" customWidth="1"/>
    <col min="15" max="15" width="11.5703125" bestFit="1" customWidth="1"/>
  </cols>
  <sheetData>
    <row r="2" spans="1:11">
      <c r="A2" s="113" t="s">
        <v>98</v>
      </c>
      <c r="B2" s="113" t="s">
        <v>99</v>
      </c>
      <c r="E2" s="114" t="s">
        <v>100</v>
      </c>
      <c r="K2" s="115" t="s">
        <v>101</v>
      </c>
    </row>
    <row r="3" spans="1:11">
      <c r="A3" s="113" t="s">
        <v>102</v>
      </c>
      <c r="B3" s="115" t="s">
        <v>103</v>
      </c>
      <c r="E3" s="114" t="s">
        <v>104</v>
      </c>
      <c r="K3" s="115" t="s">
        <v>242</v>
      </c>
    </row>
    <row r="4" spans="1:11">
      <c r="E4" s="116">
        <v>45747</v>
      </c>
      <c r="K4" s="115" t="s">
        <v>105</v>
      </c>
    </row>
    <row r="7" spans="1:11">
      <c r="A7" s="113" t="s">
        <v>106</v>
      </c>
      <c r="F7" s="113" t="s">
        <v>107</v>
      </c>
      <c r="G7" s="113" t="s">
        <v>108</v>
      </c>
      <c r="H7" s="113" t="s">
        <v>109</v>
      </c>
      <c r="I7" s="113" t="s">
        <v>108</v>
      </c>
      <c r="J7" s="113" t="s">
        <v>110</v>
      </c>
      <c r="K7" s="115" t="s">
        <v>111</v>
      </c>
    </row>
    <row r="8" spans="1:11">
      <c r="A8" s="117" t="s">
        <v>112</v>
      </c>
      <c r="B8" s="113" t="s">
        <v>113</v>
      </c>
      <c r="D8" s="113" t="s">
        <v>114</v>
      </c>
      <c r="E8" s="113" t="s">
        <v>115</v>
      </c>
      <c r="F8" s="113" t="s">
        <v>116</v>
      </c>
      <c r="G8" s="113" t="s">
        <v>117</v>
      </c>
      <c r="H8" s="113" t="s">
        <v>118</v>
      </c>
      <c r="I8" s="113" t="s">
        <v>119</v>
      </c>
      <c r="J8" s="113" t="s">
        <v>120</v>
      </c>
      <c r="K8" s="115" t="s">
        <v>121</v>
      </c>
    </row>
    <row r="10" spans="1:11">
      <c r="A10" s="118" t="s">
        <v>217</v>
      </c>
    </row>
    <row r="12" spans="1:11">
      <c r="A12" s="113">
        <v>2727901</v>
      </c>
      <c r="B12" s="113">
        <v>-100</v>
      </c>
      <c r="C12" s="113" t="s">
        <v>219</v>
      </c>
      <c r="F12" s="120">
        <v>101880</v>
      </c>
    </row>
    <row r="14" spans="1:11">
      <c r="A14" s="113">
        <v>2727901</v>
      </c>
      <c r="B14" s="113" t="s">
        <v>218</v>
      </c>
      <c r="C14" s="113" t="s">
        <v>219</v>
      </c>
      <c r="F14" s="120">
        <v>33201</v>
      </c>
    </row>
    <row r="17" spans="1:11">
      <c r="A17" s="118" t="s">
        <v>123</v>
      </c>
      <c r="B17" s="113" t="s">
        <v>124</v>
      </c>
      <c r="D17" s="123">
        <v>0</v>
      </c>
      <c r="E17" s="113" t="s">
        <v>127</v>
      </c>
      <c r="F17" s="113">
        <v>0</v>
      </c>
      <c r="G17" s="113">
        <v>0</v>
      </c>
      <c r="I17" s="113">
        <v>0</v>
      </c>
      <c r="K17" s="113">
        <v>0</v>
      </c>
    </row>
    <row r="18" spans="1:11">
      <c r="B18" s="113" t="s">
        <v>126</v>
      </c>
      <c r="E18" s="115" t="s">
        <v>127</v>
      </c>
      <c r="F18" s="115" t="s">
        <v>128</v>
      </c>
    </row>
    <row r="19" spans="1:11">
      <c r="B19" s="113" t="s">
        <v>129</v>
      </c>
      <c r="D19" s="131">
        <v>1</v>
      </c>
      <c r="E19" s="115" t="s">
        <v>220</v>
      </c>
      <c r="F19" s="115" t="s">
        <v>131</v>
      </c>
    </row>
    <row r="20" spans="1:11">
      <c r="B20" s="113" t="s">
        <v>130</v>
      </c>
      <c r="E20" s="115" t="s">
        <v>220</v>
      </c>
      <c r="F20" s="115" t="s">
        <v>131</v>
      </c>
    </row>
    <row r="23" spans="1:11">
      <c r="A23" s="118" t="s">
        <v>132</v>
      </c>
    </row>
    <row r="24" spans="1:11">
      <c r="B24" s="113" t="s">
        <v>124</v>
      </c>
      <c r="D24" s="123">
        <v>0</v>
      </c>
      <c r="E24" s="113" t="s">
        <v>127</v>
      </c>
      <c r="F24" s="113">
        <v>0</v>
      </c>
      <c r="G24" s="113">
        <v>0</v>
      </c>
      <c r="I24" s="113">
        <v>0</v>
      </c>
      <c r="K24" s="113">
        <v>0</v>
      </c>
    </row>
    <row r="25" spans="1:11">
      <c r="B25" s="113" t="s">
        <v>126</v>
      </c>
      <c r="E25" s="115" t="s">
        <v>127</v>
      </c>
      <c r="F25" s="115" t="s">
        <v>128</v>
      </c>
    </row>
    <row r="26" spans="1:11">
      <c r="B26" s="113" t="s">
        <v>129</v>
      </c>
      <c r="D26" s="131">
        <v>1</v>
      </c>
      <c r="E26" s="115" t="s">
        <v>220</v>
      </c>
      <c r="F26" s="115" t="s">
        <v>131</v>
      </c>
    </row>
    <row r="27" spans="1:11">
      <c r="B27" s="113" t="s">
        <v>130</v>
      </c>
      <c r="E27" s="115" t="s">
        <v>220</v>
      </c>
      <c r="F27" s="115" t="s">
        <v>131</v>
      </c>
    </row>
    <row r="57" spans="1:11">
      <c r="A57" s="113" t="s">
        <v>98</v>
      </c>
      <c r="B57" s="113" t="s">
        <v>99</v>
      </c>
      <c r="E57" s="114" t="s">
        <v>100</v>
      </c>
      <c r="K57" s="115" t="s">
        <v>133</v>
      </c>
    </row>
    <row r="58" spans="1:11">
      <c r="A58" s="113" t="s">
        <v>102</v>
      </c>
      <c r="B58" s="115" t="s">
        <v>103</v>
      </c>
      <c r="E58" s="114" t="s">
        <v>134</v>
      </c>
      <c r="K58" s="115" t="s">
        <v>242</v>
      </c>
    </row>
    <row r="59" spans="1:11">
      <c r="E59" s="116">
        <v>45657</v>
      </c>
      <c r="K59" s="115" t="s">
        <v>105</v>
      </c>
    </row>
    <row r="62" spans="1:11">
      <c r="A62" s="113" t="s">
        <v>106</v>
      </c>
      <c r="F62" s="113" t="s">
        <v>107</v>
      </c>
      <c r="G62" s="113" t="s">
        <v>108</v>
      </c>
      <c r="H62" s="113" t="s">
        <v>109</v>
      </c>
      <c r="I62" s="113" t="s">
        <v>108</v>
      </c>
      <c r="J62" s="113" t="s">
        <v>110</v>
      </c>
      <c r="K62" s="115" t="s">
        <v>111</v>
      </c>
    </row>
    <row r="63" spans="1:11">
      <c r="A63" s="117" t="s">
        <v>112</v>
      </c>
      <c r="B63" s="113" t="s">
        <v>113</v>
      </c>
      <c r="D63" s="113" t="s">
        <v>114</v>
      </c>
      <c r="E63" s="113" t="s">
        <v>115</v>
      </c>
      <c r="F63" s="113" t="s">
        <v>116</v>
      </c>
      <c r="G63" s="113" t="s">
        <v>117</v>
      </c>
      <c r="H63" s="113" t="s">
        <v>118</v>
      </c>
      <c r="I63" s="113" t="s">
        <v>119</v>
      </c>
      <c r="J63" s="113" t="s">
        <v>120</v>
      </c>
      <c r="K63" s="115" t="s">
        <v>121</v>
      </c>
    </row>
    <row r="65" spans="1:15">
      <c r="A65" s="118" t="s">
        <v>122</v>
      </c>
    </row>
    <row r="67" spans="1:15">
      <c r="A67" s="113">
        <v>2727902</v>
      </c>
      <c r="B67" s="113">
        <v>-100</v>
      </c>
      <c r="C67" s="113" t="s">
        <v>135</v>
      </c>
      <c r="D67" s="119">
        <v>44805</v>
      </c>
      <c r="E67" s="119">
        <v>46721</v>
      </c>
      <c r="F67" s="120">
        <v>99907</v>
      </c>
      <c r="G67" s="121">
        <v>76699.73</v>
      </c>
      <c r="H67" s="113">
        <v>9.2100000000000009</v>
      </c>
      <c r="I67" s="121">
        <v>23910</v>
      </c>
      <c r="K67" s="115" t="s">
        <v>136</v>
      </c>
      <c r="M67" t="s">
        <v>246</v>
      </c>
      <c r="N67" t="s">
        <v>247</v>
      </c>
      <c r="O67" t="s">
        <v>249</v>
      </c>
    </row>
    <row r="68" spans="1:15">
      <c r="B68" s="122">
        <v>-6854</v>
      </c>
      <c r="K68" s="115" t="s">
        <v>137</v>
      </c>
      <c r="M68" s="150">
        <v>79384.22</v>
      </c>
      <c r="N68" s="138">
        <v>45748</v>
      </c>
      <c r="O68" s="154" t="e">
        <f>IF(N68-M71&lt;1,M68,(ROUND((N68-M71)/30,0)/12)*G67+(((12-ROUND((N68-M71)/30,0))/12)*M68))</f>
        <v>#REF!</v>
      </c>
    </row>
    <row r="69" spans="1:15">
      <c r="K69" s="115" t="s">
        <v>138</v>
      </c>
    </row>
    <row r="70" spans="1:15">
      <c r="M70" t="s">
        <v>248</v>
      </c>
    </row>
    <row r="71" spans="1:15">
      <c r="A71" s="118" t="s">
        <v>123</v>
      </c>
      <c r="B71" s="113" t="s">
        <v>124</v>
      </c>
      <c r="D71" s="123">
        <v>1</v>
      </c>
      <c r="E71" s="113" t="s">
        <v>125</v>
      </c>
      <c r="F71" s="120">
        <v>99907</v>
      </c>
      <c r="G71" s="121">
        <v>76699.73</v>
      </c>
      <c r="I71" s="121">
        <v>23910</v>
      </c>
      <c r="K71" s="113">
        <v>0</v>
      </c>
      <c r="M71" s="138" t="e">
        <f>EOMONTH(#REF!,0)+1</f>
        <v>#REF!</v>
      </c>
    </row>
    <row r="72" spans="1:15">
      <c r="B72" s="113" t="s">
        <v>126</v>
      </c>
      <c r="E72" s="115" t="s">
        <v>127</v>
      </c>
      <c r="F72" s="115" t="s">
        <v>128</v>
      </c>
    </row>
    <row r="73" spans="1:15">
      <c r="B73" s="113" t="s">
        <v>129</v>
      </c>
      <c r="E73" s="115" t="s">
        <v>127</v>
      </c>
      <c r="F73" s="115" t="s">
        <v>128</v>
      </c>
    </row>
    <row r="74" spans="1:15">
      <c r="B74" s="113" t="s">
        <v>130</v>
      </c>
      <c r="E74" s="115" t="s">
        <v>125</v>
      </c>
      <c r="F74" s="115" t="s">
        <v>139</v>
      </c>
      <c r="G74" s="121">
        <v>76699.73</v>
      </c>
    </row>
    <row r="77" spans="1:15">
      <c r="A77" s="118" t="s">
        <v>140</v>
      </c>
    </row>
    <row r="78" spans="1:15">
      <c r="B78" s="113" t="s">
        <v>124</v>
      </c>
      <c r="D78" s="123">
        <v>1</v>
      </c>
      <c r="E78" s="113" t="s">
        <v>125</v>
      </c>
      <c r="F78" s="120">
        <v>99907</v>
      </c>
      <c r="G78" s="121">
        <v>76699.73</v>
      </c>
      <c r="I78" s="121">
        <v>23910</v>
      </c>
      <c r="K78" s="113">
        <v>0</v>
      </c>
    </row>
    <row r="79" spans="1:15">
      <c r="B79" s="113" t="s">
        <v>126</v>
      </c>
      <c r="E79" s="115" t="s">
        <v>127</v>
      </c>
      <c r="F79" s="115" t="s">
        <v>128</v>
      </c>
    </row>
    <row r="80" spans="1:15">
      <c r="B80" s="113" t="s">
        <v>129</v>
      </c>
      <c r="E80" s="115" t="s">
        <v>127</v>
      </c>
      <c r="F80" s="115" t="s">
        <v>128</v>
      </c>
    </row>
    <row r="81" spans="2:7">
      <c r="B81" s="113" t="s">
        <v>130</v>
      </c>
      <c r="E81" s="115" t="s">
        <v>125</v>
      </c>
      <c r="F81" s="115" t="s">
        <v>139</v>
      </c>
      <c r="G81" s="121">
        <v>76699.73</v>
      </c>
    </row>
    <row r="112" spans="1:11">
      <c r="A112" s="113" t="s">
        <v>98</v>
      </c>
      <c r="B112" s="113" t="s">
        <v>99</v>
      </c>
      <c r="E112" s="114" t="s">
        <v>100</v>
      </c>
      <c r="K112" s="115" t="s">
        <v>141</v>
      </c>
    </row>
    <row r="113" spans="1:15">
      <c r="A113" s="113" t="s">
        <v>102</v>
      </c>
      <c r="B113" s="115" t="s">
        <v>103</v>
      </c>
      <c r="E113" s="114" t="s">
        <v>142</v>
      </c>
      <c r="K113" s="115" t="s">
        <v>242</v>
      </c>
    </row>
    <row r="114" spans="1:15">
      <c r="E114" s="116">
        <v>45657</v>
      </c>
      <c r="K114" s="115" t="s">
        <v>105</v>
      </c>
    </row>
    <row r="117" spans="1:15">
      <c r="A117" s="113" t="s">
        <v>106</v>
      </c>
      <c r="F117" s="113" t="s">
        <v>107</v>
      </c>
      <c r="G117" s="113" t="s">
        <v>108</v>
      </c>
      <c r="H117" s="113" t="s">
        <v>109</v>
      </c>
      <c r="I117" s="113" t="s">
        <v>108</v>
      </c>
      <c r="J117" s="113" t="s">
        <v>110</v>
      </c>
      <c r="K117" s="115" t="s">
        <v>111</v>
      </c>
    </row>
    <row r="118" spans="1:15">
      <c r="A118" s="117" t="s">
        <v>112</v>
      </c>
      <c r="B118" s="113" t="s">
        <v>113</v>
      </c>
      <c r="D118" s="113" t="s">
        <v>114</v>
      </c>
      <c r="E118" s="113" t="s">
        <v>115</v>
      </c>
      <c r="F118" s="113" t="s">
        <v>116</v>
      </c>
      <c r="G118" s="113" t="s">
        <v>117</v>
      </c>
      <c r="H118" s="113" t="s">
        <v>118</v>
      </c>
      <c r="I118" s="113" t="s">
        <v>119</v>
      </c>
      <c r="J118" s="113" t="s">
        <v>120</v>
      </c>
      <c r="K118" s="115" t="s">
        <v>121</v>
      </c>
    </row>
    <row r="120" spans="1:15">
      <c r="A120" s="118" t="s">
        <v>122</v>
      </c>
    </row>
    <row r="122" spans="1:15">
      <c r="A122" s="113">
        <v>2727903</v>
      </c>
      <c r="B122" s="113">
        <v>-100</v>
      </c>
      <c r="C122" s="113" t="s">
        <v>143</v>
      </c>
      <c r="D122" s="119">
        <v>40585</v>
      </c>
      <c r="E122" s="119">
        <v>46142</v>
      </c>
      <c r="F122" s="120">
        <v>55358</v>
      </c>
      <c r="G122" s="121">
        <v>52856.13</v>
      </c>
      <c r="H122" s="113">
        <v>11.46</v>
      </c>
      <c r="I122" s="121">
        <v>14960</v>
      </c>
      <c r="K122" s="115" t="s">
        <v>144</v>
      </c>
    </row>
    <row r="123" spans="1:15">
      <c r="B123" s="122">
        <v>-6853</v>
      </c>
      <c r="M123" t="s">
        <v>246</v>
      </c>
      <c r="N123" t="s">
        <v>247</v>
      </c>
      <c r="O123" t="s">
        <v>249</v>
      </c>
    </row>
    <row r="124" spans="1:15" ht="15" customHeight="1">
      <c r="M124" s="153">
        <v>54441.81</v>
      </c>
      <c r="N124" s="138">
        <v>45778</v>
      </c>
      <c r="O124" s="154" t="e">
        <f>IF(N124-M127&lt;1,M124,(ROUND((N124-M127)/30,0)/12)*G122+(((12-ROUND((N124-M127)/30,0))/12)*M124))</f>
        <v>#REF!</v>
      </c>
    </row>
    <row r="125" spans="1:15">
      <c r="A125" s="118" t="s">
        <v>123</v>
      </c>
      <c r="B125" s="113" t="s">
        <v>124</v>
      </c>
      <c r="D125" s="123">
        <v>1</v>
      </c>
      <c r="E125" s="113" t="s">
        <v>125</v>
      </c>
      <c r="F125" s="120">
        <v>55358</v>
      </c>
      <c r="G125" s="121">
        <v>52856.13</v>
      </c>
      <c r="I125" s="121">
        <v>14960</v>
      </c>
      <c r="K125" s="113">
        <v>0</v>
      </c>
    </row>
    <row r="126" spans="1:15">
      <c r="B126" s="113" t="s">
        <v>126</v>
      </c>
      <c r="E126" s="115" t="s">
        <v>127</v>
      </c>
      <c r="F126" s="115" t="s">
        <v>128</v>
      </c>
      <c r="M126" t="s">
        <v>248</v>
      </c>
    </row>
    <row r="127" spans="1:15">
      <c r="B127" s="113" t="s">
        <v>129</v>
      </c>
      <c r="E127" s="115" t="s">
        <v>127</v>
      </c>
      <c r="F127" s="115" t="s">
        <v>128</v>
      </c>
      <c r="M127" s="138" t="e">
        <f>EOMONTH(#REF!,0)+1</f>
        <v>#REF!</v>
      </c>
    </row>
    <row r="128" spans="1:15">
      <c r="B128" s="113" t="s">
        <v>130</v>
      </c>
      <c r="E128" s="115" t="s">
        <v>125</v>
      </c>
      <c r="F128" s="115" t="s">
        <v>145</v>
      </c>
      <c r="G128" s="121">
        <v>52856.13</v>
      </c>
      <c r="O128" s="148"/>
    </row>
    <row r="129" spans="1:15">
      <c r="O129" s="148"/>
    </row>
    <row r="130" spans="1:15">
      <c r="O130" s="148"/>
    </row>
    <row r="131" spans="1:15">
      <c r="A131" s="118" t="s">
        <v>146</v>
      </c>
    </row>
    <row r="132" spans="1:15">
      <c r="B132" s="113" t="s">
        <v>124</v>
      </c>
      <c r="D132" s="123">
        <v>1</v>
      </c>
      <c r="E132" s="113" t="s">
        <v>125</v>
      </c>
      <c r="F132" s="120">
        <v>55358</v>
      </c>
      <c r="G132" s="121">
        <v>52856.13</v>
      </c>
      <c r="I132" s="121">
        <v>14960</v>
      </c>
      <c r="K132" s="113">
        <v>0</v>
      </c>
    </row>
    <row r="133" spans="1:15">
      <c r="B133" s="113" t="s">
        <v>126</v>
      </c>
      <c r="E133" s="115" t="s">
        <v>127</v>
      </c>
      <c r="F133" s="115" t="s">
        <v>128</v>
      </c>
    </row>
    <row r="134" spans="1:15">
      <c r="B134" s="113" t="s">
        <v>129</v>
      </c>
      <c r="E134" s="115" t="s">
        <v>127</v>
      </c>
      <c r="F134" s="115" t="s">
        <v>128</v>
      </c>
    </row>
    <row r="135" spans="1:15">
      <c r="B135" s="113" t="s">
        <v>130</v>
      </c>
      <c r="E135" s="115" t="s">
        <v>125</v>
      </c>
      <c r="F135" s="115" t="s">
        <v>145</v>
      </c>
      <c r="G135" s="121">
        <v>52856.13</v>
      </c>
    </row>
    <row r="137" spans="1:15">
      <c r="A137" s="118" t="s">
        <v>147</v>
      </c>
    </row>
    <row r="138" spans="1:15">
      <c r="B138" s="113" t="s">
        <v>124</v>
      </c>
      <c r="C138" s="123">
        <v>0.53480000000000005</v>
      </c>
      <c r="D138" s="113" t="s">
        <v>220</v>
      </c>
      <c r="E138" s="120">
        <v>155265</v>
      </c>
      <c r="F138" s="121">
        <v>129555.86</v>
      </c>
      <c r="H138" s="121">
        <v>42515.5</v>
      </c>
      <c r="J138" s="113">
        <v>0</v>
      </c>
    </row>
    <row r="139" spans="1:15">
      <c r="B139" s="113" t="s">
        <v>126</v>
      </c>
      <c r="D139" s="115" t="s">
        <v>127</v>
      </c>
      <c r="E139" s="115" t="s">
        <v>128</v>
      </c>
    </row>
    <row r="140" spans="1:15">
      <c r="B140" s="113" t="s">
        <v>129</v>
      </c>
      <c r="C140" s="131">
        <v>0.4652</v>
      </c>
      <c r="E140" s="115" t="s">
        <v>243</v>
      </c>
    </row>
    <row r="141" spans="1:15">
      <c r="B141" s="113" t="s">
        <v>130</v>
      </c>
      <c r="D141" s="113" t="s">
        <v>221</v>
      </c>
      <c r="E141" s="147">
        <v>290346</v>
      </c>
      <c r="F141" s="121">
        <v>129555.86</v>
      </c>
      <c r="G141" s="149">
        <f>E138/E141</f>
        <v>0.53475852947862201</v>
      </c>
    </row>
    <row r="143" spans="1:15">
      <c r="E143" s="1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2189-83E1-420E-9CA3-05B8A0D38CEC}">
  <dimension ref="A1:V62"/>
  <sheetViews>
    <sheetView workbookViewId="0">
      <selection activeCell="V7" sqref="V7"/>
    </sheetView>
  </sheetViews>
  <sheetFormatPr defaultRowHeight="15"/>
  <cols>
    <col min="13" max="13" width="9.5703125" bestFit="1" customWidth="1"/>
    <col min="17" max="17" width="17.28515625" bestFit="1" customWidth="1"/>
    <col min="19" max="19" width="9.5703125" bestFit="1" customWidth="1"/>
    <col min="22" max="22" width="9.5703125" bestFit="1" customWidth="1"/>
  </cols>
  <sheetData>
    <row r="1" spans="1:22">
      <c r="A1" s="302" t="s">
        <v>403</v>
      </c>
    </row>
    <row r="2" spans="1:22">
      <c r="J2" s="302" t="s">
        <v>404</v>
      </c>
    </row>
    <row r="3" spans="1:22" ht="21">
      <c r="A3" s="303" t="s">
        <v>100</v>
      </c>
      <c r="J3" s="304" t="s">
        <v>405</v>
      </c>
      <c r="M3" s="138">
        <v>46112</v>
      </c>
    </row>
    <row r="4" spans="1:22">
      <c r="A4" s="305" t="s">
        <v>406</v>
      </c>
      <c r="B4" s="305" t="s">
        <v>406</v>
      </c>
      <c r="C4" s="305" t="s">
        <v>406</v>
      </c>
      <c r="D4" s="305" t="s">
        <v>406</v>
      </c>
      <c r="E4" s="305" t="s">
        <v>406</v>
      </c>
      <c r="F4" s="305" t="s">
        <v>107</v>
      </c>
      <c r="G4" s="305" t="s">
        <v>108</v>
      </c>
      <c r="H4" s="305" t="s">
        <v>109</v>
      </c>
      <c r="I4" s="305" t="s">
        <v>407</v>
      </c>
      <c r="J4" s="305" t="s">
        <v>110</v>
      </c>
      <c r="K4" s="305" t="s">
        <v>108</v>
      </c>
      <c r="L4" s="305" t="s">
        <v>408</v>
      </c>
      <c r="Q4" t="s">
        <v>431</v>
      </c>
    </row>
    <row r="5" spans="1:22">
      <c r="A5" s="305" t="s">
        <v>409</v>
      </c>
      <c r="B5" s="305" t="s">
        <v>410</v>
      </c>
      <c r="C5" s="305" t="s">
        <v>113</v>
      </c>
      <c r="D5" s="305" t="s">
        <v>277</v>
      </c>
      <c r="E5" s="305" t="s">
        <v>115</v>
      </c>
      <c r="F5" s="305" t="s">
        <v>116</v>
      </c>
      <c r="G5" s="305" t="s">
        <v>117</v>
      </c>
      <c r="H5" s="305" t="s">
        <v>118</v>
      </c>
      <c r="I5" s="305" t="s">
        <v>411</v>
      </c>
      <c r="J5" s="305" t="s">
        <v>120</v>
      </c>
      <c r="K5" s="305" t="s">
        <v>412</v>
      </c>
      <c r="L5" s="305" t="s">
        <v>413</v>
      </c>
      <c r="M5" s="305" t="s">
        <v>247</v>
      </c>
      <c r="N5" s="305" t="s">
        <v>414</v>
      </c>
      <c r="O5" s="305" t="s">
        <v>415</v>
      </c>
      <c r="Q5" s="305" t="s">
        <v>436</v>
      </c>
      <c r="R5" s="305" t="s">
        <v>278</v>
      </c>
      <c r="S5" s="305" t="s">
        <v>282</v>
      </c>
      <c r="T5" s="317">
        <f>SUMPRODUCT($T$7:$T$41,$S$7:$S$41)/SUM($T$7:$T$41)</f>
        <v>4.0985649837962956</v>
      </c>
      <c r="V5" s="305" t="s">
        <v>430</v>
      </c>
    </row>
    <row r="6" spans="1:22">
      <c r="A6" s="306" t="s">
        <v>122</v>
      </c>
    </row>
    <row r="7" spans="1:22">
      <c r="A7" s="307" t="s">
        <v>276</v>
      </c>
      <c r="B7" s="307" t="s">
        <v>273</v>
      </c>
      <c r="C7" s="307" t="s">
        <v>416</v>
      </c>
      <c r="D7" s="308">
        <v>46082</v>
      </c>
      <c r="E7" s="308">
        <v>48791</v>
      </c>
      <c r="F7" s="309">
        <v>143504</v>
      </c>
      <c r="G7" s="310">
        <v>0</v>
      </c>
      <c r="H7" s="310"/>
      <c r="I7" s="310">
        <v>30305</v>
      </c>
      <c r="L7" s="311" t="s">
        <v>417</v>
      </c>
      <c r="M7" s="308">
        <v>46235</v>
      </c>
      <c r="N7" s="310">
        <v>37541.660000000003</v>
      </c>
      <c r="O7" s="310">
        <v>3.14</v>
      </c>
      <c r="Q7" s="315">
        <f>N7</f>
        <v>37541.660000000003</v>
      </c>
      <c r="R7" s="315">
        <f>I15</f>
        <v>30305</v>
      </c>
      <c r="S7" s="317">
        <f>(E7-$M$3)/365</f>
        <v>7.3397260273972602</v>
      </c>
      <c r="T7" s="314">
        <f>F7</f>
        <v>143504</v>
      </c>
      <c r="V7" s="317">
        <f>(Q7*12)*0.95</f>
        <v>427974.924</v>
      </c>
    </row>
    <row r="8" spans="1:22">
      <c r="L8" s="311" t="s">
        <v>417</v>
      </c>
      <c r="M8" s="308">
        <v>46419</v>
      </c>
      <c r="N8" s="310">
        <v>98270.83</v>
      </c>
      <c r="O8" s="310">
        <v>8.2200000000000006</v>
      </c>
    </row>
    <row r="9" spans="1:22">
      <c r="L9" s="311" t="s">
        <v>417</v>
      </c>
      <c r="M9" s="308">
        <v>46600</v>
      </c>
      <c r="N9" s="310">
        <v>158452.32999999999</v>
      </c>
      <c r="O9" s="310">
        <v>13.25</v>
      </c>
    </row>
    <row r="10" spans="1:22">
      <c r="L10" s="311" t="s">
        <v>417</v>
      </c>
      <c r="M10" s="308">
        <v>46966</v>
      </c>
      <c r="N10" s="310">
        <v>163998.17000000001</v>
      </c>
      <c r="O10" s="310">
        <v>13.71</v>
      </c>
    </row>
    <row r="11" spans="1:22">
      <c r="L11" s="311" t="s">
        <v>417</v>
      </c>
      <c r="M11" s="308">
        <v>47331</v>
      </c>
      <c r="N11" s="310">
        <v>169738.1</v>
      </c>
      <c r="O11" s="310">
        <v>14.19</v>
      </c>
    </row>
    <row r="12" spans="1:22">
      <c r="L12" s="311" t="s">
        <v>417</v>
      </c>
      <c r="M12" s="308">
        <v>47696</v>
      </c>
      <c r="N12" s="310">
        <v>175678.93</v>
      </c>
      <c r="O12" s="310">
        <v>14.69</v>
      </c>
    </row>
    <row r="13" spans="1:22">
      <c r="L13" s="311" t="s">
        <v>417</v>
      </c>
      <c r="M13" s="308">
        <v>48061</v>
      </c>
      <c r="N13" s="310">
        <v>181827.20000000001</v>
      </c>
      <c r="O13" s="310">
        <v>15.2</v>
      </c>
    </row>
    <row r="14" spans="1:22">
      <c r="L14" s="311" t="s">
        <v>417</v>
      </c>
      <c r="M14" s="308">
        <v>48427</v>
      </c>
      <c r="N14" s="310">
        <v>188191.67</v>
      </c>
      <c r="O14" s="310">
        <v>15.74</v>
      </c>
    </row>
    <row r="15" spans="1:22">
      <c r="A15" s="306" t="s">
        <v>123</v>
      </c>
      <c r="C15" s="311" t="s">
        <v>124</v>
      </c>
      <c r="D15" s="312">
        <v>1</v>
      </c>
      <c r="E15" s="307" t="s">
        <v>125</v>
      </c>
      <c r="F15" s="309">
        <v>143504</v>
      </c>
      <c r="G15" s="310">
        <v>0</v>
      </c>
      <c r="I15" s="310">
        <v>30305</v>
      </c>
      <c r="K15" s="310">
        <v>0</v>
      </c>
    </row>
    <row r="16" spans="1:22">
      <c r="C16" s="311" t="s">
        <v>129</v>
      </c>
      <c r="E16" s="307" t="s">
        <v>127</v>
      </c>
      <c r="F16" s="309">
        <v>0</v>
      </c>
    </row>
    <row r="17" spans="1:22">
      <c r="C17" s="311" t="s">
        <v>130</v>
      </c>
      <c r="E17" s="307" t="s">
        <v>125</v>
      </c>
      <c r="F17" s="309">
        <v>143504</v>
      </c>
    </row>
    <row r="18" spans="1:22">
      <c r="C18" s="311" t="s">
        <v>130</v>
      </c>
      <c r="E18" s="311" t="s">
        <v>125</v>
      </c>
      <c r="F18" s="309">
        <v>143504</v>
      </c>
    </row>
    <row r="20" spans="1:22">
      <c r="A20" s="306" t="s">
        <v>418</v>
      </c>
    </row>
    <row r="21" spans="1:22">
      <c r="C21" s="311" t="s">
        <v>124</v>
      </c>
      <c r="D21" s="312">
        <v>1</v>
      </c>
      <c r="E21" s="307" t="s">
        <v>125</v>
      </c>
      <c r="F21" s="309">
        <v>143504</v>
      </c>
      <c r="G21" s="310">
        <v>0</v>
      </c>
      <c r="I21" s="310">
        <v>30305</v>
      </c>
      <c r="K21" s="310">
        <v>0</v>
      </c>
    </row>
    <row r="22" spans="1:22">
      <c r="C22" s="311" t="s">
        <v>129</v>
      </c>
      <c r="E22" s="307" t="s">
        <v>127</v>
      </c>
      <c r="F22" s="309">
        <v>0</v>
      </c>
    </row>
    <row r="23" spans="1:22">
      <c r="C23" s="311" t="s">
        <v>130</v>
      </c>
      <c r="E23" s="307" t="s">
        <v>125</v>
      </c>
      <c r="F23" s="309">
        <v>143504</v>
      </c>
    </row>
    <row r="24" spans="1:22">
      <c r="C24" s="311" t="s">
        <v>130</v>
      </c>
      <c r="E24" s="311" t="s">
        <v>125</v>
      </c>
      <c r="F24" s="309">
        <v>143504</v>
      </c>
    </row>
    <row r="26" spans="1:22">
      <c r="A26" s="306" t="s">
        <v>122</v>
      </c>
    </row>
    <row r="27" spans="1:22">
      <c r="A27" s="307" t="s">
        <v>275</v>
      </c>
      <c r="B27" s="307" t="s">
        <v>273</v>
      </c>
      <c r="C27" s="307" t="s">
        <v>135</v>
      </c>
      <c r="D27" s="308">
        <v>44805</v>
      </c>
      <c r="E27" s="308">
        <v>46721</v>
      </c>
      <c r="F27" s="309">
        <v>99907</v>
      </c>
      <c r="G27" s="310">
        <v>79384.22</v>
      </c>
      <c r="H27" s="310">
        <v>9.5299999999999994</v>
      </c>
      <c r="I27" s="310">
        <v>20540</v>
      </c>
      <c r="L27" s="311" t="s">
        <v>417</v>
      </c>
      <c r="M27" s="308">
        <v>46113</v>
      </c>
      <c r="N27" s="310">
        <v>82162.67</v>
      </c>
      <c r="O27" s="310">
        <v>9.8699999999999992</v>
      </c>
      <c r="Q27" s="315">
        <f>N27</f>
        <v>82162.67</v>
      </c>
      <c r="R27" s="315">
        <f>I35</f>
        <v>20540</v>
      </c>
      <c r="S27" s="317">
        <f>(E27-$M$3)/365</f>
        <v>1.6684931506849314</v>
      </c>
      <c r="T27" s="314">
        <f>F35</f>
        <v>99907</v>
      </c>
      <c r="V27">
        <f>Q27*12</f>
        <v>985952.04</v>
      </c>
    </row>
    <row r="28" spans="1:22">
      <c r="L28" s="311" t="s">
        <v>417</v>
      </c>
      <c r="M28" s="308">
        <v>46478</v>
      </c>
      <c r="N28" s="310">
        <v>85038.36</v>
      </c>
      <c r="O28" s="310">
        <v>10.210000000000001</v>
      </c>
    </row>
    <row r="29" spans="1:22">
      <c r="A29" s="306" t="s">
        <v>123</v>
      </c>
      <c r="C29" s="311" t="s">
        <v>124</v>
      </c>
      <c r="D29" s="312">
        <v>1</v>
      </c>
      <c r="E29" s="307" t="s">
        <v>125</v>
      </c>
      <c r="F29" s="309">
        <v>99907</v>
      </c>
      <c r="G29" s="310">
        <v>79384.22</v>
      </c>
      <c r="I29" s="310">
        <v>20540</v>
      </c>
      <c r="K29" s="310">
        <v>0</v>
      </c>
    </row>
    <row r="30" spans="1:22">
      <c r="C30" s="311" t="s">
        <v>129</v>
      </c>
      <c r="E30" s="307" t="s">
        <v>127</v>
      </c>
      <c r="F30" s="309">
        <v>0</v>
      </c>
    </row>
    <row r="31" spans="1:22">
      <c r="C31" s="311" t="s">
        <v>130</v>
      </c>
      <c r="E31" s="307" t="s">
        <v>125</v>
      </c>
      <c r="F31" s="309">
        <v>99907</v>
      </c>
      <c r="G31" s="310">
        <v>79384.22</v>
      </c>
    </row>
    <row r="32" spans="1:22">
      <c r="C32" s="311" t="s">
        <v>130</v>
      </c>
      <c r="E32" s="311" t="s">
        <v>125</v>
      </c>
      <c r="F32" s="309">
        <v>99907</v>
      </c>
      <c r="G32" s="310">
        <v>79384.22</v>
      </c>
    </row>
    <row r="34" spans="1:20">
      <c r="A34" s="306" t="s">
        <v>419</v>
      </c>
    </row>
    <row r="35" spans="1:20">
      <c r="C35" s="311" t="s">
        <v>124</v>
      </c>
      <c r="D35" s="312">
        <v>1</v>
      </c>
      <c r="E35" s="307" t="s">
        <v>125</v>
      </c>
      <c r="F35" s="309">
        <v>99907</v>
      </c>
      <c r="G35" s="310">
        <v>79384.22</v>
      </c>
      <c r="I35" s="310">
        <v>20540</v>
      </c>
      <c r="K35" s="310">
        <v>0</v>
      </c>
    </row>
    <row r="36" spans="1:20">
      <c r="C36" s="311" t="s">
        <v>129</v>
      </c>
      <c r="E36" s="307" t="s">
        <v>127</v>
      </c>
      <c r="F36" s="309">
        <v>0</v>
      </c>
    </row>
    <row r="37" spans="1:20">
      <c r="C37" s="311" t="s">
        <v>130</v>
      </c>
      <c r="E37" s="307" t="s">
        <v>125</v>
      </c>
      <c r="F37" s="309">
        <v>99907</v>
      </c>
      <c r="G37" s="310">
        <v>79384.22</v>
      </c>
    </row>
    <row r="38" spans="1:20">
      <c r="C38" s="311" t="s">
        <v>130</v>
      </c>
      <c r="E38" s="311" t="s">
        <v>125</v>
      </c>
      <c r="F38" s="309">
        <v>99907</v>
      </c>
      <c r="G38" s="310">
        <v>79384.22</v>
      </c>
    </row>
    <row r="40" spans="1:20">
      <c r="A40" s="306" t="s">
        <v>122</v>
      </c>
    </row>
    <row r="41" spans="1:20">
      <c r="A41" s="307" t="s">
        <v>274</v>
      </c>
      <c r="B41" s="307" t="s">
        <v>273</v>
      </c>
      <c r="C41" s="307" t="s">
        <v>143</v>
      </c>
      <c r="D41" s="308">
        <v>40585</v>
      </c>
      <c r="E41" s="308">
        <v>46142</v>
      </c>
      <c r="F41" s="309">
        <v>55358</v>
      </c>
      <c r="G41" s="310">
        <v>54441.81</v>
      </c>
      <c r="H41" s="310">
        <v>11.8</v>
      </c>
      <c r="I41" s="310">
        <v>6866</v>
      </c>
      <c r="Q41" s="315"/>
      <c r="R41" s="315"/>
      <c r="S41" s="317">
        <f>(E41-$M$3)/365</f>
        <v>8.2191780821917804E-2</v>
      </c>
      <c r="T41" s="314">
        <f>F42</f>
        <v>55358</v>
      </c>
    </row>
    <row r="42" spans="1:20">
      <c r="A42" s="306" t="s">
        <v>123</v>
      </c>
      <c r="C42" s="311" t="s">
        <v>124</v>
      </c>
      <c r="D42" s="312">
        <v>1</v>
      </c>
      <c r="E42" s="307" t="s">
        <v>125</v>
      </c>
      <c r="F42" s="309">
        <v>55358</v>
      </c>
      <c r="G42" s="310">
        <v>54441.81</v>
      </c>
      <c r="I42" s="310">
        <v>6866</v>
      </c>
      <c r="K42" s="310">
        <v>0</v>
      </c>
    </row>
    <row r="43" spans="1:20">
      <c r="C43" s="311" t="s">
        <v>129</v>
      </c>
      <c r="E43" s="307" t="s">
        <v>127</v>
      </c>
      <c r="F43" s="309">
        <v>0</v>
      </c>
      <c r="N43">
        <f>G41*12</f>
        <v>653301.72</v>
      </c>
    </row>
    <row r="44" spans="1:20">
      <c r="C44" s="311" t="s">
        <v>130</v>
      </c>
      <c r="E44" s="307" t="s">
        <v>125</v>
      </c>
      <c r="F44" s="309">
        <v>55358</v>
      </c>
      <c r="G44" s="310">
        <v>54441.81</v>
      </c>
    </row>
    <row r="45" spans="1:20">
      <c r="C45" s="311" t="s">
        <v>130</v>
      </c>
      <c r="E45" s="311" t="s">
        <v>125</v>
      </c>
      <c r="F45" s="309">
        <v>55358</v>
      </c>
      <c r="G45" s="310">
        <v>54441.81</v>
      </c>
    </row>
    <row r="47" spans="1:20">
      <c r="A47" s="306" t="s">
        <v>420</v>
      </c>
    </row>
    <row r="48" spans="1:20">
      <c r="C48" s="311" t="s">
        <v>124</v>
      </c>
      <c r="D48" s="312">
        <v>1</v>
      </c>
      <c r="E48" s="307" t="s">
        <v>125</v>
      </c>
      <c r="F48" s="309">
        <v>55358</v>
      </c>
      <c r="G48" s="310">
        <v>54441.81</v>
      </c>
      <c r="I48" s="310">
        <v>6866</v>
      </c>
      <c r="K48" s="310">
        <v>0</v>
      </c>
    </row>
    <row r="49" spans="1:15">
      <c r="C49" s="311" t="s">
        <v>129</v>
      </c>
      <c r="E49" s="307" t="s">
        <v>127</v>
      </c>
      <c r="F49" s="309">
        <v>0</v>
      </c>
    </row>
    <row r="50" spans="1:15">
      <c r="C50" s="311" t="s">
        <v>130</v>
      </c>
      <c r="E50" s="307" t="s">
        <v>125</v>
      </c>
      <c r="F50" s="309">
        <v>55358</v>
      </c>
      <c r="G50" s="310">
        <v>54441.81</v>
      </c>
    </row>
    <row r="51" spans="1:15">
      <c r="C51" s="311" t="s">
        <v>130</v>
      </c>
      <c r="E51" s="311" t="s">
        <v>125</v>
      </c>
      <c r="F51" s="309">
        <v>55358</v>
      </c>
      <c r="G51" s="310">
        <v>54441.81</v>
      </c>
    </row>
    <row r="53" spans="1:15">
      <c r="A53" s="306" t="s">
        <v>147</v>
      </c>
    </row>
    <row r="54" spans="1:15">
      <c r="C54" s="311" t="s">
        <v>124</v>
      </c>
      <c r="D54" s="312">
        <v>1</v>
      </c>
      <c r="E54" s="307" t="s">
        <v>421</v>
      </c>
      <c r="F54" s="309">
        <v>298769</v>
      </c>
      <c r="G54" s="310">
        <v>133826.03</v>
      </c>
      <c r="I54" s="310">
        <v>57711</v>
      </c>
      <c r="K54" s="310">
        <v>0</v>
      </c>
    </row>
    <row r="55" spans="1:15">
      <c r="C55" s="311" t="s">
        <v>129</v>
      </c>
      <c r="E55" s="307" t="s">
        <v>127</v>
      </c>
      <c r="F55" s="309">
        <v>0</v>
      </c>
    </row>
    <row r="56" spans="1:15">
      <c r="C56" s="311" t="s">
        <v>130</v>
      </c>
      <c r="E56" s="307" t="s">
        <v>421</v>
      </c>
      <c r="F56" s="309">
        <v>298769</v>
      </c>
      <c r="G56" s="310">
        <v>133826.03</v>
      </c>
    </row>
    <row r="57" spans="1:15">
      <c r="C57" s="311" t="s">
        <v>130</v>
      </c>
      <c r="E57" s="311" t="s">
        <v>421</v>
      </c>
      <c r="F57" s="309">
        <v>298769</v>
      </c>
      <c r="G57" s="310">
        <v>133826.03</v>
      </c>
    </row>
    <row r="60" spans="1:15">
      <c r="A60" s="313" t="s">
        <v>422</v>
      </c>
      <c r="C60" s="313" t="s">
        <v>423</v>
      </c>
      <c r="G60" s="313" t="s">
        <v>424</v>
      </c>
      <c r="K60" s="313" t="s">
        <v>425</v>
      </c>
      <c r="N60" s="313" t="s">
        <v>426</v>
      </c>
      <c r="O60" s="313" t="s">
        <v>427</v>
      </c>
    </row>
    <row r="62" spans="1:15">
      <c r="C62" t="s">
        <v>438</v>
      </c>
      <c r="F62" s="325">
        <f>(F54-F41-F7+34000)/F54</f>
        <v>0.44819576328200045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1D5C-5E16-41CB-A178-28473708BD1C}">
  <dimension ref="A1:Q82"/>
  <sheetViews>
    <sheetView workbookViewId="0"/>
  </sheetViews>
  <sheetFormatPr defaultColWidth="9.140625" defaultRowHeight="12.75"/>
  <cols>
    <col min="1" max="1" width="17" style="175" customWidth="1"/>
    <col min="2" max="2" width="47.42578125" style="175" customWidth="1"/>
    <col min="3" max="15" width="10.28515625" style="175" customWidth="1"/>
    <col min="16" max="16384" width="9.140625" style="175"/>
  </cols>
  <sheetData>
    <row r="1" spans="1:17">
      <c r="A1" s="174" t="s">
        <v>148</v>
      </c>
      <c r="B1" s="174"/>
      <c r="C1" s="174"/>
      <c r="D1" s="174"/>
      <c r="E1" s="174"/>
      <c r="F1" s="174"/>
      <c r="G1" s="174"/>
      <c r="H1" s="174" t="s">
        <v>229</v>
      </c>
      <c r="I1" s="174"/>
      <c r="J1" s="174"/>
      <c r="K1" s="174"/>
      <c r="L1" s="174"/>
      <c r="M1" s="174"/>
      <c r="N1" s="174"/>
      <c r="O1" s="174"/>
    </row>
    <row r="2" spans="1:17">
      <c r="A2" s="174" t="s">
        <v>149</v>
      </c>
      <c r="B2" s="174"/>
      <c r="C2" s="174"/>
      <c r="D2" s="174"/>
      <c r="E2" s="174"/>
      <c r="F2" s="174"/>
      <c r="G2" s="174"/>
      <c r="H2" s="174" t="s">
        <v>150</v>
      </c>
      <c r="I2" s="174"/>
      <c r="J2" s="174"/>
      <c r="K2" s="174"/>
      <c r="L2" s="174"/>
      <c r="M2" s="174"/>
      <c r="N2" s="174"/>
      <c r="O2" s="174"/>
    </row>
    <row r="3" spans="1:17">
      <c r="A3" s="174" t="s">
        <v>73</v>
      </c>
      <c r="B3" s="174"/>
      <c r="C3" s="174"/>
      <c r="D3" s="174"/>
      <c r="E3" s="174"/>
      <c r="F3" s="174"/>
      <c r="G3" s="174"/>
      <c r="H3" s="174" t="s">
        <v>151</v>
      </c>
      <c r="I3" s="174"/>
      <c r="J3" s="174"/>
      <c r="K3" s="174"/>
      <c r="L3" s="174"/>
      <c r="M3" s="174"/>
      <c r="N3" s="174"/>
      <c r="O3" s="174"/>
    </row>
    <row r="4" spans="1:17">
      <c r="A4" s="174" t="s">
        <v>73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</row>
    <row r="5" spans="1:17">
      <c r="A5" s="174" t="s">
        <v>152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</row>
    <row r="6" spans="1:17">
      <c r="A6" s="174"/>
      <c r="B6" s="174"/>
      <c r="C6" s="174"/>
      <c r="D6" s="174"/>
      <c r="E6" s="174"/>
      <c r="F6" s="174"/>
      <c r="G6" s="174"/>
      <c r="H6" s="174" t="s">
        <v>283</v>
      </c>
      <c r="I6" s="174"/>
      <c r="J6" s="174"/>
      <c r="K6" s="174"/>
      <c r="L6" s="174"/>
      <c r="M6" s="174"/>
      <c r="N6" s="174"/>
      <c r="O6" s="174"/>
    </row>
    <row r="7" spans="1:1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</row>
    <row r="8" spans="1:17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</row>
    <row r="9" spans="1:17">
      <c r="A9" s="176"/>
      <c r="B9" s="177"/>
      <c r="C9" s="177">
        <v>45566</v>
      </c>
      <c r="D9" s="177">
        <v>45597</v>
      </c>
      <c r="E9" s="177">
        <v>45627</v>
      </c>
      <c r="F9" s="177">
        <v>45688</v>
      </c>
      <c r="G9" s="177">
        <v>45716</v>
      </c>
      <c r="H9" s="177">
        <v>45747</v>
      </c>
      <c r="I9" s="177">
        <v>45777</v>
      </c>
      <c r="J9" s="177">
        <v>45808</v>
      </c>
      <c r="K9" s="177">
        <v>45838</v>
      </c>
      <c r="L9" s="177">
        <v>45869</v>
      </c>
      <c r="M9" s="177">
        <v>45900</v>
      </c>
      <c r="N9" s="177">
        <v>45930</v>
      </c>
      <c r="O9" s="177" t="s">
        <v>153</v>
      </c>
    </row>
    <row r="10" spans="1:17">
      <c r="A10" s="175" t="s">
        <v>284</v>
      </c>
    </row>
    <row r="11" spans="1:17"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</row>
    <row r="12" spans="1:17">
      <c r="A12" s="175" t="s">
        <v>285</v>
      </c>
      <c r="B12" s="175" t="s">
        <v>156</v>
      </c>
      <c r="C12" s="178">
        <f>SUMIFS('2Q T12'!F:F,'2Q T12'!$A:$A,'3Q T12'!$B12)</f>
        <v>129555.86</v>
      </c>
      <c r="D12" s="178">
        <f>SUMIFS('2Q T12'!G:G,'2Q T12'!$A:$A,'3Q T12'!$B12)</f>
        <v>129555.86</v>
      </c>
      <c r="E12" s="178">
        <f>SUMIFS('2Q T12'!H:H,'2Q T12'!$A:$A,'3Q T12'!$B12)</f>
        <v>129555.86</v>
      </c>
      <c r="F12" s="178">
        <v>129556</v>
      </c>
      <c r="G12" s="178">
        <v>129556</v>
      </c>
      <c r="H12" s="178">
        <v>129556</v>
      </c>
      <c r="I12" s="178">
        <v>132240</v>
      </c>
      <c r="J12" s="178">
        <v>133826</v>
      </c>
      <c r="K12" s="178">
        <v>133826</v>
      </c>
      <c r="L12" s="178">
        <v>133826</v>
      </c>
      <c r="M12" s="178">
        <v>133826</v>
      </c>
      <c r="N12" s="178">
        <v>133826</v>
      </c>
      <c r="O12" s="178">
        <f>SUM(C12:N12)</f>
        <v>1578705.58</v>
      </c>
      <c r="P12" s="178"/>
      <c r="Q12" s="178"/>
    </row>
    <row r="13" spans="1:17">
      <c r="A13" s="175" t="s">
        <v>286</v>
      </c>
      <c r="B13" s="179" t="s">
        <v>230</v>
      </c>
      <c r="C13" s="178">
        <f>SUMIFS('2Q T12'!F:F,'2Q T12'!$A:$A,'3Q T12'!$B13)</f>
        <v>0</v>
      </c>
      <c r="D13" s="178">
        <f>SUMIFS('2Q T12'!G:G,'2Q T12'!$A:$A,'3Q T12'!$B13)</f>
        <v>0</v>
      </c>
      <c r="E13" s="178">
        <f>SUMIFS('2Q T12'!H:H,'2Q T12'!$A:$A,'3Q T12'!$B13)</f>
        <v>0</v>
      </c>
      <c r="F13" s="178">
        <v>0</v>
      </c>
      <c r="G13" s="178">
        <v>0</v>
      </c>
      <c r="H13" s="178">
        <v>0</v>
      </c>
      <c r="I13" s="178">
        <v>0</v>
      </c>
      <c r="J13" s="178">
        <v>0</v>
      </c>
      <c r="K13" s="178">
        <v>0</v>
      </c>
      <c r="L13" s="178">
        <v>0</v>
      </c>
      <c r="M13" s="178">
        <v>0</v>
      </c>
      <c r="N13" s="178">
        <v>0</v>
      </c>
      <c r="O13" s="178">
        <f t="shared" ref="O13:O67" si="0">SUM(C13:N13)</f>
        <v>0</v>
      </c>
      <c r="P13" s="178"/>
      <c r="Q13" s="178"/>
    </row>
    <row r="14" spans="1:17">
      <c r="A14" s="175" t="s">
        <v>287</v>
      </c>
      <c r="B14" s="180" t="s">
        <v>245</v>
      </c>
      <c r="C14" s="181">
        <f>SUMIFS('2Q T12'!F:F,'2Q T12'!$A:$A,'3Q T12'!$B14)</f>
        <v>0</v>
      </c>
      <c r="D14" s="181">
        <f>SUMIFS('2Q T12'!G:G,'2Q T12'!$A:$A,'3Q T12'!$B14)</f>
        <v>0</v>
      </c>
      <c r="E14" s="181">
        <f>SUMIFS('2Q T12'!H:H,'2Q T12'!$A:$A,'3Q T12'!$B14)</f>
        <v>0</v>
      </c>
      <c r="F14" s="181">
        <v>0</v>
      </c>
      <c r="G14" s="181">
        <v>-325</v>
      </c>
      <c r="H14" s="181">
        <v>0</v>
      </c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>
        <v>0</v>
      </c>
      <c r="O14" s="181">
        <f t="shared" si="0"/>
        <v>-325</v>
      </c>
      <c r="P14" s="178"/>
      <c r="Q14" s="178"/>
    </row>
    <row r="15" spans="1:17">
      <c r="A15" s="175" t="s">
        <v>288</v>
      </c>
      <c r="B15" s="179" t="s">
        <v>266</v>
      </c>
      <c r="C15" s="178">
        <f>SUMIFS('2Q T12'!F:F,'2Q T12'!$A:$A,'3Q T12'!$B15)</f>
        <v>0</v>
      </c>
      <c r="D15" s="178">
        <f>SUMIFS('2Q T12'!G:G,'2Q T12'!$A:$A,'3Q T12'!$B15)</f>
        <v>0</v>
      </c>
      <c r="E15" s="178">
        <f>SUMIFS('2Q T12'!H:H,'2Q T12'!$A:$A,'3Q T12'!$B15)</f>
        <v>0</v>
      </c>
      <c r="F15" s="178">
        <v>26</v>
      </c>
      <c r="G15" s="178">
        <v>0</v>
      </c>
      <c r="H15" s="178">
        <v>0</v>
      </c>
      <c r="I15" s="178">
        <v>0</v>
      </c>
      <c r="J15" s="178">
        <v>0</v>
      </c>
      <c r="K15" s="178">
        <v>0</v>
      </c>
      <c r="L15" s="178">
        <v>0</v>
      </c>
      <c r="M15" s="178">
        <v>0</v>
      </c>
      <c r="N15" s="178">
        <v>0</v>
      </c>
      <c r="O15" s="178">
        <f t="shared" si="0"/>
        <v>26</v>
      </c>
      <c r="P15" s="178"/>
      <c r="Q15" s="178"/>
    </row>
    <row r="16" spans="1:17">
      <c r="A16" s="175" t="s">
        <v>289</v>
      </c>
      <c r="B16" s="179" t="s">
        <v>159</v>
      </c>
      <c r="C16" s="178">
        <f>SUMIFS('2Q T12'!F:F,'2Q T12'!$A:$A,'3Q T12'!$B16)</f>
        <v>8569.83</v>
      </c>
      <c r="D16" s="178">
        <f>SUMIFS('2Q T12'!G:G,'2Q T12'!$A:$A,'3Q T12'!$B16)</f>
        <v>8569.83</v>
      </c>
      <c r="E16" s="178">
        <f>SUMIFS('2Q T12'!H:H,'2Q T12'!$A:$A,'3Q T12'!$B16)</f>
        <v>8569.83</v>
      </c>
      <c r="F16" s="178">
        <v>11494</v>
      </c>
      <c r="G16" s="178">
        <v>11494</v>
      </c>
      <c r="H16" s="178">
        <v>11494</v>
      </c>
      <c r="I16" s="178">
        <v>11494</v>
      </c>
      <c r="J16" s="178">
        <v>-130205</v>
      </c>
      <c r="K16" s="178">
        <v>11494</v>
      </c>
      <c r="L16" s="178">
        <v>11494</v>
      </c>
      <c r="M16" s="178">
        <v>54225</v>
      </c>
      <c r="N16" s="178">
        <v>11494</v>
      </c>
      <c r="O16" s="178">
        <f t="shared" si="0"/>
        <v>30187.489999999991</v>
      </c>
      <c r="P16" s="178"/>
      <c r="Q16" s="178"/>
    </row>
    <row r="17" spans="1:17">
      <c r="A17" s="175" t="s">
        <v>290</v>
      </c>
      <c r="B17" s="179" t="s">
        <v>160</v>
      </c>
      <c r="C17" s="178">
        <f>SUMIFS('2Q T12'!F:F,'2Q T12'!$A:$A,'3Q T12'!$B17)</f>
        <v>28825.919999999998</v>
      </c>
      <c r="D17" s="178">
        <f>SUMIFS('2Q T12'!G:G,'2Q T12'!$A:$A,'3Q T12'!$B17)</f>
        <v>28825.919999999998</v>
      </c>
      <c r="E17" s="178">
        <f>SUMIFS('2Q T12'!H:H,'2Q T12'!$A:$A,'3Q T12'!$B17)</f>
        <v>28825.919999999998</v>
      </c>
      <c r="F17" s="178">
        <v>24390</v>
      </c>
      <c r="G17" s="178">
        <v>24390</v>
      </c>
      <c r="H17" s="178">
        <v>24390</v>
      </c>
      <c r="I17" s="178">
        <v>24390</v>
      </c>
      <c r="J17" s="178">
        <v>21093</v>
      </c>
      <c r="K17" s="178">
        <v>24390</v>
      </c>
      <c r="L17" s="178">
        <v>24390</v>
      </c>
      <c r="M17" s="178">
        <v>24390</v>
      </c>
      <c r="N17" s="178">
        <v>24390</v>
      </c>
      <c r="O17" s="178">
        <f t="shared" si="0"/>
        <v>302690.76</v>
      </c>
      <c r="P17" s="178"/>
      <c r="Q17" s="178"/>
    </row>
    <row r="18" spans="1:17">
      <c r="A18" s="175" t="s">
        <v>291</v>
      </c>
      <c r="B18" s="179" t="s">
        <v>161</v>
      </c>
      <c r="C18" s="178">
        <f>SUMIFS('2Q T12'!F:F,'2Q T12'!$A:$A,'3Q T12'!$B18)</f>
        <v>5119.75</v>
      </c>
      <c r="D18" s="178">
        <f>SUMIFS('2Q T12'!G:G,'2Q T12'!$A:$A,'3Q T12'!$B18)</f>
        <v>5119.75</v>
      </c>
      <c r="E18" s="178">
        <f>SUMIFS('2Q T12'!H:H,'2Q T12'!$A:$A,'3Q T12'!$B18)</f>
        <v>5119.75</v>
      </c>
      <c r="F18" s="178">
        <v>2986</v>
      </c>
      <c r="G18" s="178">
        <v>2986</v>
      </c>
      <c r="H18" s="178">
        <v>2986</v>
      </c>
      <c r="I18" s="178">
        <v>2986</v>
      </c>
      <c r="J18" s="178">
        <v>-10326</v>
      </c>
      <c r="K18" s="178">
        <v>-39745</v>
      </c>
      <c r="L18" s="178">
        <v>2986</v>
      </c>
      <c r="M18" s="178">
        <v>2986</v>
      </c>
      <c r="N18" s="178">
        <v>2986</v>
      </c>
      <c r="O18" s="178">
        <f t="shared" si="0"/>
        <v>-13809.75</v>
      </c>
      <c r="P18" s="178"/>
      <c r="Q18" s="178"/>
    </row>
    <row r="19" spans="1:17">
      <c r="A19" s="175" t="s">
        <v>292</v>
      </c>
      <c r="B19" s="179" t="s">
        <v>293</v>
      </c>
      <c r="C19" s="178">
        <f>SUMIFS('2Q T12'!F:F,'2Q T12'!$A:$A,'3Q T12'!$B19)</f>
        <v>0</v>
      </c>
      <c r="D19" s="178">
        <f>SUMIFS('2Q T12'!G:G,'2Q T12'!$A:$A,'3Q T12'!$B19)</f>
        <v>0</v>
      </c>
      <c r="E19" s="178">
        <f>SUMIFS('2Q T12'!H:H,'2Q T12'!$A:$A,'3Q T12'!$B19)</f>
        <v>0</v>
      </c>
      <c r="F19" s="178">
        <v>0</v>
      </c>
      <c r="G19" s="178">
        <v>0</v>
      </c>
      <c r="H19" s="178">
        <v>0</v>
      </c>
      <c r="I19" s="178">
        <v>0</v>
      </c>
      <c r="J19" s="178">
        <v>0</v>
      </c>
      <c r="K19" s="178">
        <v>0</v>
      </c>
      <c r="L19" s="178">
        <v>0</v>
      </c>
      <c r="M19" s="178">
        <v>0</v>
      </c>
      <c r="N19" s="178">
        <v>0</v>
      </c>
      <c r="O19" s="178">
        <f t="shared" si="0"/>
        <v>0</v>
      </c>
      <c r="P19" s="178"/>
      <c r="Q19" s="178"/>
    </row>
    <row r="20" spans="1:17">
      <c r="A20" s="175" t="s">
        <v>294</v>
      </c>
      <c r="B20" s="180" t="s">
        <v>213</v>
      </c>
      <c r="C20" s="181">
        <f>SUMIFS('2Q T12'!F:F,'2Q T12'!$A:$A,'3Q T12'!$B20)</f>
        <v>40.769999999999996</v>
      </c>
      <c r="D20" s="181">
        <f>SUMIFS('2Q T12'!G:G,'2Q T12'!$A:$A,'3Q T12'!$B20)</f>
        <v>30</v>
      </c>
      <c r="E20" s="181">
        <f>SUMIFS('2Q T12'!H:H,'2Q T12'!$A:$A,'3Q T12'!$B20)</f>
        <v>30</v>
      </c>
      <c r="F20" s="181">
        <v>30</v>
      </c>
      <c r="G20" s="181">
        <v>30</v>
      </c>
      <c r="H20" s="181">
        <v>0</v>
      </c>
      <c r="I20" s="181">
        <v>0</v>
      </c>
      <c r="J20" s="181">
        <v>0</v>
      </c>
      <c r="K20" s="181">
        <v>0</v>
      </c>
      <c r="L20" s="181">
        <v>0</v>
      </c>
      <c r="M20" s="181">
        <v>0</v>
      </c>
      <c r="N20" s="181">
        <v>0</v>
      </c>
      <c r="O20" s="181">
        <f t="shared" si="0"/>
        <v>160.76999999999998</v>
      </c>
      <c r="P20" s="178"/>
      <c r="Q20" s="178"/>
    </row>
    <row r="21" spans="1:17">
      <c r="A21" s="175" t="s">
        <v>295</v>
      </c>
      <c r="B21" s="179"/>
      <c r="C21" s="178">
        <f>SUM(C12:C20)</f>
        <v>172112.12999999998</v>
      </c>
      <c r="D21" s="178">
        <f>SUM(D12:D20)</f>
        <v>172101.36</v>
      </c>
      <c r="E21" s="178">
        <f>SUM(E12:E20)</f>
        <v>172101.36</v>
      </c>
      <c r="F21" s="178">
        <v>168481</v>
      </c>
      <c r="G21" s="178">
        <v>168131</v>
      </c>
      <c r="H21" s="178">
        <v>168426</v>
      </c>
      <c r="I21" s="178">
        <v>171110</v>
      </c>
      <c r="J21" s="178">
        <v>14388</v>
      </c>
      <c r="K21" s="178">
        <v>129965</v>
      </c>
      <c r="L21" s="178">
        <v>172696</v>
      </c>
      <c r="M21" s="178">
        <v>215427</v>
      </c>
      <c r="N21" s="178">
        <v>172696</v>
      </c>
      <c r="O21" s="178">
        <f t="shared" si="0"/>
        <v>1897634.85</v>
      </c>
      <c r="P21" s="178"/>
      <c r="Q21" s="178"/>
    </row>
    <row r="22" spans="1:17">
      <c r="B22" s="180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>
        <f t="shared" si="0"/>
        <v>0</v>
      </c>
      <c r="P22" s="178"/>
      <c r="Q22" s="178"/>
    </row>
    <row r="23" spans="1:17" ht="13.5" thickBot="1">
      <c r="A23" s="175" t="s">
        <v>296</v>
      </c>
      <c r="B23" s="182"/>
      <c r="C23" s="183">
        <f>SUMIFS('2Q T12'!F:F,'2Q T12'!$A:$A,'3Q T12'!$B23)</f>
        <v>0</v>
      </c>
      <c r="D23" s="183">
        <f>SUMIFS('2Q T12'!G:G,'2Q T12'!$A:$A,'3Q T12'!$B23)</f>
        <v>0</v>
      </c>
      <c r="E23" s="183">
        <f>SUMIFS('2Q T12'!H:H,'2Q T12'!$A:$A,'3Q T12'!$B23)</f>
        <v>0</v>
      </c>
      <c r="F23" s="183">
        <v>0</v>
      </c>
      <c r="G23" s="183">
        <v>0</v>
      </c>
      <c r="H23" s="183">
        <v>0</v>
      </c>
      <c r="I23" s="183">
        <v>0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f t="shared" si="0"/>
        <v>0</v>
      </c>
      <c r="P23" s="178"/>
      <c r="Q23" s="178"/>
    </row>
    <row r="24" spans="1:17" ht="13.5" thickTop="1">
      <c r="B24" s="179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>
        <f t="shared" si="0"/>
        <v>0</v>
      </c>
      <c r="P24" s="178"/>
      <c r="Q24" s="178"/>
    </row>
    <row r="25" spans="1:17">
      <c r="A25" s="175" t="s">
        <v>297</v>
      </c>
      <c r="B25" s="179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>
        <f t="shared" si="0"/>
        <v>0</v>
      </c>
      <c r="P25" s="178"/>
      <c r="Q25" s="178"/>
    </row>
    <row r="26" spans="1:17">
      <c r="B26" s="179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>
        <f t="shared" si="0"/>
        <v>0</v>
      </c>
      <c r="P26" s="178"/>
      <c r="Q26" s="178"/>
    </row>
    <row r="27" spans="1:17">
      <c r="A27" s="175" t="s">
        <v>165</v>
      </c>
      <c r="B27" s="179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>
        <f t="shared" si="0"/>
        <v>0</v>
      </c>
      <c r="P27" s="178"/>
      <c r="Q27" s="178"/>
    </row>
    <row r="28" spans="1:17">
      <c r="A28" s="175" t="s">
        <v>298</v>
      </c>
      <c r="B28" s="179" t="s">
        <v>167</v>
      </c>
      <c r="C28" s="178">
        <f>SUMIFS('2Q T12'!F:F,'2Q T12'!$A:$A,'3Q T12'!$B28)</f>
        <v>-109312.86</v>
      </c>
      <c r="D28" s="178">
        <f>SUMIFS('2Q T12'!G:G,'2Q T12'!$A:$A,'3Q T12'!$B28)</f>
        <v>41186.129999999997</v>
      </c>
      <c r="E28" s="178">
        <f>SUMIFS('2Q T12'!H:H,'2Q T12'!$A:$A,'3Q T12'!$B28)</f>
        <v>57003.51</v>
      </c>
      <c r="F28" s="178">
        <v>48859</v>
      </c>
      <c r="G28" s="178">
        <v>48859</v>
      </c>
      <c r="H28" s="178">
        <v>48859</v>
      </c>
      <c r="I28" s="178">
        <v>48859</v>
      </c>
      <c r="J28" s="178">
        <v>48859</v>
      </c>
      <c r="K28" s="178">
        <v>48859</v>
      </c>
      <c r="L28" s="178">
        <v>48859</v>
      </c>
      <c r="M28" s="178">
        <v>48859</v>
      </c>
      <c r="N28" s="178">
        <v>48859</v>
      </c>
      <c r="O28" s="178">
        <f t="shared" si="0"/>
        <v>428607.78</v>
      </c>
      <c r="P28" s="178"/>
      <c r="Q28" s="178"/>
    </row>
    <row r="29" spans="1:17">
      <c r="A29" s="175" t="s">
        <v>299</v>
      </c>
      <c r="B29" s="179" t="s">
        <v>168</v>
      </c>
      <c r="C29" s="178">
        <f>SUMIFS('2Q T12'!F:F,'2Q T12'!$A:$A,'3Q T12'!$B29)</f>
        <v>23757.58</v>
      </c>
      <c r="D29" s="178">
        <f>SUMIFS('2Q T12'!G:G,'2Q T12'!$A:$A,'3Q T12'!$B29)</f>
        <v>23757.58</v>
      </c>
      <c r="E29" s="178">
        <f>SUMIFS('2Q T12'!H:H,'2Q T12'!$A:$A,'3Q T12'!$B29)</f>
        <v>18894.25</v>
      </c>
      <c r="F29" s="178">
        <v>23046</v>
      </c>
      <c r="G29" s="178">
        <v>23046</v>
      </c>
      <c r="H29" s="178">
        <v>0</v>
      </c>
      <c r="I29" s="178">
        <v>751</v>
      </c>
      <c r="J29" s="178">
        <v>666</v>
      </c>
      <c r="K29" s="178">
        <v>9724</v>
      </c>
      <c r="L29" s="178">
        <v>19335</v>
      </c>
      <c r="M29" s="178">
        <v>19333</v>
      </c>
      <c r="N29" s="178">
        <v>9666</v>
      </c>
      <c r="O29" s="178">
        <f t="shared" si="0"/>
        <v>171976.41</v>
      </c>
      <c r="P29" s="178"/>
      <c r="Q29" s="178"/>
    </row>
    <row r="30" spans="1:17">
      <c r="A30" s="175" t="s">
        <v>300</v>
      </c>
      <c r="B30" s="180" t="s">
        <v>171</v>
      </c>
      <c r="C30" s="181">
        <f>SUMIFS('2Q T12'!F:F,'2Q T12'!$A:$A,'3Q T12'!$B30)</f>
        <v>1525</v>
      </c>
      <c r="D30" s="181">
        <f>SUMIFS('2Q T12'!G:G,'2Q T12'!$A:$A,'3Q T12'!$B30)</f>
        <v>1525</v>
      </c>
      <c r="E30" s="181">
        <f>SUMIFS('2Q T12'!H:H,'2Q T12'!$A:$A,'3Q T12'!$B30)</f>
        <v>2025</v>
      </c>
      <c r="F30" s="181">
        <v>1535</v>
      </c>
      <c r="G30" s="181">
        <v>1535</v>
      </c>
      <c r="H30" s="181">
        <v>625</v>
      </c>
      <c r="I30" s="181">
        <v>625</v>
      </c>
      <c r="J30" s="181">
        <v>625</v>
      </c>
      <c r="K30" s="181">
        <v>625</v>
      </c>
      <c r="L30" s="181">
        <v>625</v>
      </c>
      <c r="M30" s="181">
        <v>625</v>
      </c>
      <c r="N30" s="181">
        <v>625</v>
      </c>
      <c r="O30" s="181">
        <f t="shared" si="0"/>
        <v>12520</v>
      </c>
      <c r="P30" s="178"/>
      <c r="Q30" s="178"/>
    </row>
    <row r="31" spans="1:17">
      <c r="A31" s="175" t="s">
        <v>301</v>
      </c>
      <c r="B31" s="179" t="s">
        <v>302</v>
      </c>
      <c r="C31" s="178">
        <f>SUMIFS('2Q T12'!F:F,'2Q T12'!$A:$A,'3Q T12'!$B31)</f>
        <v>0</v>
      </c>
      <c r="D31" s="178">
        <f>SUMIFS('2Q T12'!G:G,'2Q T12'!$A:$A,'3Q T12'!$B31)</f>
        <v>0</v>
      </c>
      <c r="E31" s="178">
        <f>SUMIFS('2Q T12'!H:H,'2Q T12'!$A:$A,'3Q T12'!$B31)</f>
        <v>0</v>
      </c>
      <c r="F31" s="178">
        <v>0</v>
      </c>
      <c r="G31" s="178">
        <v>0</v>
      </c>
      <c r="H31" s="178">
        <v>0</v>
      </c>
      <c r="I31" s="178">
        <v>0</v>
      </c>
      <c r="J31" s="178">
        <v>0</v>
      </c>
      <c r="K31" s="178">
        <v>0</v>
      </c>
      <c r="L31" s="178">
        <v>0</v>
      </c>
      <c r="M31" s="178">
        <v>418</v>
      </c>
      <c r="N31" s="178">
        <v>0</v>
      </c>
      <c r="O31" s="178">
        <f t="shared" si="0"/>
        <v>418</v>
      </c>
      <c r="P31" s="178"/>
      <c r="Q31" s="178"/>
    </row>
    <row r="32" spans="1:17">
      <c r="A32" s="175" t="s">
        <v>303</v>
      </c>
      <c r="B32" s="179" t="s">
        <v>172</v>
      </c>
      <c r="C32" s="178">
        <f>SUMIFS('2Q T12'!F:F,'2Q T12'!$A:$A,'3Q T12'!$B32)</f>
        <v>1054.8399999999999</v>
      </c>
      <c r="D32" s="178">
        <f>SUMIFS('2Q T12'!G:G,'2Q T12'!$A:$A,'3Q T12'!$B32)</f>
        <v>0</v>
      </c>
      <c r="E32" s="178">
        <f>SUMIFS('2Q T12'!H:H,'2Q T12'!$A:$A,'3Q T12'!$B32)</f>
        <v>32.08</v>
      </c>
      <c r="F32" s="178">
        <v>214</v>
      </c>
      <c r="G32" s="178">
        <v>0</v>
      </c>
      <c r="H32" s="178">
        <v>0</v>
      </c>
      <c r="I32" s="178">
        <v>441</v>
      </c>
      <c r="J32" s="178">
        <v>197</v>
      </c>
      <c r="K32" s="178">
        <v>0</v>
      </c>
      <c r="L32" s="178">
        <v>0</v>
      </c>
      <c r="M32" s="178">
        <v>786</v>
      </c>
      <c r="N32" s="178">
        <v>197</v>
      </c>
      <c r="O32" s="178">
        <f t="shared" si="0"/>
        <v>2921.92</v>
      </c>
      <c r="P32" s="178"/>
      <c r="Q32" s="178"/>
    </row>
    <row r="33" spans="1:17">
      <c r="A33" s="175" t="s">
        <v>304</v>
      </c>
      <c r="B33" s="179" t="s">
        <v>173</v>
      </c>
      <c r="C33" s="178">
        <f>SUMIFS('2Q T12'!F:F,'2Q T12'!$A:$A,'3Q T12'!$B33)</f>
        <v>0</v>
      </c>
      <c r="D33" s="178">
        <f>SUMIFS('2Q T12'!G:G,'2Q T12'!$A:$A,'3Q T12'!$B33)</f>
        <v>0</v>
      </c>
      <c r="E33" s="178">
        <f>SUMIFS('2Q T12'!H:H,'2Q T12'!$A:$A,'3Q T12'!$B33)</f>
        <v>0</v>
      </c>
      <c r="F33" s="178">
        <v>0</v>
      </c>
      <c r="G33" s="178">
        <v>0</v>
      </c>
      <c r="H33" s="178">
        <v>0</v>
      </c>
      <c r="I33" s="178">
        <v>0</v>
      </c>
      <c r="J33" s="178">
        <v>0</v>
      </c>
      <c r="K33" s="178">
        <v>0</v>
      </c>
      <c r="L33" s="178">
        <v>0</v>
      </c>
      <c r="M33" s="178">
        <v>46</v>
      </c>
      <c r="N33" s="178">
        <v>113</v>
      </c>
      <c r="O33" s="178">
        <f t="shared" si="0"/>
        <v>159</v>
      </c>
      <c r="P33" s="178"/>
      <c r="Q33" s="178"/>
    </row>
    <row r="34" spans="1:17">
      <c r="A34" s="175" t="s">
        <v>305</v>
      </c>
      <c r="B34" s="180" t="s">
        <v>226</v>
      </c>
      <c r="C34" s="181">
        <f>SUMIFS('2Q T12'!F:F,'2Q T12'!$A:$A,'3Q T12'!$B34)</f>
        <v>0</v>
      </c>
      <c r="D34" s="181">
        <f>SUMIFS('2Q T12'!G:G,'2Q T12'!$A:$A,'3Q T12'!$B34)</f>
        <v>0</v>
      </c>
      <c r="E34" s="181">
        <f>SUMIFS('2Q T12'!H:H,'2Q T12'!$A:$A,'3Q T12'!$B34)</f>
        <v>0</v>
      </c>
      <c r="F34" s="181">
        <v>0</v>
      </c>
      <c r="G34" s="181">
        <v>0</v>
      </c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>
        <v>0</v>
      </c>
      <c r="N34" s="181">
        <v>0</v>
      </c>
      <c r="O34" s="181">
        <f t="shared" si="0"/>
        <v>0</v>
      </c>
      <c r="P34" s="178"/>
      <c r="Q34" s="178"/>
    </row>
    <row r="35" spans="1:17">
      <c r="A35" s="175" t="s">
        <v>306</v>
      </c>
      <c r="B35" s="179" t="s">
        <v>232</v>
      </c>
      <c r="C35" s="178">
        <f>SUMIFS('2Q T12'!F:F,'2Q T12'!$A:$A,'3Q T12'!$B35)</f>
        <v>0</v>
      </c>
      <c r="D35" s="178">
        <f>SUMIFS('2Q T12'!G:G,'2Q T12'!$A:$A,'3Q T12'!$B35)</f>
        <v>0</v>
      </c>
      <c r="E35" s="178">
        <f>SUMIFS('2Q T12'!H:H,'2Q T12'!$A:$A,'3Q T12'!$B35)</f>
        <v>0</v>
      </c>
      <c r="F35" s="178">
        <v>0</v>
      </c>
      <c r="G35" s="178">
        <v>0</v>
      </c>
      <c r="H35" s="178">
        <v>9</v>
      </c>
      <c r="I35" s="178">
        <v>0</v>
      </c>
      <c r="J35" s="178">
        <v>0</v>
      </c>
      <c r="K35" s="178">
        <v>10</v>
      </c>
      <c r="L35" s="178">
        <v>0</v>
      </c>
      <c r="M35" s="178">
        <v>3</v>
      </c>
      <c r="N35" s="178">
        <v>0</v>
      </c>
      <c r="O35" s="178">
        <f t="shared" si="0"/>
        <v>22</v>
      </c>
      <c r="P35" s="178"/>
      <c r="Q35" s="178"/>
    </row>
    <row r="36" spans="1:17">
      <c r="A36" s="175" t="s">
        <v>307</v>
      </c>
      <c r="B36" s="179" t="s">
        <v>175</v>
      </c>
      <c r="C36" s="178">
        <f>SUMIFS('2Q T12'!F:F,'2Q T12'!$A:$A,'3Q T12'!$B36)</f>
        <v>0</v>
      </c>
      <c r="D36" s="178">
        <f>SUMIFS('2Q T12'!G:G,'2Q T12'!$A:$A,'3Q T12'!$B36)</f>
        <v>0</v>
      </c>
      <c r="E36" s="178">
        <f>SUMIFS('2Q T12'!H:H,'2Q T12'!$A:$A,'3Q T12'!$B36)</f>
        <v>0</v>
      </c>
      <c r="F36" s="178">
        <v>0</v>
      </c>
      <c r="G36" s="178">
        <v>0</v>
      </c>
      <c r="H36" s="178">
        <v>0</v>
      </c>
      <c r="I36" s="178">
        <v>105</v>
      </c>
      <c r="J36" s="178">
        <v>0</v>
      </c>
      <c r="K36" s="178">
        <v>0</v>
      </c>
      <c r="L36" s="178">
        <v>0</v>
      </c>
      <c r="M36" s="178">
        <v>5500</v>
      </c>
      <c r="N36" s="178">
        <v>0</v>
      </c>
      <c r="O36" s="178">
        <f t="shared" si="0"/>
        <v>5605</v>
      </c>
      <c r="P36" s="178"/>
      <c r="Q36" s="178"/>
    </row>
    <row r="37" spans="1:17">
      <c r="A37" s="175" t="s">
        <v>308</v>
      </c>
      <c r="B37" s="179" t="s">
        <v>214</v>
      </c>
      <c r="C37" s="178">
        <f>SUMIFS('2Q T12'!F:F,'2Q T12'!$A:$A,'3Q T12'!$B37)</f>
        <v>-100</v>
      </c>
      <c r="D37" s="178">
        <f>SUMIFS('2Q T12'!G:G,'2Q T12'!$A:$A,'3Q T12'!$B37)</f>
        <v>0</v>
      </c>
      <c r="E37" s="178">
        <f>SUMIFS('2Q T12'!H:H,'2Q T12'!$A:$A,'3Q T12'!$B37)</f>
        <v>0</v>
      </c>
      <c r="F37" s="178">
        <v>0</v>
      </c>
      <c r="G37" s="178">
        <v>0</v>
      </c>
      <c r="H37" s="178">
        <v>1150</v>
      </c>
      <c r="I37" s="178">
        <v>0</v>
      </c>
      <c r="J37" s="178">
        <v>0</v>
      </c>
      <c r="K37" s="178">
        <v>0</v>
      </c>
      <c r="L37" s="178">
        <v>0</v>
      </c>
      <c r="M37" s="178">
        <v>0</v>
      </c>
      <c r="N37" s="178">
        <v>2733</v>
      </c>
      <c r="O37" s="178">
        <f t="shared" si="0"/>
        <v>3783</v>
      </c>
      <c r="P37" s="178"/>
      <c r="Q37" s="178"/>
    </row>
    <row r="38" spans="1:17">
      <c r="A38" s="175" t="s">
        <v>309</v>
      </c>
      <c r="B38" s="180" t="s">
        <v>176</v>
      </c>
      <c r="C38" s="181">
        <f>SUMIFS('2Q T12'!F:F,'2Q T12'!$A:$A,'3Q T12'!$B38)</f>
        <v>0</v>
      </c>
      <c r="D38" s="181">
        <f>SUMIFS('2Q T12'!G:G,'2Q T12'!$A:$A,'3Q T12'!$B38)</f>
        <v>0</v>
      </c>
      <c r="E38" s="181">
        <f>SUMIFS('2Q T12'!H:H,'2Q T12'!$A:$A,'3Q T12'!$B38)</f>
        <v>-3954.33</v>
      </c>
      <c r="F38" s="181">
        <v>0</v>
      </c>
      <c r="G38" s="181">
        <v>0</v>
      </c>
      <c r="H38" s="181">
        <v>0</v>
      </c>
      <c r="I38" s="181">
        <v>0</v>
      </c>
      <c r="J38" s="181">
        <v>0</v>
      </c>
      <c r="K38" s="181">
        <v>7002</v>
      </c>
      <c r="L38" s="181">
        <v>0</v>
      </c>
      <c r="M38" s="181">
        <v>0</v>
      </c>
      <c r="N38" s="181">
        <v>0</v>
      </c>
      <c r="O38" s="181">
        <f t="shared" si="0"/>
        <v>3047.67</v>
      </c>
      <c r="P38" s="178"/>
      <c r="Q38" s="178"/>
    </row>
    <row r="39" spans="1:17">
      <c r="A39" s="175" t="s">
        <v>310</v>
      </c>
      <c r="B39" s="179" t="s">
        <v>179</v>
      </c>
      <c r="C39" s="178">
        <f>SUMIFS('2Q T12'!F:F,'2Q T12'!$A:$A,'3Q T12'!$B39)</f>
        <v>1527.52</v>
      </c>
      <c r="D39" s="178">
        <f>SUMIFS('2Q T12'!G:G,'2Q T12'!$A:$A,'3Q T12'!$B39)</f>
        <v>1322.87</v>
      </c>
      <c r="E39" s="178">
        <f>SUMIFS('2Q T12'!H:H,'2Q T12'!$A:$A,'3Q T12'!$B39)</f>
        <v>2572.5</v>
      </c>
      <c r="F39" s="178">
        <v>2275</v>
      </c>
      <c r="G39" s="178">
        <v>965</v>
      </c>
      <c r="H39" s="178">
        <v>4621</v>
      </c>
      <c r="I39" s="178">
        <v>0</v>
      </c>
      <c r="J39" s="178">
        <v>3054</v>
      </c>
      <c r="K39" s="178">
        <v>1589</v>
      </c>
      <c r="L39" s="178">
        <v>1493</v>
      </c>
      <c r="M39" s="178">
        <v>781</v>
      </c>
      <c r="N39" s="178">
        <v>605</v>
      </c>
      <c r="O39" s="178">
        <f t="shared" si="0"/>
        <v>20805.89</v>
      </c>
      <c r="P39" s="178"/>
      <c r="Q39" s="178"/>
    </row>
    <row r="40" spans="1:17">
      <c r="A40" s="175" t="s">
        <v>311</v>
      </c>
      <c r="B40" s="179" t="s">
        <v>180</v>
      </c>
      <c r="C40" s="178">
        <f>SUMIFS('2Q T12'!F:F,'2Q T12'!$A:$A,'3Q T12'!$B40)</f>
        <v>8</v>
      </c>
      <c r="D40" s="178">
        <f>SUMIFS('2Q T12'!G:G,'2Q T12'!$A:$A,'3Q T12'!$B40)</f>
        <v>9.09</v>
      </c>
      <c r="E40" s="178">
        <f>SUMIFS('2Q T12'!H:H,'2Q T12'!$A:$A,'3Q T12'!$B40)</f>
        <v>10798.07</v>
      </c>
      <c r="F40" s="178">
        <v>3027</v>
      </c>
      <c r="G40" s="178">
        <v>2127</v>
      </c>
      <c r="H40" s="178">
        <v>-1461</v>
      </c>
      <c r="I40" s="178">
        <v>0</v>
      </c>
      <c r="J40" s="178">
        <v>8241</v>
      </c>
      <c r="K40" s="178">
        <v>0</v>
      </c>
      <c r="L40" s="178">
        <v>-3268</v>
      </c>
      <c r="M40" s="178">
        <v>0</v>
      </c>
      <c r="N40" s="178">
        <v>8874</v>
      </c>
      <c r="O40" s="178">
        <f t="shared" si="0"/>
        <v>28355.16</v>
      </c>
      <c r="P40" s="178"/>
      <c r="Q40" s="178"/>
    </row>
    <row r="41" spans="1:17">
      <c r="A41" s="175" t="s">
        <v>312</v>
      </c>
      <c r="B41" s="179" t="s">
        <v>215</v>
      </c>
      <c r="C41" s="178">
        <f>SUMIFS('2Q T12'!F:F,'2Q T12'!$A:$A,'3Q T12'!$B41)</f>
        <v>1489.4</v>
      </c>
      <c r="D41" s="178">
        <f>SUMIFS('2Q T12'!G:G,'2Q T12'!$A:$A,'3Q T12'!$B41)</f>
        <v>1970.68</v>
      </c>
      <c r="E41" s="178">
        <f>SUMIFS('2Q T12'!H:H,'2Q T12'!$A:$A,'3Q T12'!$B41)</f>
        <v>1786.68</v>
      </c>
      <c r="F41" s="178">
        <v>1730</v>
      </c>
      <c r="G41" s="178">
        <v>928</v>
      </c>
      <c r="H41" s="178">
        <v>419</v>
      </c>
      <c r="I41" s="178">
        <v>0</v>
      </c>
      <c r="J41" s="178">
        <v>3459</v>
      </c>
      <c r="K41" s="178">
        <v>1730</v>
      </c>
      <c r="L41" s="178">
        <v>1730</v>
      </c>
      <c r="M41" s="178">
        <v>1730</v>
      </c>
      <c r="N41" s="178">
        <v>1730</v>
      </c>
      <c r="O41" s="178">
        <f t="shared" si="0"/>
        <v>18702.760000000002</v>
      </c>
      <c r="P41" s="178"/>
      <c r="Q41" s="178"/>
    </row>
    <row r="42" spans="1:17">
      <c r="A42" s="175" t="s">
        <v>313</v>
      </c>
      <c r="B42" s="179" t="s">
        <v>267</v>
      </c>
      <c r="C42" s="178">
        <f>SUMIFS('2Q T12'!F:F,'2Q T12'!$A:$A,'3Q T12'!$B42)</f>
        <v>0</v>
      </c>
      <c r="D42" s="178">
        <f>SUMIFS('2Q T12'!G:G,'2Q T12'!$A:$A,'3Q T12'!$B42)</f>
        <v>0</v>
      </c>
      <c r="E42" s="178">
        <f>SUMIFS('2Q T12'!H:H,'2Q T12'!$A:$A,'3Q T12'!$B42)</f>
        <v>0</v>
      </c>
      <c r="F42" s="178">
        <v>0</v>
      </c>
      <c r="G42" s="178">
        <v>0</v>
      </c>
      <c r="H42" s="178">
        <v>0</v>
      </c>
      <c r="I42" s="178">
        <v>0</v>
      </c>
      <c r="J42" s="178">
        <v>256</v>
      </c>
      <c r="K42" s="178">
        <v>0</v>
      </c>
      <c r="L42" s="178">
        <v>0</v>
      </c>
      <c r="M42" s="178">
        <v>0</v>
      </c>
      <c r="N42" s="178">
        <v>256</v>
      </c>
      <c r="O42" s="178">
        <f t="shared" si="0"/>
        <v>512</v>
      </c>
      <c r="P42" s="178"/>
      <c r="Q42" s="178"/>
    </row>
    <row r="43" spans="1:17">
      <c r="A43" s="175" t="s">
        <v>314</v>
      </c>
      <c r="B43" s="184" t="s">
        <v>183</v>
      </c>
      <c r="C43" s="185">
        <f>SUMIFS('2Q T12'!F:F,'2Q T12'!$A:$A,'3Q T12'!$B43)</f>
        <v>179.76</v>
      </c>
      <c r="D43" s="185">
        <f>SUMIFS('2Q T12'!G:G,'2Q T12'!$A:$A,'3Q T12'!$B43)</f>
        <v>179.76</v>
      </c>
      <c r="E43" s="185">
        <f>SUMIFS('2Q T12'!H:H,'2Q T12'!$A:$A,'3Q T12'!$B43)</f>
        <v>179.76</v>
      </c>
      <c r="F43" s="185">
        <v>180</v>
      </c>
      <c r="G43" s="185">
        <v>-180</v>
      </c>
      <c r="H43" s="185">
        <v>0</v>
      </c>
      <c r="I43" s="185">
        <v>0</v>
      </c>
      <c r="J43" s="185">
        <v>0</v>
      </c>
      <c r="K43" s="185">
        <v>0</v>
      </c>
      <c r="L43" s="185">
        <v>0</v>
      </c>
      <c r="M43" s="185">
        <v>0</v>
      </c>
      <c r="N43" s="185">
        <v>0</v>
      </c>
      <c r="O43" s="185">
        <f t="shared" si="0"/>
        <v>539.28</v>
      </c>
      <c r="P43" s="178"/>
      <c r="Q43" s="178"/>
    </row>
    <row r="44" spans="1:17">
      <c r="A44" s="175" t="s">
        <v>315</v>
      </c>
      <c r="B44" s="179" t="s">
        <v>184</v>
      </c>
      <c r="C44" s="178">
        <f>SUMIFS('2Q T12'!F:F,'2Q T12'!$A:$A,'3Q T12'!$B44)</f>
        <v>0</v>
      </c>
      <c r="D44" s="178">
        <f>SUMIFS('2Q T12'!G:G,'2Q T12'!$A:$A,'3Q T12'!$B44)</f>
        <v>0</v>
      </c>
      <c r="E44" s="178">
        <f>SUMIFS('2Q T12'!H:H,'2Q T12'!$A:$A,'3Q T12'!$B44)</f>
        <v>0</v>
      </c>
      <c r="F44" s="178">
        <v>0</v>
      </c>
      <c r="G44" s="178">
        <v>360</v>
      </c>
      <c r="H44" s="178">
        <v>180</v>
      </c>
      <c r="I44" s="178">
        <v>180</v>
      </c>
      <c r="J44" s="178">
        <v>180</v>
      </c>
      <c r="K44" s="178">
        <v>180</v>
      </c>
      <c r="L44" s="178">
        <v>1925</v>
      </c>
      <c r="M44" s="178">
        <v>180</v>
      </c>
      <c r="N44" s="178">
        <v>180</v>
      </c>
      <c r="O44" s="178">
        <f t="shared" si="0"/>
        <v>3365</v>
      </c>
      <c r="P44" s="178"/>
      <c r="Q44" s="178"/>
    </row>
    <row r="45" spans="1:17">
      <c r="A45" s="175" t="s">
        <v>316</v>
      </c>
      <c r="B45" s="179" t="s">
        <v>185</v>
      </c>
      <c r="C45" s="178">
        <f>SUMIFS('2Q T12'!F:F,'2Q T12'!$A:$A,'3Q T12'!$B45)</f>
        <v>1600.19</v>
      </c>
      <c r="D45" s="178">
        <f>SUMIFS('2Q T12'!G:G,'2Q T12'!$A:$A,'3Q T12'!$B45)</f>
        <v>268.04000000000002</v>
      </c>
      <c r="E45" s="178">
        <f>SUMIFS('2Q T12'!H:H,'2Q T12'!$A:$A,'3Q T12'!$B45)</f>
        <v>0</v>
      </c>
      <c r="F45" s="178">
        <v>168</v>
      </c>
      <c r="G45" s="178">
        <v>0</v>
      </c>
      <c r="H45" s="178">
        <v>0</v>
      </c>
      <c r="I45" s="178">
        <v>0</v>
      </c>
      <c r="J45" s="178">
        <v>0</v>
      </c>
      <c r="K45" s="178">
        <v>0</v>
      </c>
      <c r="L45" s="178">
        <v>0</v>
      </c>
      <c r="M45" s="178">
        <v>2188</v>
      </c>
      <c r="N45" s="178">
        <v>3683</v>
      </c>
      <c r="O45" s="178">
        <f t="shared" si="0"/>
        <v>7907.23</v>
      </c>
      <c r="P45" s="178"/>
      <c r="Q45" s="178"/>
    </row>
    <row r="46" spans="1:17">
      <c r="A46" s="175" t="s">
        <v>317</v>
      </c>
      <c r="B46" s="180" t="s">
        <v>268</v>
      </c>
      <c r="C46" s="181">
        <f>SUMIFS('2Q T12'!F:F,'2Q T12'!$A:$A,'3Q T12'!$B46)</f>
        <v>0</v>
      </c>
      <c r="D46" s="181">
        <f>SUMIFS('2Q T12'!G:G,'2Q T12'!$A:$A,'3Q T12'!$B46)</f>
        <v>1260.7</v>
      </c>
      <c r="E46" s="181">
        <f>SUMIFS('2Q T12'!H:H,'2Q T12'!$A:$A,'3Q T12'!$B46)</f>
        <v>0</v>
      </c>
      <c r="F46" s="181">
        <v>0</v>
      </c>
      <c r="G46" s="181">
        <v>0</v>
      </c>
      <c r="H46" s="181">
        <v>0</v>
      </c>
      <c r="I46" s="181">
        <v>0</v>
      </c>
      <c r="J46" s="181">
        <v>0</v>
      </c>
      <c r="K46" s="181">
        <v>0</v>
      </c>
      <c r="L46" s="181">
        <v>421</v>
      </c>
      <c r="M46" s="181">
        <v>0</v>
      </c>
      <c r="N46" s="181">
        <v>0</v>
      </c>
      <c r="O46" s="181">
        <f t="shared" si="0"/>
        <v>1681.7</v>
      </c>
      <c r="P46" s="178"/>
      <c r="Q46" s="178"/>
    </row>
    <row r="47" spans="1:17">
      <c r="A47" s="175" t="s">
        <v>318</v>
      </c>
      <c r="B47" s="179" t="s">
        <v>186</v>
      </c>
      <c r="C47" s="178">
        <f>SUMIFS('2Q T12'!F:F,'2Q T12'!$A:$A,'3Q T12'!$B47)</f>
        <v>1469.86</v>
      </c>
      <c r="D47" s="178">
        <f>SUMIFS('2Q T12'!G:G,'2Q T12'!$A:$A,'3Q T12'!$B47)</f>
        <v>1469.86</v>
      </c>
      <c r="E47" s="178">
        <f>SUMIFS('2Q T12'!H:H,'2Q T12'!$A:$A,'3Q T12'!$B47)</f>
        <v>1469.86</v>
      </c>
      <c r="F47" s="178">
        <v>1558</v>
      </c>
      <c r="G47" s="178">
        <v>1558</v>
      </c>
      <c r="H47" s="178">
        <v>1558</v>
      </c>
      <c r="I47" s="178">
        <v>1558</v>
      </c>
      <c r="J47" s="178">
        <v>1558</v>
      </c>
      <c r="K47" s="178">
        <v>1558</v>
      </c>
      <c r="L47" s="178">
        <v>1558</v>
      </c>
      <c r="M47" s="178">
        <v>1558</v>
      </c>
      <c r="N47" s="178">
        <v>1558</v>
      </c>
      <c r="O47" s="178">
        <f t="shared" si="0"/>
        <v>18431.580000000002</v>
      </c>
      <c r="P47" s="178"/>
      <c r="Q47" s="178"/>
    </row>
    <row r="48" spans="1:17">
      <c r="A48" s="175" t="s">
        <v>319</v>
      </c>
      <c r="B48" s="179" t="s">
        <v>269</v>
      </c>
      <c r="C48" s="178">
        <f>SUMIFS('2Q T12'!F:F,'2Q T12'!$A:$A,'3Q T12'!$B48)</f>
        <v>0</v>
      </c>
      <c r="D48" s="178">
        <f>SUMIFS('2Q T12'!G:G,'2Q T12'!$A:$A,'3Q T12'!$B48)</f>
        <v>0</v>
      </c>
      <c r="E48" s="178">
        <f>SUMIFS('2Q T12'!H:H,'2Q T12'!$A:$A,'3Q T12'!$B48)</f>
        <v>0</v>
      </c>
      <c r="F48" s="178">
        <v>0</v>
      </c>
      <c r="G48" s="178">
        <v>0</v>
      </c>
      <c r="H48" s="178">
        <v>0</v>
      </c>
      <c r="I48" s="178">
        <v>0</v>
      </c>
      <c r="J48" s="178">
        <v>680</v>
      </c>
      <c r="K48" s="178">
        <v>0</v>
      </c>
      <c r="L48" s="178">
        <v>0</v>
      </c>
      <c r="M48" s="178">
        <v>0</v>
      </c>
      <c r="N48" s="178">
        <v>0</v>
      </c>
      <c r="O48" s="178">
        <f t="shared" si="0"/>
        <v>680</v>
      </c>
      <c r="P48" s="178"/>
      <c r="Q48" s="178"/>
    </row>
    <row r="49" spans="1:17">
      <c r="A49" s="175" t="s">
        <v>320</v>
      </c>
      <c r="B49" s="179" t="s">
        <v>321</v>
      </c>
      <c r="C49" s="178">
        <f>SUMIFS('2Q T12'!F:F,'2Q T12'!$A:$A,'3Q T12'!$B49)</f>
        <v>0</v>
      </c>
      <c r="D49" s="178">
        <f>SUMIFS('2Q T12'!G:G,'2Q T12'!$A:$A,'3Q T12'!$B49)</f>
        <v>0</v>
      </c>
      <c r="E49" s="178">
        <f>SUMIFS('2Q T12'!H:H,'2Q T12'!$A:$A,'3Q T12'!$B49)</f>
        <v>0</v>
      </c>
      <c r="F49" s="178">
        <v>0</v>
      </c>
      <c r="G49" s="178">
        <v>0</v>
      </c>
      <c r="H49" s="178">
        <v>0</v>
      </c>
      <c r="I49" s="178">
        <v>0</v>
      </c>
      <c r="J49" s="178">
        <v>0</v>
      </c>
      <c r="K49" s="178">
        <v>0</v>
      </c>
      <c r="L49" s="178">
        <v>0</v>
      </c>
      <c r="M49" s="178">
        <v>0</v>
      </c>
      <c r="N49" s="178">
        <v>635</v>
      </c>
      <c r="O49" s="178">
        <f t="shared" si="0"/>
        <v>635</v>
      </c>
      <c r="P49" s="178"/>
      <c r="Q49" s="178"/>
    </row>
    <row r="50" spans="1:17">
      <c r="A50" s="175" t="s">
        <v>322</v>
      </c>
      <c r="B50" s="180" t="s">
        <v>270</v>
      </c>
      <c r="C50" s="181">
        <f>SUMIFS('2Q T12'!F:F,'2Q T12'!$A:$A,'3Q T12'!$B50)</f>
        <v>0</v>
      </c>
      <c r="D50" s="181">
        <f>SUMIFS('2Q T12'!G:G,'2Q T12'!$A:$A,'3Q T12'!$B50)</f>
        <v>0</v>
      </c>
      <c r="E50" s="181">
        <f>SUMIFS('2Q T12'!H:H,'2Q T12'!$A:$A,'3Q T12'!$B50)</f>
        <v>0</v>
      </c>
      <c r="F50" s="181">
        <v>0</v>
      </c>
      <c r="G50" s="181">
        <v>0</v>
      </c>
      <c r="H50" s="181">
        <v>0</v>
      </c>
      <c r="I50" s="181">
        <v>1041</v>
      </c>
      <c r="J50" s="181">
        <v>0</v>
      </c>
      <c r="K50" s="181">
        <v>0</v>
      </c>
      <c r="L50" s="181">
        <v>0</v>
      </c>
      <c r="M50" s="181">
        <v>0</v>
      </c>
      <c r="N50" s="181">
        <v>0</v>
      </c>
      <c r="O50" s="181">
        <f t="shared" si="0"/>
        <v>1041</v>
      </c>
      <c r="P50" s="178"/>
      <c r="Q50" s="178"/>
    </row>
    <row r="51" spans="1:17">
      <c r="A51" s="175" t="s">
        <v>323</v>
      </c>
      <c r="B51" s="179" t="s">
        <v>188</v>
      </c>
      <c r="C51" s="178">
        <f>SUMIFS('2Q T12'!F:F,'2Q T12'!$A:$A,'3Q T12'!$B51)</f>
        <v>0</v>
      </c>
      <c r="D51" s="178">
        <f>SUMIFS('2Q T12'!G:G,'2Q T12'!$A:$A,'3Q T12'!$B51)</f>
        <v>0</v>
      </c>
      <c r="E51" s="178">
        <f>SUMIFS('2Q T12'!H:H,'2Q T12'!$A:$A,'3Q T12'!$B51)</f>
        <v>0</v>
      </c>
      <c r="F51" s="178">
        <v>0</v>
      </c>
      <c r="G51" s="178">
        <v>0</v>
      </c>
      <c r="H51" s="178">
        <v>0</v>
      </c>
      <c r="I51" s="178">
        <v>0</v>
      </c>
      <c r="J51" s="178">
        <v>0</v>
      </c>
      <c r="K51" s="178">
        <v>0</v>
      </c>
      <c r="L51" s="178">
        <v>0</v>
      </c>
      <c r="M51" s="178">
        <v>0</v>
      </c>
      <c r="N51" s="178">
        <v>2635</v>
      </c>
      <c r="O51" s="178">
        <f t="shared" si="0"/>
        <v>2635</v>
      </c>
      <c r="P51" s="178"/>
      <c r="Q51" s="178"/>
    </row>
    <row r="52" spans="1:17">
      <c r="A52" s="175" t="s">
        <v>324</v>
      </c>
      <c r="B52" s="180" t="s">
        <v>227</v>
      </c>
      <c r="C52" s="181">
        <f>SUMIFS('2Q T12'!F:F,'2Q T12'!$A:$A,'3Q T12'!$B52)</f>
        <v>20900</v>
      </c>
      <c r="D52" s="181">
        <f>SUMIFS('2Q T12'!G:G,'2Q T12'!$A:$A,'3Q T12'!$B52)</f>
        <v>0</v>
      </c>
      <c r="E52" s="181">
        <f>SUMIFS('2Q T12'!H:H,'2Q T12'!$A:$A,'3Q T12'!$B52)</f>
        <v>0</v>
      </c>
      <c r="F52" s="181">
        <v>0</v>
      </c>
      <c r="G52" s="181">
        <v>0</v>
      </c>
      <c r="H52" s="181">
        <v>0</v>
      </c>
      <c r="I52" s="181">
        <v>0</v>
      </c>
      <c r="J52" s="181">
        <v>0</v>
      </c>
      <c r="K52" s="181">
        <v>4999</v>
      </c>
      <c r="L52" s="181">
        <v>0</v>
      </c>
      <c r="M52" s="181">
        <v>0</v>
      </c>
      <c r="N52" s="181">
        <v>0</v>
      </c>
      <c r="O52" s="181">
        <f t="shared" si="0"/>
        <v>25899</v>
      </c>
      <c r="P52" s="178"/>
      <c r="Q52" s="178"/>
    </row>
    <row r="53" spans="1:17">
      <c r="A53" s="175" t="s">
        <v>325</v>
      </c>
      <c r="B53" s="179" t="s">
        <v>189</v>
      </c>
      <c r="C53" s="178">
        <f>SUMIFS('2Q T12'!F:F,'2Q T12'!$A:$A,'3Q T12'!$B53)</f>
        <v>213.2</v>
      </c>
      <c r="D53" s="178">
        <f>SUMIFS('2Q T12'!G:G,'2Q T12'!$A:$A,'3Q T12'!$B53)</f>
        <v>213.18</v>
      </c>
      <c r="E53" s="178">
        <f>SUMIFS('2Q T12'!H:H,'2Q T12'!$A:$A,'3Q T12'!$B53)</f>
        <v>214.39</v>
      </c>
      <c r="F53" s="178">
        <v>0</v>
      </c>
      <c r="G53" s="178">
        <v>214</v>
      </c>
      <c r="H53" s="178">
        <v>0</v>
      </c>
      <c r="I53" s="178">
        <v>0</v>
      </c>
      <c r="J53" s="178">
        <v>0</v>
      </c>
      <c r="K53" s="178">
        <v>0</v>
      </c>
      <c r="L53" s="178">
        <v>520</v>
      </c>
      <c r="M53" s="178">
        <v>0</v>
      </c>
      <c r="N53" s="178">
        <v>975</v>
      </c>
      <c r="O53" s="178">
        <f t="shared" si="0"/>
        <v>2349.77</v>
      </c>
      <c r="P53" s="178"/>
      <c r="Q53" s="178"/>
    </row>
    <row r="54" spans="1:17">
      <c r="A54" s="175" t="s">
        <v>326</v>
      </c>
      <c r="B54" s="179" t="s">
        <v>192</v>
      </c>
      <c r="C54" s="178">
        <f>SUMIFS('2Q T12'!F:F,'2Q T12'!$A:$A,'3Q T12'!$B54)</f>
        <v>8380.5</v>
      </c>
      <c r="D54" s="178">
        <f>SUMIFS('2Q T12'!G:G,'2Q T12'!$A:$A,'3Q T12'!$B54)</f>
        <v>2000</v>
      </c>
      <c r="E54" s="178">
        <f>SUMIFS('2Q T12'!H:H,'2Q T12'!$A:$A,'3Q T12'!$B54)</f>
        <v>5162.1400000000003</v>
      </c>
      <c r="F54" s="178">
        <v>5098</v>
      </c>
      <c r="G54" s="178">
        <v>5053</v>
      </c>
      <c r="H54" s="178">
        <v>5043</v>
      </c>
      <c r="I54" s="178">
        <v>5178</v>
      </c>
      <c r="J54" s="178">
        <v>2085</v>
      </c>
      <c r="K54" s="178">
        <v>3528</v>
      </c>
      <c r="L54" s="178">
        <v>8280</v>
      </c>
      <c r="M54" s="178">
        <v>3099</v>
      </c>
      <c r="N54" s="178">
        <v>5181</v>
      </c>
      <c r="O54" s="178">
        <f t="shared" si="0"/>
        <v>58087.64</v>
      </c>
      <c r="P54" s="178"/>
      <c r="Q54" s="178"/>
    </row>
    <row r="55" spans="1:17">
      <c r="A55" s="175" t="s">
        <v>194</v>
      </c>
      <c r="B55" s="179"/>
      <c r="C55" s="178">
        <f>SUM(C28:C54)</f>
        <v>-47307.010000000009</v>
      </c>
      <c r="D55" s="178">
        <f>SUM(D28:D54)</f>
        <v>75162.889999999956</v>
      </c>
      <c r="E55" s="178">
        <f>SUM(E28:E54)</f>
        <v>96183.91</v>
      </c>
      <c r="F55" s="178">
        <v>87688</v>
      </c>
      <c r="G55" s="178">
        <v>84465</v>
      </c>
      <c r="H55" s="178">
        <v>61003</v>
      </c>
      <c r="I55" s="178">
        <v>58737</v>
      </c>
      <c r="J55" s="178">
        <v>69859</v>
      </c>
      <c r="K55" s="178">
        <v>79803</v>
      </c>
      <c r="L55" s="178">
        <v>81476</v>
      </c>
      <c r="M55" s="178">
        <v>85104</v>
      </c>
      <c r="N55" s="178">
        <v>88504</v>
      </c>
      <c r="O55" s="178">
        <f t="shared" si="0"/>
        <v>820678.78999999992</v>
      </c>
      <c r="P55" s="178"/>
      <c r="Q55" s="178"/>
    </row>
    <row r="56" spans="1:17">
      <c r="B56" s="179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>
        <f t="shared" si="0"/>
        <v>0</v>
      </c>
      <c r="P56" s="178"/>
      <c r="Q56" s="178"/>
    </row>
    <row r="57" spans="1:17">
      <c r="A57" s="175" t="s">
        <v>327</v>
      </c>
      <c r="B57" s="179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>
        <f t="shared" si="0"/>
        <v>0</v>
      </c>
      <c r="P57" s="178"/>
      <c r="Q57" s="178"/>
    </row>
    <row r="58" spans="1:17">
      <c r="A58" s="175" t="s">
        <v>328</v>
      </c>
      <c r="B58" s="180" t="s">
        <v>234</v>
      </c>
      <c r="C58" s="181">
        <f>SUMIFS('2Q T12'!F:F,'2Q T12'!$A:$A,'3Q T12'!$B58)</f>
        <v>7406.07</v>
      </c>
      <c r="D58" s="181">
        <f>SUMIFS('2Q T12'!G:G,'2Q T12'!$A:$A,'3Q T12'!$B58)</f>
        <v>0</v>
      </c>
      <c r="E58" s="181">
        <f>SUMIFS('2Q T12'!H:H,'2Q T12'!$A:$A,'3Q T12'!$B58)</f>
        <v>0</v>
      </c>
      <c r="F58" s="181">
        <v>0</v>
      </c>
      <c r="G58" s="181">
        <v>0</v>
      </c>
      <c r="H58" s="181">
        <v>5775</v>
      </c>
      <c r="I58" s="181">
        <v>0</v>
      </c>
      <c r="J58" s="181">
        <v>20472</v>
      </c>
      <c r="K58" s="181">
        <v>16320</v>
      </c>
      <c r="L58" s="181">
        <v>1000</v>
      </c>
      <c r="M58" s="181">
        <v>0</v>
      </c>
      <c r="N58" s="181">
        <v>0</v>
      </c>
      <c r="O58" s="181">
        <f t="shared" si="0"/>
        <v>50973.07</v>
      </c>
      <c r="P58" s="178"/>
      <c r="Q58" s="178"/>
    </row>
    <row r="59" spans="1:17">
      <c r="A59" s="175" t="s">
        <v>329</v>
      </c>
      <c r="B59" s="180" t="s">
        <v>271</v>
      </c>
      <c r="C59" s="181">
        <f>SUMIFS('2Q T12'!F:F,'2Q T12'!$A:$A,'3Q T12'!$B59)</f>
        <v>0</v>
      </c>
      <c r="D59" s="181">
        <f>SUMIFS('2Q T12'!G:G,'2Q T12'!$A:$A,'3Q T12'!$B59)</f>
        <v>0</v>
      </c>
      <c r="E59" s="181">
        <f>SUMIFS('2Q T12'!H:H,'2Q T12'!$A:$A,'3Q T12'!$B59)</f>
        <v>0</v>
      </c>
      <c r="F59" s="181">
        <v>0</v>
      </c>
      <c r="G59" s="181">
        <v>0</v>
      </c>
      <c r="H59" s="181">
        <v>480</v>
      </c>
      <c r="I59" s="181">
        <v>0</v>
      </c>
      <c r="J59" s="181">
        <v>0</v>
      </c>
      <c r="K59" s="181">
        <v>0</v>
      </c>
      <c r="L59" s="181">
        <v>0</v>
      </c>
      <c r="M59" s="181">
        <v>600</v>
      </c>
      <c r="N59" s="181">
        <v>0</v>
      </c>
      <c r="O59" s="181">
        <f t="shared" si="0"/>
        <v>1080</v>
      </c>
      <c r="P59" s="178"/>
      <c r="Q59" s="178"/>
    </row>
    <row r="60" spans="1:17">
      <c r="A60" s="175" t="s">
        <v>330</v>
      </c>
      <c r="B60" s="179" t="s">
        <v>272</v>
      </c>
      <c r="C60" s="178">
        <f>SUMIFS('2Q T12'!F:F,'2Q T12'!$A:$A,'3Q T12'!$B60)</f>
        <v>0</v>
      </c>
      <c r="D60" s="178">
        <f>SUMIFS('2Q T12'!G:G,'2Q T12'!$A:$A,'3Q T12'!$B60)</f>
        <v>0</v>
      </c>
      <c r="E60" s="178">
        <f>SUMIFS('2Q T12'!H:H,'2Q T12'!$A:$A,'3Q T12'!$B60)</f>
        <v>0</v>
      </c>
      <c r="F60" s="178">
        <v>0</v>
      </c>
      <c r="G60" s="178">
        <v>948</v>
      </c>
      <c r="H60" s="178">
        <v>406</v>
      </c>
      <c r="I60" s="178">
        <v>0</v>
      </c>
      <c r="J60" s="178">
        <v>0</v>
      </c>
      <c r="K60" s="178">
        <v>0</v>
      </c>
      <c r="L60" s="178">
        <v>0</v>
      </c>
      <c r="M60" s="178">
        <v>0</v>
      </c>
      <c r="N60" s="178">
        <v>0</v>
      </c>
      <c r="O60" s="178">
        <f t="shared" si="0"/>
        <v>1354</v>
      </c>
      <c r="P60" s="178"/>
      <c r="Q60" s="178"/>
    </row>
    <row r="61" spans="1:17">
      <c r="A61" s="175" t="s">
        <v>331</v>
      </c>
      <c r="B61" s="180" t="s">
        <v>235</v>
      </c>
      <c r="C61" s="181">
        <f>SUMIFS('2Q T12'!F:F,'2Q T12'!$A:$A,'3Q T12'!$B61)</f>
        <v>83.35</v>
      </c>
      <c r="D61" s="181">
        <f>SUMIFS('2Q T12'!G:G,'2Q T12'!$A:$A,'3Q T12'!$B61)</f>
        <v>83.33</v>
      </c>
      <c r="E61" s="181">
        <f>SUMIFS('2Q T12'!H:H,'2Q T12'!$A:$A,'3Q T12'!$B61)</f>
        <v>83.33</v>
      </c>
      <c r="F61" s="181">
        <v>83</v>
      </c>
      <c r="G61" s="181">
        <v>83</v>
      </c>
      <c r="H61" s="181">
        <v>0</v>
      </c>
      <c r="I61" s="181">
        <v>250</v>
      </c>
      <c r="J61" s="181">
        <v>0</v>
      </c>
      <c r="K61" s="181">
        <v>0</v>
      </c>
      <c r="L61" s="181">
        <v>250</v>
      </c>
      <c r="M61" s="181">
        <v>0</v>
      </c>
      <c r="N61" s="181">
        <v>0</v>
      </c>
      <c r="O61" s="181">
        <f t="shared" si="0"/>
        <v>916.01</v>
      </c>
      <c r="P61" s="178"/>
      <c r="Q61" s="178"/>
    </row>
    <row r="62" spans="1:17" ht="13.5" thickBot="1">
      <c r="A62" s="175" t="s">
        <v>332</v>
      </c>
      <c r="B62" s="182" t="s">
        <v>200</v>
      </c>
      <c r="C62" s="183">
        <f>SUMIFS('2Q T12'!F:F,'2Q T12'!$A:$A,'3Q T12'!$B62)</f>
        <v>0</v>
      </c>
      <c r="D62" s="183">
        <f>SUMIFS('2Q T12'!G:G,'2Q T12'!$A:$A,'3Q T12'!$B62)</f>
        <v>0</v>
      </c>
      <c r="E62" s="183">
        <f>SUMIFS('2Q T12'!H:H,'2Q T12'!$A:$A,'3Q T12'!$B62)</f>
        <v>0</v>
      </c>
      <c r="F62" s="183">
        <v>1274</v>
      </c>
      <c r="G62" s="183">
        <v>1263</v>
      </c>
      <c r="H62" s="183">
        <v>0</v>
      </c>
      <c r="I62" s="183">
        <v>1261</v>
      </c>
      <c r="J62" s="183">
        <v>0</v>
      </c>
      <c r="K62" s="183">
        <v>2614</v>
      </c>
      <c r="L62" s="183">
        <v>882</v>
      </c>
      <c r="M62" s="183">
        <v>0</v>
      </c>
      <c r="N62" s="183">
        <v>0</v>
      </c>
      <c r="O62" s="183">
        <f t="shared" si="0"/>
        <v>7294</v>
      </c>
      <c r="P62" s="178"/>
      <c r="Q62" s="178"/>
    </row>
    <row r="63" spans="1:17" ht="13.5" thickTop="1">
      <c r="A63" s="175" t="s">
        <v>333</v>
      </c>
      <c r="B63" s="179" t="s">
        <v>201</v>
      </c>
      <c r="C63" s="178">
        <v>261948.03</v>
      </c>
      <c r="D63" s="178">
        <v>241477.04</v>
      </c>
      <c r="E63" s="178">
        <v>242472.14</v>
      </c>
      <c r="F63" s="178">
        <v>242835</v>
      </c>
      <c r="G63" s="178">
        <v>216515</v>
      </c>
      <c r="H63" s="178">
        <v>290887</v>
      </c>
      <c r="I63" s="178">
        <v>174537</v>
      </c>
      <c r="J63" s="178">
        <v>242708</v>
      </c>
      <c r="K63" s="178">
        <v>243626</v>
      </c>
      <c r="L63" s="178">
        <v>235491</v>
      </c>
      <c r="M63" s="178">
        <v>244886</v>
      </c>
      <c r="N63" s="178">
        <v>245352</v>
      </c>
      <c r="O63" s="178">
        <f t="shared" si="0"/>
        <v>2882734.21</v>
      </c>
      <c r="P63" s="178"/>
      <c r="Q63" s="178"/>
    </row>
    <row r="64" spans="1:17">
      <c r="A64" s="175" t="s">
        <v>334</v>
      </c>
      <c r="B64" s="179"/>
      <c r="C64" s="178">
        <f>SUMIFS('2Q T12'!F:F,'2Q T12'!$A:$A,'3Q T12'!$B64)</f>
        <v>0</v>
      </c>
      <c r="D64" s="178">
        <f>SUMIFS('2Q T12'!G:G,'2Q T12'!$A:$A,'3Q T12'!$B64)</f>
        <v>0</v>
      </c>
      <c r="E64" s="178">
        <f>SUMIFS('2Q T12'!H:H,'2Q T12'!$A:$A,'3Q T12'!$B64)</f>
        <v>0</v>
      </c>
      <c r="F64" s="178">
        <v>244192</v>
      </c>
      <c r="G64" s="178">
        <v>218809</v>
      </c>
      <c r="H64" s="178">
        <v>297548</v>
      </c>
      <c r="I64" s="178">
        <v>176048</v>
      </c>
      <c r="J64" s="178">
        <v>263180</v>
      </c>
      <c r="K64" s="178">
        <v>262559</v>
      </c>
      <c r="L64" s="178">
        <v>237623</v>
      </c>
      <c r="M64" s="178">
        <v>245486</v>
      </c>
      <c r="N64" s="178">
        <v>245352</v>
      </c>
      <c r="O64" s="178">
        <f t="shared" si="0"/>
        <v>2190797</v>
      </c>
      <c r="P64" s="178"/>
      <c r="Q64" s="178"/>
    </row>
    <row r="65" spans="1:17">
      <c r="B65" s="179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>
        <f t="shared" si="0"/>
        <v>0</v>
      </c>
      <c r="P65" s="178"/>
      <c r="Q65" s="178"/>
    </row>
    <row r="66" spans="1:17">
      <c r="A66" s="175" t="s">
        <v>198</v>
      </c>
      <c r="B66" s="179"/>
      <c r="C66" s="178">
        <f>SUMIFS('2Q T12'!F:F,'2Q T12'!$A:$A,'3Q T12'!$B66)</f>
        <v>0</v>
      </c>
      <c r="D66" s="178">
        <f>SUMIFS('2Q T12'!G:G,'2Q T12'!$A:$A,'3Q T12'!$B66)</f>
        <v>0</v>
      </c>
      <c r="E66" s="178">
        <f>SUMIFS('2Q T12'!H:H,'2Q T12'!$A:$A,'3Q T12'!$B66)</f>
        <v>0</v>
      </c>
      <c r="F66" s="178">
        <v>-163399</v>
      </c>
      <c r="G66" s="178">
        <v>-135143</v>
      </c>
      <c r="H66" s="178">
        <v>-190125</v>
      </c>
      <c r="I66" s="178">
        <v>-63675</v>
      </c>
      <c r="J66" s="178">
        <v>-318651</v>
      </c>
      <c r="K66" s="178">
        <v>-212397</v>
      </c>
      <c r="L66" s="178">
        <v>-146403</v>
      </c>
      <c r="M66" s="178">
        <v>-115163</v>
      </c>
      <c r="N66" s="178">
        <v>-161160</v>
      </c>
      <c r="O66" s="178">
        <f t="shared" si="0"/>
        <v>-1506116</v>
      </c>
      <c r="P66" s="178"/>
      <c r="Q66" s="178"/>
    </row>
    <row r="67" spans="1:17">
      <c r="B67" s="180"/>
      <c r="C67" s="181">
        <f>C21-C55-SUM(C58:C62)</f>
        <v>211929.71999999997</v>
      </c>
      <c r="D67" s="181">
        <f t="shared" ref="D67:N67" si="1">D21-D55-SUM(D58:D62)</f>
        <v>96855.140000000029</v>
      </c>
      <c r="E67" s="181">
        <f t="shared" si="1"/>
        <v>75834.119999999981</v>
      </c>
      <c r="F67" s="181">
        <f t="shared" si="1"/>
        <v>79436</v>
      </c>
      <c r="G67" s="181">
        <f t="shared" si="1"/>
        <v>81372</v>
      </c>
      <c r="H67" s="181">
        <f t="shared" si="1"/>
        <v>100762</v>
      </c>
      <c r="I67" s="181">
        <f t="shared" si="1"/>
        <v>110862</v>
      </c>
      <c r="J67" s="181">
        <f t="shared" si="1"/>
        <v>-75943</v>
      </c>
      <c r="K67" s="181">
        <f t="shared" si="1"/>
        <v>31228</v>
      </c>
      <c r="L67" s="181">
        <f t="shared" si="1"/>
        <v>89088</v>
      </c>
      <c r="M67" s="181">
        <f t="shared" si="1"/>
        <v>129723</v>
      </c>
      <c r="N67" s="181">
        <f t="shared" si="1"/>
        <v>84192</v>
      </c>
      <c r="O67" s="178">
        <f t="shared" si="0"/>
        <v>1015338.98</v>
      </c>
      <c r="P67" s="178"/>
      <c r="Q67" s="178"/>
    </row>
    <row r="68" spans="1:17">
      <c r="B68" s="180"/>
      <c r="C68" s="181">
        <f>SUMIFS('2Q T12'!F:F,'2Q T12'!$A:$A,'3Q T12'!$B68)</f>
        <v>0</v>
      </c>
      <c r="D68" s="181">
        <f>SUMIFS('2Q T12'!G:G,'2Q T12'!$A:$A,'3Q T12'!$B68)</f>
        <v>0</v>
      </c>
      <c r="E68" s="181">
        <f>SUMIFS('2Q T12'!H:H,'2Q T12'!$A:$A,'3Q T12'!$B68)</f>
        <v>0</v>
      </c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78"/>
      <c r="Q68" s="178"/>
    </row>
    <row r="69" spans="1:17" ht="13.5" thickBot="1">
      <c r="A69" s="175" t="s">
        <v>205</v>
      </c>
      <c r="B69" s="182"/>
      <c r="C69" s="182">
        <f>SUMIFS('2Q T12'!F:F,'2Q T12'!$A:$A,'3Q T12'!$B69)</f>
        <v>0</v>
      </c>
      <c r="D69" s="182">
        <f>SUMIFS('2Q T12'!G:G,'2Q T12'!$A:$A,'3Q T12'!$B69)</f>
        <v>0</v>
      </c>
      <c r="E69" s="182">
        <f>SUMIFS('2Q T12'!H:H,'2Q T12'!$A:$A,'3Q T12'!$B69)</f>
        <v>0</v>
      </c>
      <c r="F69" s="182">
        <v>-163399</v>
      </c>
      <c r="G69" s="183">
        <v>-135143</v>
      </c>
      <c r="H69" s="183">
        <v>-190125</v>
      </c>
      <c r="I69" s="183">
        <v>-63675</v>
      </c>
      <c r="J69" s="183">
        <v>-318651</v>
      </c>
      <c r="K69" s="183">
        <v>-212397</v>
      </c>
      <c r="L69" s="183">
        <v>-146403</v>
      </c>
      <c r="M69" s="183">
        <v>210935</v>
      </c>
      <c r="N69" s="183">
        <v>213175</v>
      </c>
      <c r="O69" s="183"/>
      <c r="P69" s="178"/>
      <c r="Q69" s="178"/>
    </row>
    <row r="70" spans="1:17" ht="13.5" thickTop="1">
      <c r="B70" s="179"/>
      <c r="C70" s="179"/>
      <c r="D70" s="179"/>
      <c r="E70" s="179"/>
      <c r="F70" s="179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</row>
    <row r="71" spans="1:17">
      <c r="B71" s="175" t="s">
        <v>206</v>
      </c>
      <c r="C71" s="179"/>
      <c r="D71" s="179"/>
      <c r="E71" s="179"/>
      <c r="F71" s="179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</row>
    <row r="72" spans="1:17">
      <c r="B72" s="175" t="s">
        <v>207</v>
      </c>
      <c r="C72" s="179">
        <v>0</v>
      </c>
      <c r="D72" s="179">
        <v>0</v>
      </c>
      <c r="E72" s="179">
        <v>-1101532.55</v>
      </c>
      <c r="F72" s="179">
        <v>0</v>
      </c>
      <c r="G72" s="178">
        <v>270514</v>
      </c>
      <c r="H72" s="178">
        <v>0</v>
      </c>
      <c r="I72" s="178">
        <v>0</v>
      </c>
      <c r="J72" s="178">
        <v>0</v>
      </c>
      <c r="K72" s="178">
        <v>0</v>
      </c>
      <c r="L72" s="178">
        <v>0</v>
      </c>
      <c r="M72" s="178">
        <v>0</v>
      </c>
      <c r="N72" s="178">
        <v>0</v>
      </c>
      <c r="O72" s="178">
        <f t="shared" ref="O72:O75" si="2">SUM(C72:N72)</f>
        <v>-831018.55</v>
      </c>
      <c r="P72" s="178"/>
      <c r="Q72" s="178"/>
    </row>
    <row r="73" spans="1:17">
      <c r="B73" s="175" t="s">
        <v>216</v>
      </c>
      <c r="C73" s="179">
        <v>0</v>
      </c>
      <c r="D73" s="179">
        <v>0</v>
      </c>
      <c r="E73" s="179">
        <v>-1500</v>
      </c>
      <c r="F73" s="179">
        <v>0</v>
      </c>
      <c r="G73" s="178">
        <v>0</v>
      </c>
      <c r="H73" s="178">
        <v>0</v>
      </c>
      <c r="I73" s="178">
        <v>0</v>
      </c>
      <c r="J73" s="178">
        <v>5625</v>
      </c>
      <c r="K73" s="178">
        <v>0</v>
      </c>
      <c r="L73" s="178">
        <v>0</v>
      </c>
      <c r="M73" s="178">
        <v>0</v>
      </c>
      <c r="N73" s="178">
        <v>0</v>
      </c>
      <c r="O73" s="178">
        <f t="shared" si="2"/>
        <v>4125</v>
      </c>
      <c r="P73" s="178"/>
      <c r="Q73" s="178"/>
    </row>
    <row r="74" spans="1:17">
      <c r="B74" s="175" t="s">
        <v>237</v>
      </c>
      <c r="C74" s="180"/>
      <c r="D74" s="180"/>
      <c r="E74" s="180"/>
      <c r="F74" s="180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/>
      <c r="P74" s="178"/>
      <c r="Q74" s="178"/>
    </row>
    <row r="75" spans="1:17" ht="13.5" thickBot="1">
      <c r="B75" s="175" t="s">
        <v>238</v>
      </c>
      <c r="C75" s="182">
        <v>208802.92</v>
      </c>
      <c r="D75" s="182">
        <v>471034.7</v>
      </c>
      <c r="E75" s="182">
        <v>1158386.3999999999</v>
      </c>
      <c r="F75" s="182">
        <v>33892</v>
      </c>
      <c r="G75" s="183">
        <v>-251276</v>
      </c>
      <c r="H75" s="183">
        <v>-119128</v>
      </c>
      <c r="I75" s="183">
        <v>0</v>
      </c>
      <c r="J75" s="183">
        <v>104148</v>
      </c>
      <c r="K75" s="183">
        <v>0</v>
      </c>
      <c r="L75" s="183">
        <v>0</v>
      </c>
      <c r="M75" s="183">
        <v>0</v>
      </c>
      <c r="N75" s="183">
        <v>0</v>
      </c>
      <c r="O75" s="183">
        <f t="shared" si="2"/>
        <v>1605860.02</v>
      </c>
      <c r="P75" s="178"/>
      <c r="Q75" s="178"/>
    </row>
    <row r="76" spans="1:17" ht="13.5" thickTop="1">
      <c r="B76" s="175" t="s">
        <v>208</v>
      </c>
      <c r="C76" s="180">
        <f>SUM(C72:C75)</f>
        <v>208802.92</v>
      </c>
      <c r="D76" s="180">
        <f>SUM(D72:D75)</f>
        <v>471034.7</v>
      </c>
      <c r="E76" s="180">
        <f>SUM(E72:E75)</f>
        <v>55353.84999999986</v>
      </c>
      <c r="F76" s="180">
        <v>33892</v>
      </c>
      <c r="G76" s="181">
        <v>19239</v>
      </c>
      <c r="H76" s="181">
        <v>-119128</v>
      </c>
      <c r="I76" s="181">
        <v>0</v>
      </c>
      <c r="J76" s="181">
        <v>109773</v>
      </c>
      <c r="K76" s="181">
        <v>0</v>
      </c>
      <c r="L76" s="181">
        <v>0</v>
      </c>
      <c r="M76" s="181">
        <v>0</v>
      </c>
      <c r="N76" s="181">
        <v>0</v>
      </c>
      <c r="O76" s="181">
        <f>SUM(O72:O75)</f>
        <v>778966.47</v>
      </c>
      <c r="P76" s="178"/>
      <c r="Q76" s="178"/>
    </row>
    <row r="77" spans="1:17" ht="13.5" thickBot="1">
      <c r="B77" s="182"/>
      <c r="C77" s="182"/>
      <c r="D77" s="182"/>
      <c r="E77" s="182"/>
      <c r="F77" s="182"/>
      <c r="G77" s="183"/>
      <c r="H77" s="183"/>
      <c r="I77" s="183"/>
      <c r="J77" s="183"/>
      <c r="K77" s="183"/>
      <c r="L77" s="183"/>
      <c r="M77" s="183"/>
      <c r="N77" s="183"/>
      <c r="O77" s="183"/>
      <c r="P77" s="178"/>
      <c r="Q77" s="178"/>
    </row>
    <row r="78" spans="1:17" ht="13.5" thickTop="1">
      <c r="A78" s="175" t="s">
        <v>209</v>
      </c>
      <c r="C78" s="179"/>
      <c r="D78" s="179"/>
      <c r="E78" s="179"/>
      <c r="F78" s="179">
        <v>-197292</v>
      </c>
      <c r="G78" s="178">
        <v>-154382</v>
      </c>
      <c r="H78" s="178">
        <v>-70997</v>
      </c>
      <c r="I78" s="178">
        <v>-63675</v>
      </c>
      <c r="J78" s="178">
        <v>-428424</v>
      </c>
      <c r="K78" s="178">
        <v>-212397</v>
      </c>
      <c r="L78" s="178">
        <v>-146403</v>
      </c>
      <c r="M78" s="178">
        <v>210935</v>
      </c>
      <c r="N78" s="178">
        <v>213175</v>
      </c>
      <c r="O78" s="178"/>
      <c r="P78" s="178"/>
      <c r="Q78" s="178"/>
    </row>
    <row r="79" spans="1:17"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</row>
    <row r="80" spans="1:17"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</row>
    <row r="81" spans="3:17"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</row>
    <row r="82" spans="3:17"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024D-E867-4CEA-92ED-92BE501F23D8}">
  <dimension ref="A1:O104"/>
  <sheetViews>
    <sheetView workbookViewId="0"/>
  </sheetViews>
  <sheetFormatPr defaultColWidth="9.140625" defaultRowHeight="15"/>
  <cols>
    <col min="1" max="1" width="17" style="157" bestFit="1" customWidth="1"/>
    <col min="2" max="2" width="38.140625" style="157" customWidth="1"/>
    <col min="3" max="15" width="16.140625" style="157" customWidth="1"/>
    <col min="16" max="16384" width="9.140625" style="157"/>
  </cols>
  <sheetData>
    <row r="1" spans="1:15">
      <c r="B1" s="155" t="s">
        <v>148</v>
      </c>
      <c r="C1" s="155" t="s">
        <v>250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6"/>
    </row>
    <row r="2" spans="1:15">
      <c r="B2" s="155" t="s">
        <v>251</v>
      </c>
      <c r="C2" s="155" t="s">
        <v>150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8"/>
    </row>
    <row r="3" spans="1:15">
      <c r="B3" s="155" t="s">
        <v>149</v>
      </c>
      <c r="C3" s="155" t="s">
        <v>151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9"/>
    </row>
    <row r="4" spans="1:15">
      <c r="B4" s="155" t="s">
        <v>252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6"/>
    </row>
    <row r="5" spans="1:15">
      <c r="B5" s="155" t="s">
        <v>73</v>
      </c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</row>
    <row r="6" spans="1:15">
      <c r="B6" s="155" t="s">
        <v>152</v>
      </c>
      <c r="C6" s="155" t="s">
        <v>253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</row>
    <row r="7" spans="1:15"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</row>
    <row r="8" spans="1:15"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</row>
    <row r="9" spans="1:15">
      <c r="A9" s="157" t="s">
        <v>335</v>
      </c>
      <c r="B9" s="160"/>
      <c r="C9" s="161" t="s">
        <v>254</v>
      </c>
      <c r="D9" s="161" t="s">
        <v>255</v>
      </c>
      <c r="E9" s="161" t="s">
        <v>256</v>
      </c>
      <c r="F9" s="161" t="s">
        <v>257</v>
      </c>
      <c r="G9" s="161" t="s">
        <v>258</v>
      </c>
      <c r="H9" s="161" t="s">
        <v>259</v>
      </c>
      <c r="I9" s="161" t="s">
        <v>260</v>
      </c>
      <c r="J9" s="161" t="s">
        <v>261</v>
      </c>
      <c r="K9" s="161" t="s">
        <v>262</v>
      </c>
      <c r="L9" s="161" t="s">
        <v>263</v>
      </c>
      <c r="M9" s="161" t="s">
        <v>264</v>
      </c>
      <c r="N9" s="161" t="s">
        <v>265</v>
      </c>
      <c r="O9" s="162" t="s">
        <v>153</v>
      </c>
    </row>
    <row r="10" spans="1:15">
      <c r="B10" s="157" t="s">
        <v>154</v>
      </c>
    </row>
    <row r="12" spans="1:15">
      <c r="B12" s="157" t="s">
        <v>155</v>
      </c>
    </row>
    <row r="13" spans="1:15">
      <c r="A13" s="157" t="s">
        <v>156</v>
      </c>
      <c r="B13" s="157" t="s">
        <v>156</v>
      </c>
      <c r="C13" s="163">
        <v>129555.86</v>
      </c>
      <c r="D13" s="163">
        <v>129555.86</v>
      </c>
      <c r="E13" s="163">
        <v>129555.86</v>
      </c>
      <c r="F13" s="163">
        <v>129555.86</v>
      </c>
      <c r="G13" s="163">
        <v>129555.86</v>
      </c>
      <c r="H13" s="163">
        <v>129555.86</v>
      </c>
      <c r="I13" s="163">
        <v>129555.86</v>
      </c>
      <c r="J13" s="163">
        <v>129555.86</v>
      </c>
      <c r="K13" s="163">
        <v>129555.86</v>
      </c>
      <c r="L13" s="163">
        <v>132240.35</v>
      </c>
      <c r="M13" s="163">
        <v>133826.03</v>
      </c>
      <c r="N13" s="163">
        <v>133826.03</v>
      </c>
      <c r="O13" s="163">
        <v>1565895.15</v>
      </c>
    </row>
    <row r="14" spans="1:15">
      <c r="A14" s="157" t="s">
        <v>156</v>
      </c>
      <c r="B14" s="157" t="s">
        <v>223</v>
      </c>
      <c r="C14" s="164">
        <v>96708.93</v>
      </c>
      <c r="D14" s="164">
        <v>52952.55</v>
      </c>
      <c r="E14" s="164">
        <v>0</v>
      </c>
      <c r="F14" s="164">
        <v>0</v>
      </c>
      <c r="G14" s="164">
        <v>0</v>
      </c>
      <c r="H14" s="164">
        <v>0</v>
      </c>
      <c r="I14" s="164">
        <v>0</v>
      </c>
      <c r="J14" s="164">
        <v>0</v>
      </c>
      <c r="K14" s="164">
        <v>0</v>
      </c>
      <c r="L14" s="164">
        <v>0</v>
      </c>
      <c r="M14" s="164">
        <v>0</v>
      </c>
      <c r="N14" s="164">
        <v>0</v>
      </c>
      <c r="O14" s="164">
        <v>149661.48000000001</v>
      </c>
    </row>
    <row r="15" spans="1:15">
      <c r="B15" s="157" t="s">
        <v>157</v>
      </c>
      <c r="C15" s="163">
        <v>226264.79</v>
      </c>
      <c r="D15" s="163">
        <v>182508.41</v>
      </c>
      <c r="E15" s="163">
        <v>129555.86</v>
      </c>
      <c r="F15" s="163">
        <v>129555.86</v>
      </c>
      <c r="G15" s="163">
        <v>129555.86</v>
      </c>
      <c r="H15" s="163">
        <v>129555.86</v>
      </c>
      <c r="I15" s="163">
        <v>129555.86</v>
      </c>
      <c r="J15" s="163">
        <v>129555.86</v>
      </c>
      <c r="K15" s="163">
        <v>129555.86</v>
      </c>
      <c r="L15" s="163">
        <v>132240.35</v>
      </c>
      <c r="M15" s="163">
        <v>133826.03</v>
      </c>
      <c r="N15" s="163">
        <v>133826.03</v>
      </c>
      <c r="O15" s="163">
        <v>1715556.63</v>
      </c>
    </row>
    <row r="17" spans="1:15">
      <c r="B17" s="157" t="s">
        <v>158</v>
      </c>
    </row>
    <row r="18" spans="1:15">
      <c r="A18" s="157" t="s">
        <v>245</v>
      </c>
      <c r="B18" s="157" t="s">
        <v>245</v>
      </c>
      <c r="C18" s="163">
        <v>0</v>
      </c>
      <c r="D18" s="163">
        <v>0</v>
      </c>
      <c r="E18" s="163">
        <v>0</v>
      </c>
      <c r="F18" s="163">
        <v>0</v>
      </c>
      <c r="G18" s="163">
        <v>0</v>
      </c>
      <c r="H18" s="163">
        <v>0</v>
      </c>
      <c r="I18" s="163">
        <v>0</v>
      </c>
      <c r="J18" s="163">
        <v>-325.25</v>
      </c>
      <c r="K18" s="163">
        <v>0</v>
      </c>
      <c r="L18" s="163">
        <v>0</v>
      </c>
      <c r="M18" s="163">
        <v>0</v>
      </c>
      <c r="N18" s="163">
        <v>0</v>
      </c>
      <c r="O18" s="163">
        <v>-325.25</v>
      </c>
    </row>
    <row r="19" spans="1:15">
      <c r="A19" s="157" t="s">
        <v>266</v>
      </c>
      <c r="B19" s="157" t="s">
        <v>266</v>
      </c>
      <c r="C19" s="163">
        <v>0</v>
      </c>
      <c r="D19" s="163">
        <v>0</v>
      </c>
      <c r="E19" s="163">
        <v>0</v>
      </c>
      <c r="F19" s="163">
        <v>0</v>
      </c>
      <c r="G19" s="163">
        <v>0</v>
      </c>
      <c r="H19" s="163">
        <v>0</v>
      </c>
      <c r="I19" s="163">
        <v>25.62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25.62</v>
      </c>
    </row>
    <row r="20" spans="1:15">
      <c r="A20" s="157" t="s">
        <v>159</v>
      </c>
      <c r="B20" s="157" t="s">
        <v>159</v>
      </c>
      <c r="C20" s="163">
        <v>37986.67</v>
      </c>
      <c r="D20" s="163">
        <v>29330.68</v>
      </c>
      <c r="E20" s="163">
        <v>19972.39</v>
      </c>
      <c r="F20" s="163">
        <v>8569.83</v>
      </c>
      <c r="G20" s="163">
        <v>8569.83</v>
      </c>
      <c r="H20" s="163">
        <v>8569.83</v>
      </c>
      <c r="I20" s="163">
        <v>11494</v>
      </c>
      <c r="J20" s="163">
        <v>11494</v>
      </c>
      <c r="K20" s="163">
        <v>11494</v>
      </c>
      <c r="L20" s="163">
        <v>11494</v>
      </c>
      <c r="M20" s="163">
        <v>-130205</v>
      </c>
      <c r="N20" s="163">
        <v>11494</v>
      </c>
      <c r="O20" s="163">
        <v>40264.230000000003</v>
      </c>
    </row>
    <row r="21" spans="1:15">
      <c r="A21" s="157" t="s">
        <v>160</v>
      </c>
      <c r="B21" s="157" t="s">
        <v>160</v>
      </c>
      <c r="C21" s="163">
        <v>36311.46</v>
      </c>
      <c r="D21" s="163">
        <v>27437.21</v>
      </c>
      <c r="E21" s="163">
        <v>17840.740000000002</v>
      </c>
      <c r="F21" s="163">
        <v>28825.919999999998</v>
      </c>
      <c r="G21" s="163">
        <v>28825.919999999998</v>
      </c>
      <c r="H21" s="163">
        <v>28825.919999999998</v>
      </c>
      <c r="I21" s="163">
        <v>24390</v>
      </c>
      <c r="J21" s="163">
        <v>24390</v>
      </c>
      <c r="K21" s="163">
        <v>24390</v>
      </c>
      <c r="L21" s="163">
        <v>24390</v>
      </c>
      <c r="M21" s="163">
        <v>21093</v>
      </c>
      <c r="N21" s="163">
        <v>24390</v>
      </c>
      <c r="O21" s="163">
        <v>311110.17</v>
      </c>
    </row>
    <row r="22" spans="1:15">
      <c r="A22" s="157" t="s">
        <v>161</v>
      </c>
      <c r="B22" s="157" t="s">
        <v>161</v>
      </c>
      <c r="C22" s="163">
        <v>4992.7</v>
      </c>
      <c r="D22" s="163">
        <v>4992.7</v>
      </c>
      <c r="E22" s="163">
        <v>4992.7</v>
      </c>
      <c r="F22" s="163">
        <v>5119.75</v>
      </c>
      <c r="G22" s="163">
        <v>5119.75</v>
      </c>
      <c r="H22" s="163">
        <v>5119.75</v>
      </c>
      <c r="I22" s="163">
        <v>2986</v>
      </c>
      <c r="J22" s="163">
        <v>2986</v>
      </c>
      <c r="K22" s="163">
        <v>2986</v>
      </c>
      <c r="L22" s="163">
        <v>2986</v>
      </c>
      <c r="M22" s="163">
        <v>-10326</v>
      </c>
      <c r="N22" s="163">
        <v>-39744.58</v>
      </c>
      <c r="O22" s="163">
        <v>-7789.23</v>
      </c>
    </row>
    <row r="23" spans="1:15">
      <c r="A23" s="157" t="s">
        <v>213</v>
      </c>
      <c r="B23" s="157" t="s">
        <v>224</v>
      </c>
      <c r="C23" s="163">
        <v>6.49</v>
      </c>
      <c r="D23" s="163">
        <v>0</v>
      </c>
      <c r="E23" s="163">
        <v>0</v>
      </c>
      <c r="F23" s="163">
        <v>10.77</v>
      </c>
      <c r="G23" s="163">
        <v>0</v>
      </c>
      <c r="H23" s="163">
        <v>0</v>
      </c>
      <c r="I23" s="163">
        <v>0</v>
      </c>
      <c r="J23" s="163">
        <v>0</v>
      </c>
      <c r="K23" s="163">
        <v>0</v>
      </c>
      <c r="L23" s="163">
        <v>0</v>
      </c>
      <c r="M23" s="163">
        <v>0</v>
      </c>
      <c r="N23" s="163">
        <v>0</v>
      </c>
      <c r="O23" s="163">
        <v>17.260000000000002</v>
      </c>
    </row>
    <row r="24" spans="1:15">
      <c r="A24" s="157" t="s">
        <v>213</v>
      </c>
      <c r="B24" s="157" t="s">
        <v>213</v>
      </c>
      <c r="C24" s="163">
        <v>30</v>
      </c>
      <c r="D24" s="163">
        <v>30</v>
      </c>
      <c r="E24" s="163">
        <v>30</v>
      </c>
      <c r="F24" s="163">
        <v>30</v>
      </c>
      <c r="G24" s="163">
        <v>30</v>
      </c>
      <c r="H24" s="163">
        <v>30</v>
      </c>
      <c r="I24" s="163">
        <v>30</v>
      </c>
      <c r="J24" s="163">
        <v>30</v>
      </c>
      <c r="K24" s="163">
        <v>0</v>
      </c>
      <c r="L24" s="163">
        <v>0</v>
      </c>
      <c r="M24" s="163">
        <v>0</v>
      </c>
      <c r="N24" s="163">
        <v>0</v>
      </c>
      <c r="O24" s="163">
        <v>240</v>
      </c>
    </row>
    <row r="25" spans="1:15">
      <c r="A25" s="157" t="s">
        <v>213</v>
      </c>
      <c r="B25" s="157" t="s">
        <v>231</v>
      </c>
      <c r="C25" s="164">
        <v>0</v>
      </c>
      <c r="D25" s="164">
        <v>7550</v>
      </c>
      <c r="E25" s="164">
        <v>0</v>
      </c>
      <c r="F25" s="164">
        <v>0</v>
      </c>
      <c r="G25" s="164">
        <v>0</v>
      </c>
      <c r="H25" s="164">
        <v>0</v>
      </c>
      <c r="I25" s="164">
        <v>0</v>
      </c>
      <c r="J25" s="164">
        <v>0</v>
      </c>
      <c r="K25" s="164">
        <v>0</v>
      </c>
      <c r="L25" s="164">
        <v>0</v>
      </c>
      <c r="M25" s="164">
        <v>0</v>
      </c>
      <c r="N25" s="164">
        <v>0</v>
      </c>
      <c r="O25" s="164">
        <v>7550</v>
      </c>
    </row>
    <row r="26" spans="1:15">
      <c r="B26" s="157" t="s">
        <v>162</v>
      </c>
      <c r="C26" s="163">
        <v>79327.320000000007</v>
      </c>
      <c r="D26" s="163">
        <v>69340.59</v>
      </c>
      <c r="E26" s="163">
        <v>42835.83</v>
      </c>
      <c r="F26" s="163">
        <v>42556.27</v>
      </c>
      <c r="G26" s="163">
        <v>42545.5</v>
      </c>
      <c r="H26" s="163">
        <v>42545.5</v>
      </c>
      <c r="I26" s="163">
        <v>38925.620000000003</v>
      </c>
      <c r="J26" s="163">
        <v>38574.75</v>
      </c>
      <c r="K26" s="163">
        <v>38870</v>
      </c>
      <c r="L26" s="163">
        <v>38870</v>
      </c>
      <c r="M26" s="163">
        <v>-119438</v>
      </c>
      <c r="N26" s="163">
        <v>-3860.58</v>
      </c>
      <c r="O26" s="163">
        <v>351092.8</v>
      </c>
    </row>
    <row r="27" spans="1:15"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</row>
    <row r="28" spans="1:15" ht="15.75" thickBot="1">
      <c r="B28" s="157" t="s">
        <v>163</v>
      </c>
      <c r="C28" s="166">
        <v>305592.11</v>
      </c>
      <c r="D28" s="166">
        <v>251849</v>
      </c>
      <c r="E28" s="166">
        <v>172391.69</v>
      </c>
      <c r="F28" s="166">
        <v>172112.13</v>
      </c>
      <c r="G28" s="166">
        <v>172101.36</v>
      </c>
      <c r="H28" s="166">
        <v>172101.36</v>
      </c>
      <c r="I28" s="166">
        <v>168481.48</v>
      </c>
      <c r="J28" s="166">
        <v>168130.61</v>
      </c>
      <c r="K28" s="166">
        <v>168425.86</v>
      </c>
      <c r="L28" s="166">
        <v>171110.35</v>
      </c>
      <c r="M28" s="166">
        <v>14388.03</v>
      </c>
      <c r="N28" s="166">
        <v>129965.45</v>
      </c>
      <c r="O28" s="166">
        <v>2066649.43</v>
      </c>
    </row>
    <row r="29" spans="1:15" ht="15.75" thickTop="1"/>
    <row r="30" spans="1:15">
      <c r="B30" s="157" t="s">
        <v>164</v>
      </c>
    </row>
    <row r="31" spans="1:15">
      <c r="B31" s="157" t="s">
        <v>165</v>
      </c>
    </row>
    <row r="33" spans="1:15">
      <c r="B33" s="157" t="s">
        <v>166</v>
      </c>
    </row>
    <row r="34" spans="1:15">
      <c r="A34" s="157" t="s">
        <v>167</v>
      </c>
      <c r="B34" s="157" t="s">
        <v>167</v>
      </c>
      <c r="C34" s="163">
        <v>57908.24</v>
      </c>
      <c r="D34" s="163">
        <v>57908.24</v>
      </c>
      <c r="E34" s="163">
        <v>57908.24</v>
      </c>
      <c r="F34" s="163">
        <v>-109312.86</v>
      </c>
      <c r="G34" s="163">
        <v>41186.129999999997</v>
      </c>
      <c r="H34" s="163">
        <v>41186.18</v>
      </c>
      <c r="I34" s="163">
        <v>48858.75</v>
      </c>
      <c r="J34" s="163">
        <v>48858.77</v>
      </c>
      <c r="K34" s="163">
        <v>48858.75</v>
      </c>
      <c r="L34" s="163">
        <v>48858.75</v>
      </c>
      <c r="M34" s="163">
        <v>48858.75</v>
      </c>
      <c r="N34" s="163">
        <v>48858.75</v>
      </c>
      <c r="O34" s="163">
        <v>439936.69</v>
      </c>
    </row>
    <row r="35" spans="1:15">
      <c r="A35" s="157" t="s">
        <v>167</v>
      </c>
      <c r="B35" s="157" t="s">
        <v>225</v>
      </c>
      <c r="C35" s="163">
        <v>0</v>
      </c>
      <c r="D35" s="163">
        <v>0</v>
      </c>
      <c r="E35" s="163">
        <v>0</v>
      </c>
      <c r="F35" s="163">
        <v>0</v>
      </c>
      <c r="G35" s="163">
        <v>0</v>
      </c>
      <c r="H35" s="163">
        <v>15817.33</v>
      </c>
      <c r="I35" s="163">
        <v>0</v>
      </c>
      <c r="J35" s="163">
        <v>0</v>
      </c>
      <c r="K35" s="163">
        <v>0</v>
      </c>
      <c r="L35" s="163">
        <v>0</v>
      </c>
      <c r="M35" s="163">
        <v>0</v>
      </c>
      <c r="N35" s="163">
        <v>0</v>
      </c>
      <c r="O35" s="163">
        <v>15817.33</v>
      </c>
    </row>
    <row r="36" spans="1:15">
      <c r="A36" s="157" t="s">
        <v>168</v>
      </c>
      <c r="B36" s="157" t="s">
        <v>168</v>
      </c>
      <c r="C36" s="164">
        <v>23157.56</v>
      </c>
      <c r="D36" s="164">
        <v>23757.58</v>
      </c>
      <c r="E36" s="164">
        <v>23757.58</v>
      </c>
      <c r="F36" s="164">
        <v>23757.58</v>
      </c>
      <c r="G36" s="164">
        <v>23757.58</v>
      </c>
      <c r="H36" s="164">
        <v>18894.25</v>
      </c>
      <c r="I36" s="164">
        <v>23045.86</v>
      </c>
      <c r="J36" s="164">
        <v>23045.86</v>
      </c>
      <c r="K36" s="164">
        <v>0</v>
      </c>
      <c r="L36" s="164">
        <v>751.41</v>
      </c>
      <c r="M36" s="164">
        <v>665.67</v>
      </c>
      <c r="N36" s="164">
        <v>9724.02</v>
      </c>
      <c r="O36" s="164">
        <v>194314.95</v>
      </c>
    </row>
    <row r="37" spans="1:15">
      <c r="B37" s="157" t="s">
        <v>169</v>
      </c>
      <c r="C37" s="163">
        <v>81065.8</v>
      </c>
      <c r="D37" s="163">
        <v>81665.820000000007</v>
      </c>
      <c r="E37" s="163">
        <v>81665.820000000007</v>
      </c>
      <c r="F37" s="163">
        <v>-85555.28</v>
      </c>
      <c r="G37" s="163">
        <v>64943.71</v>
      </c>
      <c r="H37" s="163">
        <v>75897.759999999995</v>
      </c>
      <c r="I37" s="163">
        <v>71904.61</v>
      </c>
      <c r="J37" s="163">
        <v>71904.63</v>
      </c>
      <c r="K37" s="163">
        <v>48858.75</v>
      </c>
      <c r="L37" s="163">
        <v>49610.16</v>
      </c>
      <c r="M37" s="163">
        <v>49524.42</v>
      </c>
      <c r="N37" s="163">
        <v>58582.77</v>
      </c>
      <c r="O37" s="163">
        <v>650068.97</v>
      </c>
    </row>
    <row r="39" spans="1:15">
      <c r="B39" s="157" t="s">
        <v>170</v>
      </c>
    </row>
    <row r="40" spans="1:15">
      <c r="A40" s="157" t="s">
        <v>171</v>
      </c>
      <c r="B40" s="157" t="s">
        <v>171</v>
      </c>
      <c r="C40" s="163">
        <v>1518.2</v>
      </c>
      <c r="D40" s="163">
        <v>1523.08</v>
      </c>
      <c r="E40" s="163">
        <v>1525</v>
      </c>
      <c r="F40" s="163">
        <v>1525</v>
      </c>
      <c r="G40" s="163">
        <v>1525</v>
      </c>
      <c r="H40" s="163">
        <v>2025</v>
      </c>
      <c r="I40" s="163">
        <v>1534.68</v>
      </c>
      <c r="J40" s="163">
        <v>1534.68</v>
      </c>
      <c r="K40" s="163">
        <v>625</v>
      </c>
      <c r="L40" s="163">
        <v>625</v>
      </c>
      <c r="M40" s="163">
        <v>625</v>
      </c>
      <c r="N40" s="163">
        <v>625</v>
      </c>
      <c r="O40" s="163">
        <v>15210.64</v>
      </c>
    </row>
    <row r="41" spans="1:15">
      <c r="A41" s="157" t="s">
        <v>172</v>
      </c>
      <c r="B41" s="157" t="s">
        <v>172</v>
      </c>
      <c r="C41" s="163">
        <v>0</v>
      </c>
      <c r="D41" s="163">
        <v>0</v>
      </c>
      <c r="E41" s="163">
        <v>0</v>
      </c>
      <c r="F41" s="163">
        <v>0</v>
      </c>
      <c r="G41" s="163">
        <v>0</v>
      </c>
      <c r="H41" s="163">
        <v>32.08</v>
      </c>
      <c r="I41" s="163">
        <v>214.39</v>
      </c>
      <c r="J41" s="163">
        <v>0</v>
      </c>
      <c r="K41" s="163">
        <v>0</v>
      </c>
      <c r="L41" s="163">
        <v>440.65</v>
      </c>
      <c r="M41" s="163">
        <v>196.52</v>
      </c>
      <c r="N41" s="163">
        <v>0</v>
      </c>
      <c r="O41" s="163">
        <v>883.64</v>
      </c>
    </row>
    <row r="42" spans="1:15">
      <c r="A42" s="157" t="s">
        <v>232</v>
      </c>
      <c r="B42" s="157" t="s">
        <v>232</v>
      </c>
      <c r="C42" s="164">
        <v>0</v>
      </c>
      <c r="D42" s="164">
        <v>0</v>
      </c>
      <c r="E42" s="164">
        <v>0</v>
      </c>
      <c r="F42" s="164">
        <v>0</v>
      </c>
      <c r="G42" s="164">
        <v>0</v>
      </c>
      <c r="H42" s="164">
        <v>0</v>
      </c>
      <c r="I42" s="164">
        <v>0</v>
      </c>
      <c r="J42" s="164">
        <v>0</v>
      </c>
      <c r="K42" s="164">
        <v>9.1</v>
      </c>
      <c r="L42" s="164">
        <v>0</v>
      </c>
      <c r="M42" s="164">
        <v>0</v>
      </c>
      <c r="N42" s="164">
        <v>9.73</v>
      </c>
      <c r="O42" s="164">
        <v>18.829999999999998</v>
      </c>
    </row>
    <row r="43" spans="1:15">
      <c r="B43" s="157" t="s">
        <v>174</v>
      </c>
      <c r="C43" s="163">
        <v>1518.2</v>
      </c>
      <c r="D43" s="163">
        <v>1523.08</v>
      </c>
      <c r="E43" s="163">
        <v>1525</v>
      </c>
      <c r="F43" s="163">
        <v>1525</v>
      </c>
      <c r="G43" s="163">
        <v>1525</v>
      </c>
      <c r="H43" s="163">
        <v>2057.08</v>
      </c>
      <c r="I43" s="163">
        <v>1749.07</v>
      </c>
      <c r="J43" s="163">
        <v>1534.68</v>
      </c>
      <c r="K43" s="163">
        <v>634.1</v>
      </c>
      <c r="L43" s="163">
        <v>1065.6500000000001</v>
      </c>
      <c r="M43" s="163">
        <v>821.52</v>
      </c>
      <c r="N43" s="163">
        <v>634.73</v>
      </c>
      <c r="O43" s="163">
        <v>16113.11</v>
      </c>
    </row>
    <row r="45" spans="1:15">
      <c r="B45" s="157" t="s">
        <v>175</v>
      </c>
    </row>
    <row r="46" spans="1:15">
      <c r="A46" s="157" t="s">
        <v>175</v>
      </c>
      <c r="B46" s="157" t="s">
        <v>175</v>
      </c>
      <c r="C46" s="163">
        <v>0</v>
      </c>
      <c r="D46" s="163">
        <v>5500</v>
      </c>
      <c r="E46" s="163">
        <v>0</v>
      </c>
      <c r="F46" s="163">
        <v>0</v>
      </c>
      <c r="G46" s="163">
        <v>0</v>
      </c>
      <c r="H46" s="163">
        <v>0</v>
      </c>
      <c r="I46" s="163">
        <v>0</v>
      </c>
      <c r="J46" s="163">
        <v>0</v>
      </c>
      <c r="K46" s="163">
        <v>0</v>
      </c>
      <c r="L46" s="163">
        <v>105</v>
      </c>
      <c r="M46" s="163">
        <v>0</v>
      </c>
      <c r="N46" s="163">
        <v>0</v>
      </c>
      <c r="O46" s="163">
        <v>5605</v>
      </c>
    </row>
    <row r="47" spans="1:15">
      <c r="A47" s="157" t="s">
        <v>214</v>
      </c>
      <c r="B47" s="157" t="s">
        <v>214</v>
      </c>
      <c r="C47" s="163">
        <v>3025</v>
      </c>
      <c r="D47" s="163">
        <v>6300</v>
      </c>
      <c r="E47" s="163">
        <v>0</v>
      </c>
      <c r="F47" s="163">
        <v>-100</v>
      </c>
      <c r="G47" s="163">
        <v>0</v>
      </c>
      <c r="H47" s="163">
        <v>0</v>
      </c>
      <c r="I47" s="163">
        <v>0</v>
      </c>
      <c r="J47" s="163">
        <v>0</v>
      </c>
      <c r="K47" s="163">
        <v>1150</v>
      </c>
      <c r="L47" s="163">
        <v>0</v>
      </c>
      <c r="M47" s="163">
        <v>0</v>
      </c>
      <c r="N47" s="163">
        <v>0</v>
      </c>
      <c r="O47" s="163">
        <v>10375</v>
      </c>
    </row>
    <row r="48" spans="1:15">
      <c r="A48" s="157" t="s">
        <v>176</v>
      </c>
      <c r="B48" s="157" t="s">
        <v>176</v>
      </c>
      <c r="C48" s="164">
        <v>0</v>
      </c>
      <c r="D48" s="164">
        <v>8018.51</v>
      </c>
      <c r="E48" s="164">
        <v>0</v>
      </c>
      <c r="F48" s="164">
        <v>0</v>
      </c>
      <c r="G48" s="164">
        <v>0</v>
      </c>
      <c r="H48" s="164">
        <v>-3954.33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7001.93</v>
      </c>
      <c r="O48" s="164">
        <v>11066.11</v>
      </c>
    </row>
    <row r="49" spans="1:15">
      <c r="B49" s="157" t="s">
        <v>177</v>
      </c>
      <c r="C49" s="163">
        <v>3025</v>
      </c>
      <c r="D49" s="163">
        <v>19818.509999999998</v>
      </c>
      <c r="E49" s="163">
        <v>0</v>
      </c>
      <c r="F49" s="163">
        <v>-100</v>
      </c>
      <c r="G49" s="163">
        <v>0</v>
      </c>
      <c r="H49" s="163">
        <v>-3954.33</v>
      </c>
      <c r="I49" s="163">
        <v>0</v>
      </c>
      <c r="J49" s="163">
        <v>0</v>
      </c>
      <c r="K49" s="163">
        <v>1150</v>
      </c>
      <c r="L49" s="163">
        <v>105</v>
      </c>
      <c r="M49" s="163">
        <v>0</v>
      </c>
      <c r="N49" s="163">
        <v>7001.93</v>
      </c>
      <c r="O49" s="163">
        <v>27046.11</v>
      </c>
    </row>
    <row r="51" spans="1:15">
      <c r="B51" s="157" t="s">
        <v>178</v>
      </c>
    </row>
    <row r="52" spans="1:15">
      <c r="A52" s="157" t="s">
        <v>179</v>
      </c>
      <c r="B52" s="157" t="s">
        <v>179</v>
      </c>
      <c r="C52" s="163">
        <v>1032.1600000000001</v>
      </c>
      <c r="D52" s="163">
        <v>483.68</v>
      </c>
      <c r="E52" s="163">
        <v>1794.33</v>
      </c>
      <c r="F52" s="163">
        <v>1527.52</v>
      </c>
      <c r="G52" s="163">
        <v>1322.87</v>
      </c>
      <c r="H52" s="163">
        <v>2572.5</v>
      </c>
      <c r="I52" s="163">
        <v>2275.0500000000002</v>
      </c>
      <c r="J52" s="163">
        <v>965.25</v>
      </c>
      <c r="K52" s="163">
        <v>4620.82</v>
      </c>
      <c r="L52" s="163">
        <v>0</v>
      </c>
      <c r="M52" s="163">
        <v>3053.81</v>
      </c>
      <c r="N52" s="163">
        <v>1589.06</v>
      </c>
      <c r="O52" s="163">
        <v>21237.05</v>
      </c>
    </row>
    <row r="53" spans="1:15">
      <c r="A53" s="157" t="s">
        <v>180</v>
      </c>
      <c r="B53" s="157" t="s">
        <v>180</v>
      </c>
      <c r="C53" s="163">
        <v>0</v>
      </c>
      <c r="D53" s="163">
        <v>23</v>
      </c>
      <c r="E53" s="163">
        <v>4.08</v>
      </c>
      <c r="F53" s="163">
        <v>8</v>
      </c>
      <c r="G53" s="163">
        <v>9.09</v>
      </c>
      <c r="H53" s="163">
        <v>10798.07</v>
      </c>
      <c r="I53" s="163">
        <v>3026.72</v>
      </c>
      <c r="J53" s="163">
        <v>2127</v>
      </c>
      <c r="K53" s="163">
        <v>-1460.81</v>
      </c>
      <c r="L53" s="163">
        <v>0</v>
      </c>
      <c r="M53" s="163">
        <v>8240.84</v>
      </c>
      <c r="N53" s="163">
        <v>0</v>
      </c>
      <c r="O53" s="163">
        <v>22775.99</v>
      </c>
    </row>
    <row r="54" spans="1:15">
      <c r="A54" s="157" t="s">
        <v>215</v>
      </c>
      <c r="B54" s="157" t="s">
        <v>215</v>
      </c>
      <c r="C54" s="163">
        <v>2935.37</v>
      </c>
      <c r="D54" s="163">
        <v>697.88</v>
      </c>
      <c r="E54" s="163">
        <v>1393.4</v>
      </c>
      <c r="F54" s="163">
        <v>1489.4</v>
      </c>
      <c r="G54" s="163">
        <v>1970.68</v>
      </c>
      <c r="H54" s="163">
        <v>1786.68</v>
      </c>
      <c r="I54" s="163">
        <v>1729.68</v>
      </c>
      <c r="J54" s="163">
        <v>928.43</v>
      </c>
      <c r="K54" s="163">
        <v>418.68</v>
      </c>
      <c r="L54" s="163">
        <v>0</v>
      </c>
      <c r="M54" s="163">
        <v>3459.36</v>
      </c>
      <c r="N54" s="163">
        <v>1729.68</v>
      </c>
      <c r="O54" s="163">
        <v>18539.240000000002</v>
      </c>
    </row>
    <row r="55" spans="1:15">
      <c r="A55" s="157" t="s">
        <v>267</v>
      </c>
      <c r="B55" s="157" t="s">
        <v>267</v>
      </c>
      <c r="C55" s="164">
        <v>0</v>
      </c>
      <c r="D55" s="164">
        <v>0</v>
      </c>
      <c r="E55" s="164">
        <v>0</v>
      </c>
      <c r="F55" s="164">
        <v>0</v>
      </c>
      <c r="G55" s="164">
        <v>0</v>
      </c>
      <c r="H55" s="164">
        <v>0</v>
      </c>
      <c r="I55" s="164">
        <v>0</v>
      </c>
      <c r="J55" s="164">
        <v>0</v>
      </c>
      <c r="K55" s="164">
        <v>0</v>
      </c>
      <c r="L55" s="164">
        <v>0</v>
      </c>
      <c r="M55" s="164">
        <v>256</v>
      </c>
      <c r="N55" s="164">
        <v>0</v>
      </c>
      <c r="O55" s="164">
        <v>256</v>
      </c>
    </row>
    <row r="56" spans="1:15">
      <c r="B56" s="157" t="s">
        <v>181</v>
      </c>
      <c r="C56" s="163">
        <v>3967.53</v>
      </c>
      <c r="D56" s="163">
        <v>1204.56</v>
      </c>
      <c r="E56" s="163">
        <v>3191.81</v>
      </c>
      <c r="F56" s="163">
        <v>3024.92</v>
      </c>
      <c r="G56" s="163">
        <v>3302.64</v>
      </c>
      <c r="H56" s="163">
        <v>15157.25</v>
      </c>
      <c r="I56" s="163">
        <v>7031.45</v>
      </c>
      <c r="J56" s="163">
        <v>4020.68</v>
      </c>
      <c r="K56" s="163">
        <v>3578.69</v>
      </c>
      <c r="L56" s="163">
        <v>0</v>
      </c>
      <c r="M56" s="163">
        <v>15010.01</v>
      </c>
      <c r="N56" s="163">
        <v>3318.74</v>
      </c>
      <c r="O56" s="163">
        <v>62808.28</v>
      </c>
    </row>
    <row r="58" spans="1:15">
      <c r="B58" s="157" t="s">
        <v>182</v>
      </c>
    </row>
    <row r="59" spans="1:15">
      <c r="A59" s="157" t="s">
        <v>183</v>
      </c>
      <c r="B59" s="157" t="s">
        <v>183</v>
      </c>
      <c r="C59" s="163">
        <v>179.76</v>
      </c>
      <c r="D59" s="163">
        <v>179.76</v>
      </c>
      <c r="E59" s="163">
        <v>179.76</v>
      </c>
      <c r="F59" s="163">
        <v>179.76</v>
      </c>
      <c r="G59" s="163">
        <v>179.76</v>
      </c>
      <c r="H59" s="163">
        <v>179.76</v>
      </c>
      <c r="I59" s="163">
        <v>179.76</v>
      </c>
      <c r="J59" s="163">
        <v>-179.76</v>
      </c>
      <c r="K59" s="163">
        <v>0</v>
      </c>
      <c r="L59" s="163">
        <v>0</v>
      </c>
      <c r="M59" s="163">
        <v>0</v>
      </c>
      <c r="N59" s="163">
        <v>0</v>
      </c>
      <c r="O59" s="163">
        <v>1078.56</v>
      </c>
    </row>
    <row r="60" spans="1:15">
      <c r="A60" s="157" t="s">
        <v>184</v>
      </c>
      <c r="B60" s="157" t="s">
        <v>184</v>
      </c>
      <c r="C60" s="163">
        <v>0</v>
      </c>
      <c r="D60" s="163">
        <v>1745.7</v>
      </c>
      <c r="E60" s="163">
        <v>0</v>
      </c>
      <c r="F60" s="163">
        <v>0</v>
      </c>
      <c r="G60" s="163">
        <v>0</v>
      </c>
      <c r="H60" s="163">
        <v>0</v>
      </c>
      <c r="I60" s="163">
        <v>0</v>
      </c>
      <c r="J60" s="163">
        <v>359.52</v>
      </c>
      <c r="K60" s="163">
        <v>179.76</v>
      </c>
      <c r="L60" s="163">
        <v>179.76</v>
      </c>
      <c r="M60" s="163">
        <v>179.76</v>
      </c>
      <c r="N60" s="163">
        <v>179.76</v>
      </c>
      <c r="O60" s="163">
        <v>2824.26</v>
      </c>
    </row>
    <row r="61" spans="1:15">
      <c r="A61" s="157" t="s">
        <v>185</v>
      </c>
      <c r="B61" s="157" t="s">
        <v>185</v>
      </c>
      <c r="C61" s="163">
        <v>430.68</v>
      </c>
      <c r="D61" s="163">
        <v>6444.46</v>
      </c>
      <c r="E61" s="163">
        <v>624.36</v>
      </c>
      <c r="F61" s="163">
        <v>1600.19</v>
      </c>
      <c r="G61" s="163">
        <v>268.04000000000002</v>
      </c>
      <c r="H61" s="163">
        <v>0</v>
      </c>
      <c r="I61" s="163">
        <v>167.99</v>
      </c>
      <c r="J61" s="163">
        <v>0</v>
      </c>
      <c r="K61" s="163">
        <v>0</v>
      </c>
      <c r="L61" s="163">
        <v>0</v>
      </c>
      <c r="M61" s="163">
        <v>0</v>
      </c>
      <c r="N61" s="163">
        <v>0</v>
      </c>
      <c r="O61" s="163">
        <v>9535.7199999999993</v>
      </c>
    </row>
    <row r="62" spans="1:15">
      <c r="A62" s="157" t="s">
        <v>268</v>
      </c>
      <c r="B62" s="157" t="s">
        <v>268</v>
      </c>
      <c r="C62" s="163">
        <v>0</v>
      </c>
      <c r="D62" s="163">
        <v>0</v>
      </c>
      <c r="E62" s="163">
        <v>0</v>
      </c>
      <c r="F62" s="163">
        <v>0</v>
      </c>
      <c r="G62" s="163">
        <v>1260.7</v>
      </c>
      <c r="H62" s="163">
        <v>0</v>
      </c>
      <c r="I62" s="163">
        <v>0</v>
      </c>
      <c r="J62" s="163">
        <v>0</v>
      </c>
      <c r="K62" s="163">
        <v>0</v>
      </c>
      <c r="L62" s="163">
        <v>0</v>
      </c>
      <c r="M62" s="163">
        <v>0</v>
      </c>
      <c r="N62" s="163">
        <v>0</v>
      </c>
      <c r="O62" s="163">
        <v>1260.7</v>
      </c>
    </row>
    <row r="63" spans="1:15">
      <c r="A63" s="157" t="s">
        <v>186</v>
      </c>
      <c r="B63" s="157" t="s">
        <v>186</v>
      </c>
      <c r="C63" s="163">
        <v>1469.86</v>
      </c>
      <c r="D63" s="163">
        <v>4409.58</v>
      </c>
      <c r="E63" s="163">
        <v>1469.86</v>
      </c>
      <c r="F63" s="163">
        <v>1469.86</v>
      </c>
      <c r="G63" s="163">
        <v>1469.86</v>
      </c>
      <c r="H63" s="163">
        <v>1469.86</v>
      </c>
      <c r="I63" s="163">
        <v>1558.06</v>
      </c>
      <c r="J63" s="163">
        <v>1558.06</v>
      </c>
      <c r="K63" s="163">
        <v>1558.06</v>
      </c>
      <c r="L63" s="163">
        <v>1558.06</v>
      </c>
      <c r="M63" s="163">
        <v>1558.06</v>
      </c>
      <c r="N63" s="163">
        <v>1558.06</v>
      </c>
      <c r="O63" s="163">
        <v>21107.24</v>
      </c>
    </row>
    <row r="64" spans="1:15">
      <c r="A64" s="157" t="s">
        <v>186</v>
      </c>
      <c r="B64" s="157" t="s">
        <v>187</v>
      </c>
      <c r="C64" s="163">
        <v>0</v>
      </c>
      <c r="D64" s="163">
        <v>-2939.72</v>
      </c>
      <c r="E64" s="163">
        <v>0</v>
      </c>
      <c r="F64" s="163">
        <v>0</v>
      </c>
      <c r="G64" s="163">
        <v>0</v>
      </c>
      <c r="H64" s="163">
        <v>0</v>
      </c>
      <c r="I64" s="163">
        <v>0</v>
      </c>
      <c r="J64" s="163">
        <v>0</v>
      </c>
      <c r="K64" s="163">
        <v>0</v>
      </c>
      <c r="L64" s="163">
        <v>0</v>
      </c>
      <c r="M64" s="163">
        <v>0</v>
      </c>
      <c r="N64" s="163">
        <v>0</v>
      </c>
      <c r="O64" s="163">
        <v>-2939.72</v>
      </c>
    </row>
    <row r="65" spans="1:15">
      <c r="A65" s="157" t="s">
        <v>269</v>
      </c>
      <c r="B65" s="157" t="s">
        <v>269</v>
      </c>
      <c r="C65" s="163">
        <v>0</v>
      </c>
      <c r="D65" s="163">
        <v>0</v>
      </c>
      <c r="E65" s="163">
        <v>0</v>
      </c>
      <c r="F65" s="163">
        <v>0</v>
      </c>
      <c r="G65" s="163">
        <v>0</v>
      </c>
      <c r="H65" s="163">
        <v>0</v>
      </c>
      <c r="I65" s="163">
        <v>0</v>
      </c>
      <c r="J65" s="163">
        <v>0</v>
      </c>
      <c r="K65" s="163">
        <v>0</v>
      </c>
      <c r="L65" s="163">
        <v>0</v>
      </c>
      <c r="M65" s="163">
        <v>680</v>
      </c>
      <c r="N65" s="163">
        <v>0</v>
      </c>
      <c r="O65" s="163">
        <v>680</v>
      </c>
    </row>
    <row r="66" spans="1:15">
      <c r="A66" s="157" t="s">
        <v>270</v>
      </c>
      <c r="B66" s="157" t="s">
        <v>270</v>
      </c>
      <c r="C66" s="163">
        <v>0</v>
      </c>
      <c r="D66" s="163">
        <v>0</v>
      </c>
      <c r="E66" s="163">
        <v>0</v>
      </c>
      <c r="F66" s="163">
        <v>0</v>
      </c>
      <c r="G66" s="163">
        <v>0</v>
      </c>
      <c r="H66" s="163">
        <v>0</v>
      </c>
      <c r="I66" s="163">
        <v>0</v>
      </c>
      <c r="J66" s="163">
        <v>0</v>
      </c>
      <c r="K66" s="163">
        <v>0</v>
      </c>
      <c r="L66" s="163">
        <v>1041</v>
      </c>
      <c r="M66" s="163">
        <v>0</v>
      </c>
      <c r="N66" s="163">
        <v>0</v>
      </c>
      <c r="O66" s="163">
        <v>1041</v>
      </c>
    </row>
    <row r="67" spans="1:15">
      <c r="A67" s="157" t="s">
        <v>227</v>
      </c>
      <c r="B67" s="157" t="s">
        <v>227</v>
      </c>
      <c r="C67" s="163">
        <v>0</v>
      </c>
      <c r="D67" s="163">
        <v>0</v>
      </c>
      <c r="E67" s="163">
        <v>0</v>
      </c>
      <c r="F67" s="163">
        <v>20900</v>
      </c>
      <c r="G67" s="163">
        <v>0</v>
      </c>
      <c r="H67" s="163">
        <v>0</v>
      </c>
      <c r="I67" s="163">
        <v>0</v>
      </c>
      <c r="J67" s="163">
        <v>0</v>
      </c>
      <c r="K67" s="163">
        <v>0</v>
      </c>
      <c r="L67" s="163">
        <v>0</v>
      </c>
      <c r="M67" s="163">
        <v>0</v>
      </c>
      <c r="N67" s="163">
        <v>4999.24</v>
      </c>
      <c r="O67" s="163">
        <v>25899.24</v>
      </c>
    </row>
    <row r="68" spans="1:15">
      <c r="A68" s="157" t="s">
        <v>189</v>
      </c>
      <c r="B68" s="157" t="s">
        <v>189</v>
      </c>
      <c r="C68" s="164">
        <v>213.2</v>
      </c>
      <c r="D68" s="164">
        <v>213.2</v>
      </c>
      <c r="E68" s="164">
        <v>213.2</v>
      </c>
      <c r="F68" s="164">
        <v>213.2</v>
      </c>
      <c r="G68" s="164">
        <v>213.18</v>
      </c>
      <c r="H68" s="164">
        <v>214.39</v>
      </c>
      <c r="I68" s="164">
        <v>0</v>
      </c>
      <c r="J68" s="164">
        <v>214.39</v>
      </c>
      <c r="K68" s="164">
        <v>0</v>
      </c>
      <c r="L68" s="164">
        <v>0</v>
      </c>
      <c r="M68" s="164">
        <v>0</v>
      </c>
      <c r="N68" s="164">
        <v>0</v>
      </c>
      <c r="O68" s="164">
        <v>1494.76</v>
      </c>
    </row>
    <row r="69" spans="1:15">
      <c r="B69" s="157" t="s">
        <v>190</v>
      </c>
      <c r="C69" s="163">
        <v>2293.5</v>
      </c>
      <c r="D69" s="163">
        <v>10052.98</v>
      </c>
      <c r="E69" s="163">
        <v>2487.1799999999998</v>
      </c>
      <c r="F69" s="163">
        <v>24363.01</v>
      </c>
      <c r="G69" s="163">
        <v>3391.54</v>
      </c>
      <c r="H69" s="163">
        <v>1864.01</v>
      </c>
      <c r="I69" s="163">
        <v>1905.81</v>
      </c>
      <c r="J69" s="163">
        <v>1952.21</v>
      </c>
      <c r="K69" s="163">
        <v>1737.82</v>
      </c>
      <c r="L69" s="163">
        <v>2778.82</v>
      </c>
      <c r="M69" s="163">
        <v>2417.8200000000002</v>
      </c>
      <c r="N69" s="163">
        <v>6737.06</v>
      </c>
      <c r="O69" s="163">
        <v>61981.760000000002</v>
      </c>
    </row>
    <row r="71" spans="1:15">
      <c r="B71" s="157" t="s">
        <v>191</v>
      </c>
    </row>
    <row r="72" spans="1:15">
      <c r="A72" s="157" t="s">
        <v>192</v>
      </c>
      <c r="B72" s="157" t="s">
        <v>192</v>
      </c>
      <c r="C72" s="164">
        <v>13427.21</v>
      </c>
      <c r="D72" s="164">
        <v>7580.23</v>
      </c>
      <c r="E72" s="164">
        <v>2000</v>
      </c>
      <c r="F72" s="164">
        <v>8380.5</v>
      </c>
      <c r="G72" s="164">
        <v>2000</v>
      </c>
      <c r="H72" s="164">
        <v>5162.1400000000003</v>
      </c>
      <c r="I72" s="164">
        <v>5097.55</v>
      </c>
      <c r="J72" s="164">
        <v>5052.7700000000004</v>
      </c>
      <c r="K72" s="164">
        <v>5043.3</v>
      </c>
      <c r="L72" s="164">
        <v>5177.55</v>
      </c>
      <c r="M72" s="164">
        <v>2085.39</v>
      </c>
      <c r="N72" s="164">
        <v>3527.67</v>
      </c>
      <c r="O72" s="164">
        <v>64534.31</v>
      </c>
    </row>
    <row r="73" spans="1:15">
      <c r="B73" s="157" t="s">
        <v>193</v>
      </c>
      <c r="C73" s="163">
        <v>13427.21</v>
      </c>
      <c r="D73" s="163">
        <v>7580.23</v>
      </c>
      <c r="E73" s="163">
        <v>2000</v>
      </c>
      <c r="F73" s="163">
        <v>8380.5</v>
      </c>
      <c r="G73" s="163">
        <v>2000</v>
      </c>
      <c r="H73" s="163">
        <v>5162.1400000000003</v>
      </c>
      <c r="I73" s="163">
        <v>5097.55</v>
      </c>
      <c r="J73" s="163">
        <v>5052.7700000000004</v>
      </c>
      <c r="K73" s="163">
        <v>5043.3</v>
      </c>
      <c r="L73" s="163">
        <v>5177.55</v>
      </c>
      <c r="M73" s="163">
        <v>2085.39</v>
      </c>
      <c r="N73" s="163">
        <v>3527.67</v>
      </c>
      <c r="O73" s="163">
        <v>64534.31</v>
      </c>
    </row>
    <row r="74" spans="1:15"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</row>
    <row r="75" spans="1:15">
      <c r="B75" s="157" t="s">
        <v>194</v>
      </c>
      <c r="C75" s="163">
        <v>105297.24</v>
      </c>
      <c r="D75" s="163">
        <v>121845.18</v>
      </c>
      <c r="E75" s="163">
        <v>90869.81</v>
      </c>
      <c r="F75" s="163">
        <v>-48361.85</v>
      </c>
      <c r="G75" s="163">
        <v>75162.89</v>
      </c>
      <c r="H75" s="163">
        <v>96183.91</v>
      </c>
      <c r="I75" s="163">
        <v>87688.49</v>
      </c>
      <c r="J75" s="163">
        <v>84464.97</v>
      </c>
      <c r="K75" s="163">
        <v>61002.66</v>
      </c>
      <c r="L75" s="163">
        <v>58737.18</v>
      </c>
      <c r="M75" s="163">
        <v>69859.16</v>
      </c>
      <c r="N75" s="163">
        <v>79802.899999999994</v>
      </c>
      <c r="O75" s="163">
        <v>882552.54</v>
      </c>
    </row>
    <row r="77" spans="1:15">
      <c r="B77" s="157" t="s">
        <v>195</v>
      </c>
    </row>
    <row r="78" spans="1:15">
      <c r="A78" s="157" t="s">
        <v>172</v>
      </c>
      <c r="B78" s="157" t="s">
        <v>233</v>
      </c>
      <c r="C78" s="163">
        <v>3871.29</v>
      </c>
      <c r="D78" s="163">
        <v>0</v>
      </c>
      <c r="E78" s="163">
        <v>0</v>
      </c>
      <c r="F78" s="163">
        <v>1054.8399999999999</v>
      </c>
      <c r="G78" s="163">
        <v>0</v>
      </c>
      <c r="H78" s="163">
        <v>0</v>
      </c>
      <c r="I78" s="163">
        <v>0</v>
      </c>
      <c r="J78" s="163">
        <v>0</v>
      </c>
      <c r="K78" s="163">
        <v>0</v>
      </c>
      <c r="L78" s="163">
        <v>0</v>
      </c>
      <c r="M78" s="163">
        <v>0</v>
      </c>
      <c r="N78" s="163">
        <v>0</v>
      </c>
      <c r="O78" s="163">
        <v>4926.13</v>
      </c>
    </row>
    <row r="79" spans="1:15">
      <c r="A79" s="157" t="s">
        <v>234</v>
      </c>
      <c r="B79" s="157" t="s">
        <v>234</v>
      </c>
      <c r="C79" s="163">
        <v>1133.8699999999999</v>
      </c>
      <c r="D79" s="163">
        <v>0</v>
      </c>
      <c r="E79" s="163">
        <v>0</v>
      </c>
      <c r="F79" s="163">
        <v>7406.07</v>
      </c>
      <c r="G79" s="163">
        <v>0</v>
      </c>
      <c r="H79" s="163">
        <v>0</v>
      </c>
      <c r="I79" s="163">
        <v>0</v>
      </c>
      <c r="J79" s="163">
        <v>0</v>
      </c>
      <c r="K79" s="163">
        <v>5775.35</v>
      </c>
      <c r="L79" s="163">
        <v>0</v>
      </c>
      <c r="M79" s="163">
        <v>20472</v>
      </c>
      <c r="N79" s="163">
        <v>16320</v>
      </c>
      <c r="O79" s="163">
        <v>51107.29</v>
      </c>
    </row>
    <row r="80" spans="1:15">
      <c r="A80" s="157" t="s">
        <v>214</v>
      </c>
      <c r="B80" s="157" t="s">
        <v>271</v>
      </c>
      <c r="C80" s="163">
        <v>0</v>
      </c>
      <c r="D80" s="163">
        <v>0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480</v>
      </c>
      <c r="L80" s="163">
        <v>0</v>
      </c>
      <c r="M80" s="163">
        <v>0</v>
      </c>
      <c r="N80" s="163">
        <v>0</v>
      </c>
      <c r="O80" s="163">
        <v>480</v>
      </c>
    </row>
    <row r="81" spans="1:15">
      <c r="A81" s="157" t="s">
        <v>272</v>
      </c>
      <c r="B81" s="157" t="s">
        <v>272</v>
      </c>
      <c r="C81" s="163">
        <v>0</v>
      </c>
      <c r="D81" s="163">
        <v>0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947.68</v>
      </c>
      <c r="K81" s="163">
        <v>405.7</v>
      </c>
      <c r="L81" s="163">
        <v>0</v>
      </c>
      <c r="M81" s="163">
        <v>0</v>
      </c>
      <c r="N81" s="163">
        <v>0</v>
      </c>
      <c r="O81" s="163">
        <v>1353.38</v>
      </c>
    </row>
    <row r="82" spans="1:15">
      <c r="A82" s="157" t="s">
        <v>235</v>
      </c>
      <c r="B82" s="157" t="s">
        <v>235</v>
      </c>
      <c r="C82" s="164">
        <v>83.33</v>
      </c>
      <c r="D82" s="164">
        <v>83.33</v>
      </c>
      <c r="E82" s="164">
        <v>83.33</v>
      </c>
      <c r="F82" s="164">
        <v>83.35</v>
      </c>
      <c r="G82" s="164">
        <v>83.33</v>
      </c>
      <c r="H82" s="164">
        <v>83.33</v>
      </c>
      <c r="I82" s="164">
        <v>83.34</v>
      </c>
      <c r="J82" s="164">
        <v>83.33</v>
      </c>
      <c r="K82" s="164">
        <v>0</v>
      </c>
      <c r="L82" s="164">
        <v>250</v>
      </c>
      <c r="M82" s="164">
        <v>0</v>
      </c>
      <c r="N82" s="164">
        <v>0</v>
      </c>
      <c r="O82" s="164">
        <v>916.67</v>
      </c>
    </row>
    <row r="83" spans="1:15">
      <c r="B83" s="157" t="s">
        <v>196</v>
      </c>
      <c r="C83" s="163">
        <v>5088.49</v>
      </c>
      <c r="D83" s="163">
        <v>83.33</v>
      </c>
      <c r="E83" s="163">
        <v>83.33</v>
      </c>
      <c r="F83" s="163">
        <v>8544.26</v>
      </c>
      <c r="G83" s="163">
        <v>83.33</v>
      </c>
      <c r="H83" s="163">
        <v>83.33</v>
      </c>
      <c r="I83" s="163">
        <v>83.34</v>
      </c>
      <c r="J83" s="163">
        <v>1031.01</v>
      </c>
      <c r="K83" s="163">
        <v>6661.05</v>
      </c>
      <c r="L83" s="163">
        <v>250</v>
      </c>
      <c r="M83" s="163">
        <v>20472</v>
      </c>
      <c r="N83" s="163">
        <v>16320</v>
      </c>
      <c r="O83" s="163">
        <v>58783.47</v>
      </c>
    </row>
    <row r="84" spans="1:15">
      <c r="B84" s="157" t="s">
        <v>197</v>
      </c>
      <c r="C84" s="167">
        <v>110385.73</v>
      </c>
      <c r="D84" s="167">
        <v>121928.51</v>
      </c>
      <c r="E84" s="167">
        <v>90953.14</v>
      </c>
      <c r="F84" s="167">
        <v>-39817.589999999997</v>
      </c>
      <c r="G84" s="167">
        <v>75246.22</v>
      </c>
      <c r="H84" s="167">
        <v>96267.24</v>
      </c>
      <c r="I84" s="167">
        <v>87771.83</v>
      </c>
      <c r="J84" s="167">
        <v>85495.98</v>
      </c>
      <c r="K84" s="167">
        <v>67663.710000000006</v>
      </c>
      <c r="L84" s="167">
        <v>58987.18</v>
      </c>
      <c r="M84" s="167">
        <v>90331.16</v>
      </c>
      <c r="N84" s="167">
        <v>96122.9</v>
      </c>
      <c r="O84" s="167">
        <v>941336.01</v>
      </c>
    </row>
    <row r="85" spans="1:15"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</row>
    <row r="86" spans="1:15" ht="15.75" thickBot="1">
      <c r="B86" s="157" t="s">
        <v>198</v>
      </c>
      <c r="C86" s="166">
        <v>195206.38</v>
      </c>
      <c r="D86" s="166">
        <v>129920.49</v>
      </c>
      <c r="E86" s="166">
        <v>81438.55</v>
      </c>
      <c r="F86" s="166">
        <v>211929.72</v>
      </c>
      <c r="G86" s="166">
        <v>96855.14</v>
      </c>
      <c r="H86" s="166">
        <v>75834.12</v>
      </c>
      <c r="I86" s="166">
        <v>80709.649999999994</v>
      </c>
      <c r="J86" s="166">
        <v>82634.63</v>
      </c>
      <c r="K86" s="166">
        <v>100762.15</v>
      </c>
      <c r="L86" s="166">
        <v>112123.17</v>
      </c>
      <c r="M86" s="166">
        <v>-75943.13</v>
      </c>
      <c r="N86" s="166">
        <v>33842.550000000003</v>
      </c>
      <c r="O86" s="166">
        <v>1125313.42</v>
      </c>
    </row>
    <row r="87" spans="1:15" ht="15.75" thickTop="1"/>
    <row r="88" spans="1:15">
      <c r="B88" s="157" t="s">
        <v>199</v>
      </c>
    </row>
    <row r="90" spans="1:15">
      <c r="B90" s="157" t="s">
        <v>200</v>
      </c>
      <c r="C90" s="163">
        <v>4475.74</v>
      </c>
      <c r="D90" s="163">
        <v>-15829.54</v>
      </c>
      <c r="E90" s="163">
        <v>4566.96</v>
      </c>
      <c r="F90" s="163">
        <v>2095.12</v>
      </c>
      <c r="G90" s="163">
        <v>495.85</v>
      </c>
      <c r="H90" s="163">
        <v>1290.53</v>
      </c>
      <c r="I90" s="163">
        <v>1274.3900000000001</v>
      </c>
      <c r="J90" s="163">
        <v>1263.19</v>
      </c>
      <c r="K90" s="163">
        <v>0</v>
      </c>
      <c r="L90" s="163">
        <v>1260.83</v>
      </c>
      <c r="M90" s="163">
        <v>0</v>
      </c>
      <c r="N90" s="163">
        <v>2613.69</v>
      </c>
      <c r="O90" s="163">
        <v>3506.76</v>
      </c>
    </row>
    <row r="91" spans="1:15">
      <c r="B91" s="157" t="s">
        <v>201</v>
      </c>
      <c r="C91" s="163">
        <v>268279.64</v>
      </c>
      <c r="D91" s="163">
        <v>268641.24</v>
      </c>
      <c r="E91" s="163">
        <v>257389.52</v>
      </c>
      <c r="F91" s="163">
        <v>261948.03</v>
      </c>
      <c r="G91" s="163">
        <v>241477.04</v>
      </c>
      <c r="H91" s="163">
        <v>242472.14</v>
      </c>
      <c r="I91" s="163">
        <v>242834.75</v>
      </c>
      <c r="J91" s="163">
        <v>216514.74</v>
      </c>
      <c r="K91" s="163">
        <v>290887.32</v>
      </c>
      <c r="L91" s="163">
        <v>174537.11</v>
      </c>
      <c r="M91" s="163">
        <v>242708.28</v>
      </c>
      <c r="N91" s="163">
        <v>243625.78</v>
      </c>
      <c r="O91" s="163">
        <v>2951315.59</v>
      </c>
    </row>
    <row r="92" spans="1:15">
      <c r="B92" s="157" t="s">
        <v>202</v>
      </c>
      <c r="C92" s="163">
        <v>-11694.76</v>
      </c>
      <c r="D92" s="163">
        <v>-17572.11</v>
      </c>
      <c r="E92" s="163">
        <v>-13648.41</v>
      </c>
      <c r="F92" s="163">
        <v>1468.75</v>
      </c>
      <c r="G92" s="163">
        <v>1856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-39590.53</v>
      </c>
    </row>
    <row r="93" spans="1:15">
      <c r="B93" s="157" t="s">
        <v>236</v>
      </c>
      <c r="C93" s="163">
        <v>0</v>
      </c>
      <c r="D93" s="163">
        <v>0</v>
      </c>
      <c r="E93" s="163">
        <v>268000</v>
      </c>
      <c r="F93" s="163">
        <v>0</v>
      </c>
      <c r="G93" s="163">
        <v>0</v>
      </c>
      <c r="H93" s="163">
        <v>0</v>
      </c>
      <c r="I93" s="163">
        <v>0</v>
      </c>
      <c r="J93" s="163">
        <v>0</v>
      </c>
      <c r="K93" s="163">
        <v>0</v>
      </c>
      <c r="L93" s="163">
        <v>0</v>
      </c>
      <c r="M93" s="163">
        <v>0</v>
      </c>
      <c r="N93" s="163">
        <v>0</v>
      </c>
      <c r="O93" s="163">
        <v>268000</v>
      </c>
    </row>
    <row r="94" spans="1:15">
      <c r="B94" s="157" t="s">
        <v>203</v>
      </c>
      <c r="C94" s="164">
        <v>0</v>
      </c>
      <c r="D94" s="164">
        <v>0</v>
      </c>
      <c r="E94" s="164">
        <v>-205946</v>
      </c>
      <c r="F94" s="164">
        <v>0</v>
      </c>
      <c r="G94" s="164">
        <v>0</v>
      </c>
      <c r="H94" s="164">
        <v>5322</v>
      </c>
      <c r="I94" s="164">
        <v>0</v>
      </c>
      <c r="J94" s="164">
        <v>0</v>
      </c>
      <c r="K94" s="164">
        <v>0</v>
      </c>
      <c r="L94" s="164">
        <v>0</v>
      </c>
      <c r="M94" s="164">
        <v>0</v>
      </c>
      <c r="N94" s="164">
        <v>0</v>
      </c>
      <c r="O94" s="164">
        <v>-200624</v>
      </c>
    </row>
    <row r="95" spans="1:15">
      <c r="B95" s="157" t="s">
        <v>204</v>
      </c>
      <c r="C95" s="164">
        <v>261060.62</v>
      </c>
      <c r="D95" s="164">
        <v>235239.59</v>
      </c>
      <c r="E95" s="164">
        <v>310362.07</v>
      </c>
      <c r="F95" s="164">
        <v>265511.90000000002</v>
      </c>
      <c r="G95" s="164">
        <v>243828.89</v>
      </c>
      <c r="H95" s="164">
        <v>249084.67</v>
      </c>
      <c r="I95" s="164">
        <v>244109.14</v>
      </c>
      <c r="J95" s="164">
        <v>217777.93</v>
      </c>
      <c r="K95" s="164">
        <v>290887.32</v>
      </c>
      <c r="L95" s="164">
        <v>175797.94</v>
      </c>
      <c r="M95" s="164">
        <v>242708.28</v>
      </c>
      <c r="N95" s="164">
        <v>246239.47</v>
      </c>
      <c r="O95" s="164">
        <v>2982607.82</v>
      </c>
    </row>
    <row r="96" spans="1:15" ht="15.75" thickBot="1">
      <c r="B96" s="157" t="s">
        <v>205</v>
      </c>
      <c r="C96" s="166">
        <v>-65854.240000000005</v>
      </c>
      <c r="D96" s="166">
        <v>-105319.1</v>
      </c>
      <c r="E96" s="166">
        <v>-228923.51999999999</v>
      </c>
      <c r="F96" s="166">
        <v>-53582.18</v>
      </c>
      <c r="G96" s="166">
        <v>-146973.75</v>
      </c>
      <c r="H96" s="166">
        <v>-173250.55</v>
      </c>
      <c r="I96" s="166">
        <v>-163399.49</v>
      </c>
      <c r="J96" s="166">
        <v>-135143.29999999999</v>
      </c>
      <c r="K96" s="166">
        <v>-190125.17</v>
      </c>
      <c r="L96" s="166">
        <v>-63674.77</v>
      </c>
      <c r="M96" s="166">
        <v>-318651.40999999997</v>
      </c>
      <c r="N96" s="166">
        <v>-212396.92</v>
      </c>
      <c r="O96" s="166">
        <v>-1857294.4</v>
      </c>
    </row>
    <row r="98" spans="2:15">
      <c r="B98" s="157" t="s">
        <v>206</v>
      </c>
    </row>
    <row r="99" spans="2:15">
      <c r="B99" s="157" t="s">
        <v>207</v>
      </c>
      <c r="C99" s="163">
        <v>-6270.71</v>
      </c>
      <c r="D99" s="163">
        <v>0</v>
      </c>
      <c r="E99" s="163">
        <v>0</v>
      </c>
      <c r="F99" s="163">
        <v>0</v>
      </c>
      <c r="G99" s="163">
        <v>0</v>
      </c>
      <c r="H99" s="163">
        <v>-1101532.55</v>
      </c>
      <c r="I99" s="163">
        <v>0</v>
      </c>
      <c r="J99" s="163">
        <v>270514.17</v>
      </c>
      <c r="K99" s="163">
        <v>0</v>
      </c>
      <c r="L99" s="163">
        <v>0</v>
      </c>
      <c r="M99" s="163">
        <v>0</v>
      </c>
      <c r="N99" s="163">
        <v>0</v>
      </c>
      <c r="O99" s="163">
        <v>-837289.09</v>
      </c>
    </row>
    <row r="100" spans="2:15">
      <c r="B100" s="157" t="s">
        <v>216</v>
      </c>
      <c r="C100" s="163">
        <v>0</v>
      </c>
      <c r="D100" s="163">
        <v>0</v>
      </c>
      <c r="E100" s="163">
        <v>0</v>
      </c>
      <c r="F100" s="163">
        <v>0</v>
      </c>
      <c r="G100" s="163">
        <v>0</v>
      </c>
      <c r="H100" s="163">
        <v>-1500</v>
      </c>
      <c r="I100" s="163">
        <v>0</v>
      </c>
      <c r="J100" s="163">
        <v>0</v>
      </c>
      <c r="K100" s="163">
        <v>0</v>
      </c>
      <c r="L100" s="163">
        <v>0</v>
      </c>
      <c r="M100" s="163">
        <v>5625</v>
      </c>
      <c r="N100" s="163">
        <v>0</v>
      </c>
      <c r="O100" s="163">
        <v>4125</v>
      </c>
    </row>
    <row r="101" spans="2:15">
      <c r="B101" s="157" t="s">
        <v>238</v>
      </c>
      <c r="C101" s="164">
        <v>15296.43</v>
      </c>
      <c r="D101" s="164">
        <v>106610.35</v>
      </c>
      <c r="E101" s="164">
        <v>263484.92</v>
      </c>
      <c r="F101" s="164">
        <v>208802.92</v>
      </c>
      <c r="G101" s="164">
        <v>471034.7</v>
      </c>
      <c r="H101" s="164">
        <v>1158386.3999999999</v>
      </c>
      <c r="I101" s="164">
        <v>33892.29</v>
      </c>
      <c r="J101" s="164">
        <v>-251275.65</v>
      </c>
      <c r="K101" s="164">
        <v>-119127.95</v>
      </c>
      <c r="L101" s="164">
        <v>0</v>
      </c>
      <c r="M101" s="164">
        <v>104147.81</v>
      </c>
      <c r="N101" s="164">
        <v>0</v>
      </c>
      <c r="O101" s="164">
        <v>1991252.22</v>
      </c>
    </row>
    <row r="102" spans="2:15" ht="15.75" thickBot="1">
      <c r="B102" s="157" t="s">
        <v>208</v>
      </c>
      <c r="C102" s="166">
        <v>9025.7199999999993</v>
      </c>
      <c r="D102" s="166">
        <v>106610.35</v>
      </c>
      <c r="E102" s="166">
        <v>263484.92</v>
      </c>
      <c r="F102" s="166">
        <v>208802.92</v>
      </c>
      <c r="G102" s="166">
        <v>471034.7</v>
      </c>
      <c r="H102" s="166">
        <v>55353.85</v>
      </c>
      <c r="I102" s="166">
        <v>33892.29</v>
      </c>
      <c r="J102" s="166">
        <v>19238.52</v>
      </c>
      <c r="K102" s="166">
        <v>-119127.95</v>
      </c>
      <c r="L102" s="166">
        <v>0</v>
      </c>
      <c r="M102" s="166">
        <v>109772.81</v>
      </c>
      <c r="N102" s="166">
        <v>0</v>
      </c>
      <c r="O102" s="166">
        <v>1158088.1299999999</v>
      </c>
    </row>
    <row r="103" spans="2:15" ht="15.75" thickTop="1"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</row>
    <row r="104" spans="2:15" ht="15.75" thickBot="1">
      <c r="B104" s="157" t="s">
        <v>209</v>
      </c>
      <c r="C104" s="166">
        <v>-74879.960000000006</v>
      </c>
      <c r="D104" s="166">
        <v>-211929.45</v>
      </c>
      <c r="E104" s="166">
        <v>-492408.44</v>
      </c>
      <c r="F104" s="166">
        <v>-262385.09999999998</v>
      </c>
      <c r="G104" s="166">
        <v>-618008.44999999995</v>
      </c>
      <c r="H104" s="166">
        <v>-228604.4</v>
      </c>
      <c r="I104" s="166">
        <v>-197291.78</v>
      </c>
      <c r="J104" s="166">
        <v>-154381.82</v>
      </c>
      <c r="K104" s="166">
        <v>-70997.22</v>
      </c>
      <c r="L104" s="166">
        <v>-63674.77</v>
      </c>
      <c r="M104" s="166">
        <v>-428424.22</v>
      </c>
      <c r="N104" s="166">
        <v>-212396.92</v>
      </c>
      <c r="O104" s="166">
        <v>-3015382.53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A81D0E-862A-4C1F-9618-2AEE50E97A3C}">
          <x14:formula1>
            <xm:f>'3Q T12'!$B$12:$B$63</xm:f>
          </x14:formula1>
          <xm:sqref>A10:A129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5708-1BA8-406F-823F-CC082446F0F2}">
  <sheetPr codeName="Sheet7"/>
  <dimension ref="A1"/>
  <sheetViews>
    <sheetView zoomScale="70" zoomScaleNormal="70" workbookViewId="0">
      <selection activeCell="AC11" sqref="AC1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(New) Comm OSAR</vt:lpstr>
      <vt:lpstr>QoQ</vt:lpstr>
      <vt:lpstr>Debt Service</vt:lpstr>
      <vt:lpstr>Tax</vt:lpstr>
      <vt:lpstr>Insurance</vt:lpstr>
      <vt:lpstr>1Q26 T12</vt:lpstr>
      <vt:lpstr>1Q RR</vt:lpstr>
      <vt:lpstr>1Q26 RR</vt:lpstr>
      <vt:lpstr>3Q T12</vt:lpstr>
      <vt:lpstr>2Q T12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Swecker</dc:creator>
  <cp:lastModifiedBy>Ben Stamp</cp:lastModifiedBy>
  <dcterms:created xsi:type="dcterms:W3CDTF">2022-09-03T19:24:20Z</dcterms:created>
  <dcterms:modified xsi:type="dcterms:W3CDTF">2026-08-10T22:54:20Z</dcterms:modified>
</cp:coreProperties>
</file>