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tamp\Projects-Local\Debt Yield\"/>
    </mc:Choice>
  </mc:AlternateContent>
  <xr:revisionPtr revIDLastSave="0" documentId="13_ncr:1_{E194EF9B-E7E6-4B3F-8F16-052FD0BF2275}" xr6:coauthVersionLast="47" xr6:coauthVersionMax="47" xr10:uidLastSave="{00000000-0000-0000-0000-000000000000}"/>
  <bookViews>
    <workbookView xWindow="-120" yWindow="-120" windowWidth="38640" windowHeight="15720" xr2:uid="{D01E8271-FFF0-4792-9C19-DB6EFB394CBA}"/>
  </bookViews>
  <sheets>
    <sheet name="Comm OSAR" sheetId="10" r:id="rId1"/>
    <sheet name="Variance Analysis" sheetId="8" r:id="rId2"/>
    <sheet name="Historicals&gt;&gt;&gt;" sheetId="7" r:id="rId3"/>
    <sheet name="Actuals (T12)" sheetId="6" r:id="rId4"/>
    <sheet name="Lender Calc" sheetId="1" r:id="rId5"/>
    <sheet name="Support&gt;&gt;&gt;" sheetId="3" r:id="rId6"/>
    <sheet name="T12" sheetId="2" r:id="rId7"/>
    <sheet name="RR" sheetId="4" r:id="rId8"/>
    <sheet name="Debt Service" sheetId="9" r:id="rId9"/>
    <sheet name="RE Taxes" sheetId="5" r:id="rId10"/>
    <sheet name="Insurance" sheetId="11" r:id="rId11"/>
  </sheets>
  <definedNames>
    <definedName name="_Order1" hidden="1">255</definedName>
    <definedName name="_Order2" hidden="1">0</definedName>
    <definedName name="and">#REF!</definedName>
    <definedName name="andd">#REF!</definedName>
    <definedName name="anddd">#REF!</definedName>
    <definedName name="andddd">#REF!</definedName>
    <definedName name="att">#REF!</definedName>
    <definedName name="Attribute">#REF!</definedName>
    <definedName name="Benchmark">#REF!</definedName>
    <definedName name="Body">#REF!</definedName>
    <definedName name="bug">#REF!</definedName>
    <definedName name="Capped">#REF!</definedName>
    <definedName name="CMNOTES">#REF!</definedName>
    <definedName name="date">#REF!</definedName>
    <definedName name="det">#REF!</definedName>
    <definedName name="Detail">#REF!</definedName>
    <definedName name="doo">#REF!</definedName>
    <definedName name="jeunee">#REF!</definedName>
    <definedName name="jnue">#REF!</definedName>
    <definedName name="JR_PAGE_ANCHOR_0_1">#REF!</definedName>
    <definedName name="juenn">#REF!</definedName>
    <definedName name="jul">#REF!</definedName>
    <definedName name="july614amt">#REF!</definedName>
    <definedName name="jun">#REF!</definedName>
    <definedName name="june">#REF!</definedName>
    <definedName name="june14amt">#REF!</definedName>
    <definedName name="june7380">#REF!</definedName>
    <definedName name="june7381">#REF!</definedName>
    <definedName name="june814amt">#REF!</definedName>
    <definedName name="june8810">#REF!</definedName>
    <definedName name="june8825">#REF!</definedName>
    <definedName name="june8826">#REF!</definedName>
    <definedName name="junee">#REF!</definedName>
    <definedName name="juneeee">#REF!</definedName>
    <definedName name="Level3IL">#REF!</definedName>
    <definedName name="my">#REF!</definedName>
    <definedName name="MyAttribute">#REF!</definedName>
    <definedName name="mybug">#REF!</definedName>
    <definedName name="MyDate">#REF!</definedName>
    <definedName name="MyQuarter">#REF!</definedName>
    <definedName name="MyRange">#REF!</definedName>
    <definedName name="MyRateIncrease">#REF!</definedName>
    <definedName name="myunit">#REF!</definedName>
    <definedName name="MyUnitTransferDecrease">#REF!</definedName>
    <definedName name="MyUnitTransIncrease">#REF!</definedName>
    <definedName name="nana">#REF!</definedName>
    <definedName name="nanana">#REF!</definedName>
    <definedName name="newsummary">#REF!</definedName>
    <definedName name="operations">#REF!</definedName>
    <definedName name="opie">#REF!</definedName>
    <definedName name="pre">#REF!</definedName>
    <definedName name="prep">#REF!</definedName>
    <definedName name="Prepaid3">#REF!</definedName>
    <definedName name="prepaid4">#REF!</definedName>
    <definedName name="_xlnm.Print_Area" localSheetId="0">'Comm OSAR'!$B$1:$I$100</definedName>
    <definedName name="_xlnm.Print_Titles" localSheetId="6">'T12'!$1:$5</definedName>
    <definedName name="quart">#REF!</definedName>
    <definedName name="range">#REF!</definedName>
    <definedName name="rate">#REF!</definedName>
    <definedName name="RESULTS">#REF!</definedName>
    <definedName name="Sample1">#REF!</definedName>
    <definedName name="savings">#REF!</definedName>
    <definedName name="sec">#REF!</definedName>
    <definedName name="Sec3TotalRes">#REF!</definedName>
    <definedName name="Sec4TotalRes">#REF!</definedName>
    <definedName name="Sec5TotalRes">#REF!</definedName>
    <definedName name="seccur">#REF!</definedName>
    <definedName name="secprio">#REF!</definedName>
    <definedName name="secpriorat">#REF!</definedName>
    <definedName name="secpriorr">#REF!</definedName>
    <definedName name="secres">#REF!</definedName>
    <definedName name="sect">#REF!</definedName>
    <definedName name="Sect1Currtot">#REF!</definedName>
    <definedName name="Sect1PriorRate">#REF!</definedName>
    <definedName name="Sect1totResidents">#REF!</definedName>
    <definedName name="sect2currtot">#REF!</definedName>
    <definedName name="Sect2TotResident">#REF!</definedName>
    <definedName name="sect3currtot">#REF!</definedName>
    <definedName name="Sect3Priorrate">#REF!</definedName>
    <definedName name="Sect4PriorRateTot">#REF!</definedName>
    <definedName name="Sect5PriorRateTot">#REF!</definedName>
    <definedName name="secto">#REF!</definedName>
    <definedName name="sectocur">#REF!</definedName>
    <definedName name="sectoi">#REF!</definedName>
    <definedName name="sectoid">#REF!</definedName>
    <definedName name="sectores">#REF!</definedName>
    <definedName name="sum">#REF!</definedName>
    <definedName name="Summary">#REF!</definedName>
    <definedName name="test">#REF!</definedName>
    <definedName name="tetst">#REF!</definedName>
    <definedName name="too">#REF!</definedName>
    <definedName name="tooo">#REF!</definedName>
    <definedName name="tot">#REF!</definedName>
    <definedName name="totDecrease">#REF!</definedName>
    <definedName name="unit">#REF!</definedName>
    <definedName name="v_R03_C00_abc">#REF!</definedName>
    <definedName name="v_R03_C00_m">#REF!</definedName>
    <definedName name="v_R03_C00_x">#REF!</definedName>
    <definedName name="v_R03_C00_xx">#REF!</definedName>
    <definedName name="v_R03_C00_xxx">#REF!</definedName>
    <definedName name="v_R03_C00_y">#REF!</definedName>
    <definedName name="v_R03_C00_yxx">#REF!</definedName>
    <definedName name="v_R03_C00_yxxxx">#REF!</definedName>
    <definedName name="v_R03_C00_z">#REF!</definedName>
    <definedName name="voo">#REF!</definedName>
    <definedName name="voodoo">#REF!</definedName>
    <definedName name="wrn.surveillance." localSheetId="0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9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7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x">#REF!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5" l="1"/>
  <c r="K39" i="10" l="1"/>
  <c r="M2" i="8" l="1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2" i="8"/>
  <c r="C11" i="8"/>
  <c r="C10" i="8"/>
  <c r="C9" i="8"/>
  <c r="C5" i="8"/>
  <c r="J5" i="8" l="1"/>
  <c r="I5" i="8"/>
  <c r="L5" i="8"/>
  <c r="K5" i="8"/>
  <c r="E2" i="6"/>
  <c r="E2" i="1"/>
  <c r="C3" i="11"/>
  <c r="K32" i="10"/>
  <c r="C3" i="5" l="1"/>
  <c r="N3" i="2"/>
  <c r="I58" i="10"/>
  <c r="H58" i="10" s="1"/>
  <c r="N75" i="2" l="1"/>
  <c r="N59" i="2"/>
  <c r="N43" i="2"/>
  <c r="N27" i="2"/>
  <c r="N11" i="2"/>
  <c r="N74" i="2"/>
  <c r="N58" i="2"/>
  <c r="N42" i="2"/>
  <c r="N26" i="2"/>
  <c r="N10" i="2"/>
  <c r="N73" i="2"/>
  <c r="N57" i="2"/>
  <c r="N41" i="2"/>
  <c r="N25" i="2"/>
  <c r="N88" i="2"/>
  <c r="N72" i="2"/>
  <c r="N56" i="2"/>
  <c r="N40" i="2"/>
  <c r="N71" i="2"/>
  <c r="N39" i="2"/>
  <c r="N86" i="2"/>
  <c r="N54" i="2"/>
  <c r="N38" i="2"/>
  <c r="N85" i="2"/>
  <c r="N53" i="2"/>
  <c r="N21" i="2"/>
  <c r="N68" i="2"/>
  <c r="N90" i="2"/>
  <c r="N63" i="2"/>
  <c r="N30" i="2"/>
  <c r="N61" i="2"/>
  <c r="N13" i="2"/>
  <c r="N44" i="2"/>
  <c r="N28" i="2"/>
  <c r="N89" i="2"/>
  <c r="N24" i="2"/>
  <c r="N55" i="2"/>
  <c r="N23" i="2"/>
  <c r="N70" i="2"/>
  <c r="N22" i="2"/>
  <c r="N69" i="2"/>
  <c r="N37" i="2"/>
  <c r="N84" i="2"/>
  <c r="N52" i="2"/>
  <c r="N36" i="2"/>
  <c r="N20" i="2"/>
  <c r="N83" i="2"/>
  <c r="N67" i="2"/>
  <c r="N51" i="2"/>
  <c r="N35" i="2"/>
  <c r="N19" i="2"/>
  <c r="N82" i="2"/>
  <c r="N66" i="2"/>
  <c r="N50" i="2"/>
  <c r="N34" i="2"/>
  <c r="N81" i="2"/>
  <c r="N65" i="2"/>
  <c r="N33" i="2"/>
  <c r="N80" i="2"/>
  <c r="N48" i="2"/>
  <c r="N16" i="2"/>
  <c r="N47" i="2"/>
  <c r="N15" i="2"/>
  <c r="N62" i="2"/>
  <c r="N14" i="2"/>
  <c r="N45" i="2"/>
  <c r="N76" i="2"/>
  <c r="N87" i="2"/>
  <c r="N18" i="2"/>
  <c r="N49" i="2"/>
  <c r="N17" i="2"/>
  <c r="N64" i="2"/>
  <c r="N32" i="2"/>
  <c r="N79" i="2"/>
  <c r="N31" i="2"/>
  <c r="N78" i="2"/>
  <c r="N46" i="2"/>
  <c r="N77" i="2"/>
  <c r="N29" i="2"/>
  <c r="E13" i="1" s="1"/>
  <c r="N60" i="2"/>
  <c r="N12" i="2"/>
  <c r="K38" i="10" l="1"/>
  <c r="K47" i="10"/>
  <c r="K46" i="10"/>
  <c r="K45" i="10"/>
  <c r="K44" i="10"/>
  <c r="K42" i="10"/>
  <c r="K41" i="10"/>
  <c r="K40" i="10"/>
  <c r="K48" i="10"/>
  <c r="H80" i="10"/>
  <c r="H16" i="10"/>
  <c r="K26" i="10" s="1"/>
  <c r="I60" i="10"/>
  <c r="H60" i="10"/>
  <c r="H24" i="10"/>
  <c r="B3" i="10" s="1"/>
  <c r="H17" i="10"/>
  <c r="I24" i="10" l="1"/>
  <c r="M5" i="8"/>
  <c r="G15" i="10"/>
  <c r="E6" i="10"/>
  <c r="D6" i="10"/>
  <c r="C25" i="9"/>
  <c r="C26" i="9"/>
  <c r="C29" i="9" s="1"/>
  <c r="C11" i="9"/>
  <c r="C9" i="9"/>
  <c r="C12" i="9" s="1"/>
  <c r="I64" i="10" s="1"/>
  <c r="Q5" i="8"/>
  <c r="C36" i="8"/>
  <c r="C13" i="8"/>
  <c r="C8" i="8"/>
  <c r="D7" i="8"/>
  <c r="C7" i="8"/>
  <c r="D6" i="8"/>
  <c r="C6" i="8"/>
  <c r="O85" i="2"/>
  <c r="P85" i="2" s="1"/>
  <c r="O83" i="2"/>
  <c r="P83" i="2" s="1"/>
  <c r="O80" i="2"/>
  <c r="P80" i="2" s="1"/>
  <c r="O79" i="2"/>
  <c r="P79" i="2" s="1"/>
  <c r="O37" i="2"/>
  <c r="P37" i="2" s="1"/>
  <c r="O90" i="2"/>
  <c r="P90" i="2" s="1"/>
  <c r="O89" i="2"/>
  <c r="P89" i="2" s="1"/>
  <c r="O88" i="2"/>
  <c r="P88" i="2" s="1"/>
  <c r="O87" i="2"/>
  <c r="P87" i="2" s="1"/>
  <c r="O86" i="2"/>
  <c r="P86" i="2" s="1"/>
  <c r="O84" i="2"/>
  <c r="P84" i="2" s="1"/>
  <c r="O82" i="2"/>
  <c r="P82" i="2" s="1"/>
  <c r="O81" i="2"/>
  <c r="P81" i="2" s="1"/>
  <c r="O78" i="2"/>
  <c r="P78" i="2" s="1"/>
  <c r="O77" i="2"/>
  <c r="P77" i="2" s="1"/>
  <c r="O76" i="2"/>
  <c r="P76" i="2" s="1"/>
  <c r="O75" i="2"/>
  <c r="P75" i="2" s="1"/>
  <c r="O74" i="2"/>
  <c r="P74" i="2" s="1"/>
  <c r="O73" i="2"/>
  <c r="P73" i="2" s="1"/>
  <c r="O72" i="2"/>
  <c r="P72" i="2" s="1"/>
  <c r="O71" i="2"/>
  <c r="P71" i="2" s="1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E29" i="6"/>
  <c r="O55" i="2"/>
  <c r="P55" i="2" s="1"/>
  <c r="O54" i="2"/>
  <c r="P54" i="2" s="1"/>
  <c r="O53" i="2"/>
  <c r="P53" i="2" s="1"/>
  <c r="O52" i="2"/>
  <c r="P52" i="2" s="1"/>
  <c r="O51" i="2"/>
  <c r="P51" i="2" s="1"/>
  <c r="O50" i="2"/>
  <c r="P50" i="2" s="1"/>
  <c r="O49" i="2"/>
  <c r="P49" i="2" s="1"/>
  <c r="O48" i="2"/>
  <c r="P48" i="2" s="1"/>
  <c r="O47" i="2"/>
  <c r="P47" i="2" s="1"/>
  <c r="E26" i="6"/>
  <c r="O45" i="2"/>
  <c r="P45" i="2" s="1"/>
  <c r="O44" i="2"/>
  <c r="P44" i="2" s="1"/>
  <c r="O43" i="2"/>
  <c r="P43" i="2" s="1"/>
  <c r="O41" i="2"/>
  <c r="P41" i="2" s="1"/>
  <c r="O40" i="2"/>
  <c r="P40" i="2" s="1"/>
  <c r="O39" i="2"/>
  <c r="P39" i="2" s="1"/>
  <c r="O38" i="2"/>
  <c r="P38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E18" i="6"/>
  <c r="O29" i="2"/>
  <c r="P29" i="2" s="1"/>
  <c r="E12" i="1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O13" i="2"/>
  <c r="P13" i="2" s="1"/>
  <c r="O12" i="2"/>
  <c r="P12" i="2" s="1"/>
  <c r="O11" i="2"/>
  <c r="P11" i="2" s="1"/>
  <c r="E6" i="6"/>
  <c r="O70" i="2"/>
  <c r="P70" i="2" s="1"/>
  <c r="E45" i="6"/>
  <c r="E22" i="6"/>
  <c r="E19" i="1" s="1"/>
  <c r="E8" i="6"/>
  <c r="E36" i="6"/>
  <c r="E35" i="6" s="1"/>
  <c r="H46" i="10" s="1"/>
  <c r="E34" i="6"/>
  <c r="H45" i="10" s="1"/>
  <c r="E33" i="6"/>
  <c r="H44" i="10" s="1"/>
  <c r="E30" i="6"/>
  <c r="E27" i="6"/>
  <c r="E11" i="6"/>
  <c r="E10" i="6"/>
  <c r="E9" i="6"/>
  <c r="E5" i="1"/>
  <c r="I25" i="10" s="1"/>
  <c r="E11" i="1"/>
  <c r="D11" i="8" s="1"/>
  <c r="E32" i="1"/>
  <c r="E31" i="1" s="1"/>
  <c r="E30" i="1"/>
  <c r="I45" i="10" s="1"/>
  <c r="E29" i="1"/>
  <c r="I44" i="10" s="1"/>
  <c r="E27" i="1"/>
  <c r="D27" i="8" s="1"/>
  <c r="E24" i="1"/>
  <c r="D24" i="8" s="1"/>
  <c r="E10" i="1"/>
  <c r="D10" i="8" s="1"/>
  <c r="E8" i="1"/>
  <c r="D8" i="8" s="1"/>
  <c r="G80" i="10" l="1"/>
  <c r="I2" i="8"/>
  <c r="G17" i="10"/>
  <c r="G24" i="10"/>
  <c r="D5" i="8"/>
  <c r="F5" i="8" s="1"/>
  <c r="G5" i="8" s="1"/>
  <c r="E13" i="6"/>
  <c r="E12" i="6" s="1"/>
  <c r="H32" i="10" s="1"/>
  <c r="E23" i="1"/>
  <c r="D23" i="8" s="1"/>
  <c r="F23" i="8" s="1"/>
  <c r="G23" i="8" s="1"/>
  <c r="E46" i="6"/>
  <c r="E34" i="1"/>
  <c r="E33" i="1" s="1"/>
  <c r="D33" i="8" s="1"/>
  <c r="F33" i="8" s="1"/>
  <c r="G33" i="8" s="1"/>
  <c r="E32" i="6"/>
  <c r="E31" i="6" s="1"/>
  <c r="H43" i="10" s="1"/>
  <c r="E38" i="6"/>
  <c r="E37" i="6" s="1"/>
  <c r="D30" i="8"/>
  <c r="F30" i="8" s="1"/>
  <c r="G30" i="8" s="1"/>
  <c r="E40" i="6"/>
  <c r="E39" i="6" s="1"/>
  <c r="H48" i="10" s="1"/>
  <c r="E7" i="6"/>
  <c r="E5" i="6" s="1"/>
  <c r="O56" i="2"/>
  <c r="P56" i="2" s="1"/>
  <c r="E36" i="1"/>
  <c r="E35" i="1" s="1"/>
  <c r="D35" i="8" s="1"/>
  <c r="F35" i="8" s="1"/>
  <c r="G35" i="8" s="1"/>
  <c r="O10" i="2"/>
  <c r="P10" i="2" s="1"/>
  <c r="O42" i="2"/>
  <c r="P42" i="2" s="1"/>
  <c r="O30" i="2"/>
  <c r="P30" i="2" s="1"/>
  <c r="O46" i="2"/>
  <c r="P46" i="2" s="1"/>
  <c r="E24" i="6"/>
  <c r="E26" i="1"/>
  <c r="D26" i="8" s="1"/>
  <c r="F26" i="8" s="1"/>
  <c r="G26" i="8" s="1"/>
  <c r="D31" i="8"/>
  <c r="F31" i="8" s="1"/>
  <c r="G31" i="8" s="1"/>
  <c r="I46" i="10"/>
  <c r="D12" i="8"/>
  <c r="F12" i="8" s="1"/>
  <c r="G12" i="8" s="1"/>
  <c r="I32" i="10"/>
  <c r="D29" i="8"/>
  <c r="F29" i="8" s="1"/>
  <c r="G29" i="8" s="1"/>
  <c r="H26" i="10"/>
  <c r="E9" i="1"/>
  <c r="E15" i="1" s="1"/>
  <c r="H64" i="10"/>
  <c r="F15" i="10"/>
  <c r="D13" i="8"/>
  <c r="F13" i="8" s="1"/>
  <c r="G13" i="8" s="1"/>
  <c r="D32" i="8"/>
  <c r="F32" i="8" s="1"/>
  <c r="G32" i="8" s="1"/>
  <c r="C38" i="8"/>
  <c r="C32" i="9"/>
  <c r="C15" i="8"/>
  <c r="F24" i="8"/>
  <c r="G24" i="8" s="1"/>
  <c r="F27" i="8"/>
  <c r="G27" i="8" s="1"/>
  <c r="F11" i="8"/>
  <c r="G11" i="8" s="1"/>
  <c r="F10" i="8"/>
  <c r="G10" i="8" s="1"/>
  <c r="F8" i="8"/>
  <c r="G8" i="8" s="1"/>
  <c r="F7" i="8"/>
  <c r="G7" i="8" s="1"/>
  <c r="F6" i="8"/>
  <c r="G6" i="8" s="1"/>
  <c r="E21" i="6"/>
  <c r="H38" i="10" s="1"/>
  <c r="E28" i="6"/>
  <c r="H41" i="10" s="1"/>
  <c r="E25" i="6"/>
  <c r="H40" i="10" s="1"/>
  <c r="F24" i="10" l="1"/>
  <c r="F80" i="10"/>
  <c r="E23" i="6"/>
  <c r="H39" i="10" s="1"/>
  <c r="E21" i="1"/>
  <c r="D34" i="8"/>
  <c r="F34" i="8" s="1"/>
  <c r="G34" i="8" s="1"/>
  <c r="E22" i="1"/>
  <c r="I47" i="10"/>
  <c r="E28" i="1"/>
  <c r="I43" i="10" s="1"/>
  <c r="H47" i="10"/>
  <c r="D36" i="8"/>
  <c r="F36" i="8" s="1"/>
  <c r="G36" i="8" s="1"/>
  <c r="E20" i="1"/>
  <c r="I48" i="10"/>
  <c r="E25" i="1"/>
  <c r="D25" i="8" s="1"/>
  <c r="F25" i="8" s="1"/>
  <c r="G25" i="8" s="1"/>
  <c r="D22" i="8"/>
  <c r="F22" i="8" s="1"/>
  <c r="G22" i="8" s="1"/>
  <c r="I40" i="10"/>
  <c r="H50" i="10"/>
  <c r="I26" i="10"/>
  <c r="I34" i="10" s="1"/>
  <c r="D9" i="8"/>
  <c r="E15" i="6"/>
  <c r="E17" i="6" s="1"/>
  <c r="H25" i="10"/>
  <c r="H34" i="10" s="1"/>
  <c r="E15" i="10"/>
  <c r="E80" i="10" s="1"/>
  <c r="F17" i="10"/>
  <c r="E18" i="1"/>
  <c r="D19" i="8"/>
  <c r="F19" i="8" s="1"/>
  <c r="G19" i="8" s="1"/>
  <c r="C42" i="8"/>
  <c r="C40" i="8"/>
  <c r="E42" i="6" l="1"/>
  <c r="E44" i="6" s="1"/>
  <c r="E17" i="10"/>
  <c r="E24" i="10"/>
  <c r="I41" i="10"/>
  <c r="D21" i="8"/>
  <c r="F21" i="8" s="1"/>
  <c r="G21" i="8" s="1"/>
  <c r="D28" i="8"/>
  <c r="F28" i="8" s="1"/>
  <c r="G28" i="8" s="1"/>
  <c r="E38" i="1"/>
  <c r="E42" i="1" s="1"/>
  <c r="O5" i="8" s="1"/>
  <c r="S5" i="8" s="1"/>
  <c r="F9" i="8"/>
  <c r="G9" i="8" s="1"/>
  <c r="D15" i="8"/>
  <c r="F15" i="8" s="1"/>
  <c r="G15" i="8" s="1"/>
  <c r="D20" i="8"/>
  <c r="F20" i="8" s="1"/>
  <c r="G20" i="8" s="1"/>
  <c r="I39" i="10"/>
  <c r="D18" i="8"/>
  <c r="F18" i="8" s="1"/>
  <c r="G18" i="8" s="1"/>
  <c r="I38" i="10"/>
  <c r="E50" i="6"/>
  <c r="E48" i="6"/>
  <c r="H54" i="10"/>
  <c r="H52" i="10"/>
  <c r="E40" i="1" l="1"/>
  <c r="I50" i="10"/>
  <c r="I52" i="10" s="1"/>
  <c r="D38" i="8"/>
  <c r="D42" i="8" s="1"/>
  <c r="F42" i="8" s="1"/>
  <c r="G42" i="8" s="1"/>
  <c r="H62" i="10"/>
  <c r="H78" i="10" s="1"/>
  <c r="H70" i="10"/>
  <c r="I54" i="10" l="1"/>
  <c r="I62" i="10" s="1"/>
  <c r="D40" i="8"/>
  <c r="F38" i="8"/>
  <c r="G38" i="8" s="1"/>
  <c r="H68" i="10"/>
  <c r="H74" i="10"/>
  <c r="N5" i="8" l="1"/>
  <c r="R5" i="8" s="1"/>
  <c r="I78" i="10"/>
  <c r="I74" i="10"/>
  <c r="P5" i="8" s="1"/>
  <c r="T5" i="8" s="1"/>
  <c r="I70" i="10"/>
  <c r="I68" i="10"/>
  <c r="C5" i="9"/>
  <c r="C17" i="9" s="1"/>
  <c r="C21" i="9" s="1"/>
  <c r="C18" i="9" l="1"/>
</calcChain>
</file>

<file path=xl/sharedStrings.xml><?xml version="1.0" encoding="utf-8"?>
<sst xmlns="http://schemas.openxmlformats.org/spreadsheetml/2006/main" count="463" uniqueCount="323">
  <si>
    <t>REVENUE &amp; INCOME</t>
  </si>
  <si>
    <t>RENTAL REVENUE</t>
  </si>
  <si>
    <t xml:space="preserve">     Base Rent</t>
  </si>
  <si>
    <t xml:space="preserve">     Straight-line Rent</t>
  </si>
  <si>
    <t>TOTAL RENTAL REVENUE</t>
  </si>
  <si>
    <t>RECOVERY RENTAL REVENUE</t>
  </si>
  <si>
    <t>ESTIMATED RECOV RENT REV</t>
  </si>
  <si>
    <t xml:space="preserve">     Recov Estimate - Oper Exp</t>
  </si>
  <si>
    <t xml:space="preserve">     Recov Estimate - RE Tax</t>
  </si>
  <si>
    <t xml:space="preserve">     Recov Estimate - Insuranc</t>
  </si>
  <si>
    <t xml:space="preserve">     CAP Recov - Amortized</t>
  </si>
  <si>
    <t>TOTAL EST. RECOV RENT REV</t>
  </si>
  <si>
    <t>RECONCIL RECOV RENT REV</t>
  </si>
  <si>
    <t xml:space="preserve">     CY Recon - Oper Exp</t>
  </si>
  <si>
    <t xml:space="preserve">     CY Recon - RE Tax</t>
  </si>
  <si>
    <t xml:space="preserve">     CY Recon - Insurance</t>
  </si>
  <si>
    <t xml:space="preserve">     CY Recon - Amortized Capital</t>
  </si>
  <si>
    <t>TOT CY RECON RECOV REV</t>
  </si>
  <si>
    <t>TOTAL RECOVERY RENTAL REV</t>
  </si>
  <si>
    <t>TOTAL REVENUE AND INCOME</t>
  </si>
  <si>
    <t>RECOVERABLE  EXPENSES</t>
  </si>
  <si>
    <t>REAL ESTATE TAXES</t>
  </si>
  <si>
    <t xml:space="preserve">     Property Taxes - Building</t>
  </si>
  <si>
    <t>TOTAL REAL ESTATE TAXES</t>
  </si>
  <si>
    <t>PROPERTY INSURANCE</t>
  </si>
  <si>
    <t xml:space="preserve">     Building Insurance</t>
  </si>
  <si>
    <t xml:space="preserve">     Liability Insurance</t>
  </si>
  <si>
    <t xml:space="preserve">     Insurance - Other</t>
  </si>
  <si>
    <t>TOTAL PROPERTY INSURANCE</t>
  </si>
  <si>
    <t>UTILITIES</t>
  </si>
  <si>
    <t xml:space="preserve">     Utilities - Water &amp; Sewer</t>
  </si>
  <si>
    <t>TOTAL UTILITIES</t>
  </si>
  <si>
    <t>REPAIR &amp; MAINTENANCE</t>
  </si>
  <si>
    <t xml:space="preserve">     Landscaping - Contract</t>
  </si>
  <si>
    <t xml:space="preserve">     Landscaping - Other</t>
  </si>
  <si>
    <t xml:space="preserve">     Electrical &amp; Lighting</t>
  </si>
  <si>
    <t xml:space="preserve">     Maintenance-Pest Control</t>
  </si>
  <si>
    <t xml:space="preserve">     Maintenance-Fire Protect</t>
  </si>
  <si>
    <t>TOTAL REPAIR &amp; MAINTENANC</t>
  </si>
  <si>
    <t>OTHER RECOVERABLE</t>
  </si>
  <si>
    <t xml:space="preserve">     Recov - Accounting Fees</t>
  </si>
  <si>
    <t>TOTAL OTHER RECOV</t>
  </si>
  <si>
    <t>PROPERTY MANAGEMENT FEES</t>
  </si>
  <si>
    <t xml:space="preserve">     Property Management Fees</t>
  </si>
  <si>
    <t>TOTAL PROPERTY MANAGEMENT FEES</t>
  </si>
  <si>
    <t>TOTAL RECOVERABLE EXPENSES</t>
  </si>
  <si>
    <t>NON-RECOVERABLE EXPENSES</t>
  </si>
  <si>
    <t>NON-RECOVERABLE RENTAL EXP</t>
  </si>
  <si>
    <t xml:space="preserve">     NR - Consulting Services</t>
  </si>
  <si>
    <t xml:space="preserve">     NR - Other Repairs</t>
  </si>
  <si>
    <t xml:space="preserve">     NR - Utilities</t>
  </si>
  <si>
    <t xml:space="preserve">     NR - Bank Fees</t>
  </si>
  <si>
    <t>TOTAL NON-RECOVERABLE RENT EXP</t>
  </si>
  <si>
    <t>TOTAL NON-RECOVERABLE OPER EXP</t>
  </si>
  <si>
    <t>NET OPERATING INCOME</t>
  </si>
  <si>
    <t>Period</t>
  </si>
  <si>
    <t>Base Rent</t>
  </si>
  <si>
    <t>Straight-line Rent</t>
  </si>
  <si>
    <t>Other Rent</t>
  </si>
  <si>
    <t>Less: Vacancy Loss</t>
  </si>
  <si>
    <t>Delinquent Rent</t>
  </si>
  <si>
    <t>Concessions/Bad Debt</t>
  </si>
  <si>
    <t>Other Income</t>
  </si>
  <si>
    <t>Total Recovery Rental Revenue</t>
  </si>
  <si>
    <t>OPERATING EXPENSES:</t>
  </si>
  <si>
    <t>Real Estate Taxes</t>
  </si>
  <si>
    <t>Total Real Estate Taxes</t>
  </si>
  <si>
    <t>Property Insurance</t>
  </si>
  <si>
    <t>Total Property Insurance</t>
  </si>
  <si>
    <t xml:space="preserve">Utilities </t>
  </si>
  <si>
    <t>Total Utilities</t>
  </si>
  <si>
    <t>NR - Utilities</t>
  </si>
  <si>
    <t>Repairs and Maintenance</t>
  </si>
  <si>
    <t>Total R&amp;M</t>
  </si>
  <si>
    <t>NR - Other Repairs</t>
  </si>
  <si>
    <t>Total Property Management Fees</t>
  </si>
  <si>
    <t xml:space="preserve">Payroll &amp; Benefits </t>
  </si>
  <si>
    <t>Advertising &amp; Marketing</t>
  </si>
  <si>
    <t>Professional Fees</t>
  </si>
  <si>
    <t>NR - Consulting Services</t>
  </si>
  <si>
    <t>General and Administrative</t>
  </si>
  <si>
    <t>NR - Bank Fees</t>
  </si>
  <si>
    <t>Other Expenses</t>
  </si>
  <si>
    <t>Total Other Recovery Expenses</t>
  </si>
  <si>
    <t>Gross Potential Rent</t>
  </si>
  <si>
    <t>INCOME:</t>
  </si>
  <si>
    <t>CODE</t>
  </si>
  <si>
    <t xml:space="preserve">     Other Rent</t>
  </si>
  <si>
    <t>Check</t>
  </si>
  <si>
    <t>*Effective Gross Income</t>
  </si>
  <si>
    <t>*Total Operating Expenses</t>
  </si>
  <si>
    <t>Operating Expense Ratio</t>
  </si>
  <si>
    <t>*Net Operating Income</t>
  </si>
  <si>
    <t>Statement (12 months)</t>
  </si>
  <si>
    <t>Book = Accrual,Depreciation,Straight-Line Rent,Elimination ; Tree = ysi_is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</si>
  <si>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</si>
  <si>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</si>
  <si>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</si>
  <si>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</si>
  <si>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</si>
  <si>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</si>
  <si>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</si>
  <si>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</si>
  <si>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</si>
  <si>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T12</t>
  </si>
  <si>
    <t>T6</t>
  </si>
  <si>
    <t>T3</t>
  </si>
  <si>
    <t>NET OPERATING INCOME AFTER DEPR</t>
  </si>
  <si>
    <t>OTHER INCOME &amp; EXPENSES</t>
  </si>
  <si>
    <t>INTEREST EXPENSE</t>
  </si>
  <si>
    <t xml:space="preserve">     Int Exp - Mortgage Notes</t>
  </si>
  <si>
    <t>TOTAL INTEREST EXPENSE</t>
  </si>
  <si>
    <t>TOTAL OTHER INCOME &amp; EXPENSES</t>
  </si>
  <si>
    <t>NET INCOME</t>
  </si>
  <si>
    <t xml:space="preserve"> Property </t>
  </si>
  <si>
    <t xml:space="preserve"> Unit(s) </t>
  </si>
  <si>
    <t xml:space="preserve"> Lease </t>
  </si>
  <si>
    <t xml:space="preserve"> Lease From </t>
  </si>
  <si>
    <t xml:space="preserve"> Lease To </t>
  </si>
  <si>
    <t xml:space="preserve"> Term </t>
  </si>
  <si>
    <t xml:space="preserve"> Tenancy </t>
  </si>
  <si>
    <t xml:space="preserve"> Lease Area </t>
  </si>
  <si>
    <t xml:space="preserve"> Annual Rent </t>
  </si>
  <si>
    <t xml:space="preserve"> Annual </t>
  </si>
  <si>
    <t xml:space="preserve"> Lease Type </t>
  </si>
  <si>
    <t xml:space="preserve"> LOC Amount/  </t>
  </si>
  <si>
    <t xml:space="preserve"> Amendment </t>
  </si>
  <si>
    <t xml:space="preserve"> Status </t>
  </si>
  <si>
    <t xml:space="preserve"> From </t>
  </si>
  <si>
    <t xml:space="preserve"> To </t>
  </si>
  <si>
    <t xml:space="preserve"> Move In </t>
  </si>
  <si>
    <t xml:space="preserve"> Move Out </t>
  </si>
  <si>
    <t xml:space="preserve"> Area </t>
  </si>
  <si>
    <t xml:space="preserve"> Description </t>
  </si>
  <si>
    <t xml:space="preserve"> Notes </t>
  </si>
  <si>
    <t xml:space="preserve"> Rent </t>
  </si>
  <si>
    <t xml:space="preserve"> Start Date </t>
  </si>
  <si>
    <t xml:space="preserve"> Unit </t>
  </si>
  <si>
    <t xml:space="preserve"> Area Label </t>
  </si>
  <si>
    <t xml:space="preserve"> Rent Step </t>
  </si>
  <si>
    <t xml:space="preserve"> Monthly </t>
  </si>
  <si>
    <t xml:space="preserve"> Management </t>
  </si>
  <si>
    <t xml:space="preserve"> Annual Gross </t>
  </si>
  <si>
    <t xml:space="preserve"> Next </t>
  </si>
  <si>
    <t xml:space="preserve"> Increase Type </t>
  </si>
  <si>
    <t xml:space="preserve"> Increase Value / Percent </t>
  </si>
  <si>
    <t xml:space="preserve"> Review Type </t>
  </si>
  <si>
    <t xml:space="preserve"> Market Rent </t>
  </si>
  <si>
    <t xml:space="preserve"> Who </t>
  </si>
  <si>
    <t xml:space="preserve"> Min Increase Type </t>
  </si>
  <si>
    <t xml:space="preserve"> Min Increase Value </t>
  </si>
  <si>
    <t xml:space="preserve"> Max Increase Type </t>
  </si>
  <si>
    <t xml:space="preserve"> Max Increase Value </t>
  </si>
  <si>
    <t xml:space="preserve"> Years </t>
  </si>
  <si>
    <t xml:space="preserve"> Rent/Area </t>
  </si>
  <si>
    <t xml:space="preserve"> Bank Guarantee </t>
  </si>
  <si>
    <t xml:space="preserve"> Type </t>
  </si>
  <si>
    <t xml:space="preserve"> Reason </t>
  </si>
  <si>
    <t xml:space="preserve"> Steps </t>
  </si>
  <si>
    <t xml:space="preserve"> Fee </t>
  </si>
  <si>
    <t xml:space="preserve"> Amount </t>
  </si>
  <si>
    <t xml:space="preserve"> Review Date </t>
  </si>
  <si>
    <t>100</t>
  </si>
  <si>
    <t>Industrial - Net</t>
  </si>
  <si>
    <t>Original Lease</t>
  </si>
  <si>
    <t>Activated</t>
  </si>
  <si>
    <t>con</t>
  </si>
  <si>
    <t>Rentable Area</t>
  </si>
  <si>
    <t>Fixed Amount</t>
  </si>
  <si>
    <t>N/A</t>
  </si>
  <si>
    <t>rnt</t>
  </si>
  <si>
    <t>Variance</t>
  </si>
  <si>
    <t>QoQ ∆</t>
  </si>
  <si>
    <t>Occupancy</t>
  </si>
  <si>
    <t>DY</t>
  </si>
  <si>
    <t>DSCR</t>
  </si>
  <si>
    <t>NCF</t>
  </si>
  <si>
    <t>UPB</t>
  </si>
  <si>
    <t>Whole Loan Spread</t>
  </si>
  <si>
    <t>Rate Cap</t>
  </si>
  <si>
    <t>SOFR</t>
  </si>
  <si>
    <t>Interest Rate</t>
  </si>
  <si>
    <t>DY Event</t>
  </si>
  <si>
    <t>DSCR Event</t>
  </si>
  <si>
    <t>Debt Service Calc</t>
  </si>
  <si>
    <t>Rate Cap Renewal Calculation</t>
  </si>
  <si>
    <t>Current Capped DSCR</t>
  </si>
  <si>
    <t>Target Capped DSCR</t>
  </si>
  <si>
    <t>Spread</t>
  </si>
  <si>
    <t>Effective Capped Interest Rate</t>
  </si>
  <si>
    <t>Debt Service Capped</t>
  </si>
  <si>
    <t>Current Net Cash Flow</t>
  </si>
  <si>
    <t>Resulting Capped DSCR</t>
  </si>
  <si>
    <t>Debt Service</t>
  </si>
  <si>
    <t>Capped Debt Service</t>
  </si>
  <si>
    <t>Capped DSCR</t>
  </si>
  <si>
    <t>DSCR w/o Rate Cap</t>
  </si>
  <si>
    <t>CREFC Investor Reporting Package</t>
  </si>
  <si>
    <r>
      <t>COMMERCIAL OPERATING STATEMENT ANALYSIS REPORT</t>
    </r>
    <r>
      <rPr>
        <i/>
        <sz val="12"/>
        <rFont val="Arial"/>
        <family val="2"/>
      </rPr>
      <t xml:space="preserve"> (includes Retail/Office/Industrial/Mixed Use/Self Storage)</t>
    </r>
  </si>
  <si>
    <t xml:space="preserve"> PROPERTY OVERVIEW</t>
  </si>
  <si>
    <t>Allocated Loan Amount/Percentage</t>
  </si>
  <si>
    <t>Property ID</t>
  </si>
  <si>
    <t>1001-001</t>
  </si>
  <si>
    <t>Paid Thru Date</t>
  </si>
  <si>
    <t>Debt Outside Trust (1)</t>
  </si>
  <si>
    <t>$</t>
  </si>
  <si>
    <t>%</t>
  </si>
  <si>
    <t xml:space="preserve">      Note A-Scheduled Loan Balance</t>
  </si>
  <si>
    <t>MM/DD/YY</t>
  </si>
  <si>
    <t>X or Blank</t>
  </si>
  <si>
    <t xml:space="preserve">      Note B-Scheduled Loan Balance</t>
  </si>
  <si>
    <t xml:space="preserve">      Note C-Scheduled Loan Balance</t>
  </si>
  <si>
    <t xml:space="preserve">      Property Name</t>
  </si>
  <si>
    <t xml:space="preserve">      Property Type</t>
  </si>
  <si>
    <t xml:space="preserve">      Property Address, City, State</t>
  </si>
  <si>
    <t xml:space="preserve">      Current Net Rentable SF/Units/Beds/Rooms</t>
  </si>
  <si>
    <t>Use second box to specify sqft.,units…</t>
  </si>
  <si>
    <t xml:space="preserve">      Year Built/Year Renovated</t>
  </si>
  <si>
    <t xml:space="preserve">      Cap Ex Reserve (annually)/per Unit.etc. (2)</t>
  </si>
  <si>
    <t>specify annual/per unit…</t>
  </si>
  <si>
    <t xml:space="preserve">      Statement Ending Date</t>
  </si>
  <si>
    <t>Underwriting</t>
  </si>
  <si>
    <t xml:space="preserve">      Occupancy Rate (physical)</t>
  </si>
  <si>
    <t xml:space="preserve">      Occupancy Date</t>
  </si>
  <si>
    <t>(1) "X" if debt is outside of the trust, otherwise leave blank</t>
  </si>
  <si>
    <t>(2) Total $ amount of Capital Reserves required annually by loan documents</t>
  </si>
  <si>
    <t xml:space="preserve">  INCOME:</t>
  </si>
  <si>
    <t xml:space="preserve">      Number of Mos. Covered</t>
  </si>
  <si>
    <t xml:space="preserve">      Period Ended</t>
  </si>
  <si>
    <t>At Contribution</t>
  </si>
  <si>
    <t xml:space="preserve">3rd Preceding </t>
  </si>
  <si>
    <t>2nd  Preceding</t>
  </si>
  <si>
    <t>Preceding Yr.</t>
  </si>
  <si>
    <t>Information</t>
  </si>
  <si>
    <t xml:space="preserve">      Gross Potential Rent (3)</t>
  </si>
  <si>
    <t xml:space="preserve">         Less: Vacancy Loss</t>
  </si>
  <si>
    <t>OR</t>
  </si>
  <si>
    <r>
      <t xml:space="preserve">      Base Rent</t>
    </r>
    <r>
      <rPr>
        <sz val="8"/>
        <rFont val="Arial"/>
        <family val="2"/>
      </rPr>
      <t xml:space="preserve"> (3)</t>
    </r>
  </si>
  <si>
    <t xml:space="preserve">      Expense Reimbursement</t>
  </si>
  <si>
    <t xml:space="preserve">      Percentage Rent</t>
  </si>
  <si>
    <t xml:space="preserve">      Parking Income</t>
  </si>
  <si>
    <t xml:space="preserve">      Other Income</t>
  </si>
  <si>
    <t xml:space="preserve">  *Effective Gross Income</t>
  </si>
  <si>
    <t>(3) Use either Gross Potential (with Vacancy Loss) or Base Rents; use negative $amt for Vacancy Loss</t>
  </si>
  <si>
    <t xml:space="preserve">  OPERATING EXPENSES:</t>
  </si>
  <si>
    <t xml:space="preserve">      Real Estate Taxes</t>
  </si>
  <si>
    <t xml:space="preserve">      Property Insurance</t>
  </si>
  <si>
    <t xml:space="preserve">      Utilities </t>
  </si>
  <si>
    <t xml:space="preserve">      Repairs and Maintenance</t>
  </si>
  <si>
    <t xml:space="preserve">      Janitorial</t>
  </si>
  <si>
    <t xml:space="preserve">      Management Fees</t>
  </si>
  <si>
    <t xml:space="preserve">      Payroll &amp; Benefits </t>
  </si>
  <si>
    <t xml:space="preserve">      Advertising &amp; Marketing</t>
  </si>
  <si>
    <t xml:space="preserve">      Professional Fees</t>
  </si>
  <si>
    <t xml:space="preserve">      General and Administrative</t>
  </si>
  <si>
    <t xml:space="preserve">      Other Expenses</t>
  </si>
  <si>
    <t xml:space="preserve">      Ground Rent</t>
  </si>
  <si>
    <t xml:space="preserve"> *Total Operating Expenses</t>
  </si>
  <si>
    <t xml:space="preserve">  Operating Expense Ratio</t>
  </si>
  <si>
    <t xml:space="preserve"> *Net Operating Income</t>
  </si>
  <si>
    <t xml:space="preserve">      Leasing Commissions </t>
  </si>
  <si>
    <t xml:space="preserve">      Tenant Improvements </t>
  </si>
  <si>
    <t xml:space="preserve">      Capital Expenditures</t>
  </si>
  <si>
    <t xml:space="preserve">      Extraordinary Capital Expenditures</t>
  </si>
  <si>
    <t xml:space="preserve">  Total Capital Items</t>
  </si>
  <si>
    <t xml:space="preserve"> *Net Cash Flow</t>
  </si>
  <si>
    <t xml:space="preserve">  Debt Service - A Note</t>
  </si>
  <si>
    <t xml:space="preserve">  Debt Service - B Note</t>
  </si>
  <si>
    <t xml:space="preserve">  Debt Service - C Note</t>
  </si>
  <si>
    <t xml:space="preserve"> *Net Cash Flow after Debt Service</t>
  </si>
  <si>
    <t xml:space="preserve"> *DSCR: (NOI/Debt Service) - A Note</t>
  </si>
  <si>
    <t xml:space="preserve"> *DSCR: (NOI/Debt Service) - A &amp; B Note</t>
  </si>
  <si>
    <t xml:space="preserve"> *DSCR: (NOI/Debt Service) - A, B &amp; C Note</t>
  </si>
  <si>
    <t xml:space="preserve"> *DSCR: (NCF/Debt Service) - A Note</t>
  </si>
  <si>
    <t xml:space="preserve"> *DSCR: (NCF/Debt Service) - A &amp; B Note</t>
  </si>
  <si>
    <t xml:space="preserve"> *DSCR: (NCF/Debt Service) - A, B &amp; C Note</t>
  </si>
  <si>
    <t xml:space="preserve">  Source of Financial Data:</t>
  </si>
  <si>
    <t>(ie. operating statements, financial statements, tax return, other)</t>
  </si>
  <si>
    <r>
      <t xml:space="preserve">Notes and  Assumptions: </t>
    </r>
    <r>
      <rPr>
        <i/>
        <sz val="9"/>
        <rFont val="Arial"/>
        <family val="2"/>
      </rPr>
      <t xml:space="preserve">Years above will roll, always showing a 3yr sequential history.  Comments from the most recent NOI Adjustment Worksheet should be carried forward to Operating Statement </t>
    </r>
  </si>
  <si>
    <r>
      <t xml:space="preserve">Analysis Report.  Year-over-year variances (either higher or lower) must be explained and noted for the following: </t>
    </r>
    <r>
      <rPr>
        <b/>
        <i/>
        <sz val="9"/>
        <rFont val="Arial"/>
        <family val="2"/>
      </rPr>
      <t>&gt;20% DSCR change, &gt;20% EGI/Total Operating Expenses or Total Capital</t>
    </r>
  </si>
  <si>
    <t>Items.  Quarterly variance comments may be necessary if the loan is on the Watch List.</t>
  </si>
  <si>
    <t>Income: Comments</t>
  </si>
  <si>
    <t>Expense: Comments</t>
  </si>
  <si>
    <t>Capital Items: Comments</t>
  </si>
  <si>
    <t>DSCR: Comments</t>
  </si>
  <si>
    <t xml:space="preserve"> </t>
  </si>
  <si>
    <t xml:space="preserve">* Used in the CREFC Comparative Financial Status Report/CREFC Property File/CREFC Loan Periodic Update File. Note that information for multiple property loans must be consolidated (if available) </t>
  </si>
  <si>
    <t>for reporting to the CREFC Loan Periodic Update file.</t>
  </si>
  <si>
    <t>Industrial</t>
  </si>
  <si>
    <t>RSF</t>
  </si>
  <si>
    <t>/SF/Yr</t>
  </si>
  <si>
    <t>Lender Calc</t>
  </si>
  <si>
    <t>Lender Calc Adjustments</t>
  </si>
  <si>
    <t>Greater of actual fees and 3.0% of EGI</t>
  </si>
  <si>
    <t>Tax Bill From</t>
  </si>
  <si>
    <t>Tax Amount</t>
  </si>
  <si>
    <t>Factor</t>
  </si>
  <si>
    <t>Amt:</t>
  </si>
  <si>
    <t>Rent Roll less  tenants 60+ days past due, MTM, BK, non-credit tenants "gone dark", credit tenants with &lt; 2 years of remaining lease term that have "gone dark", known vacates. Include tenants taking occupancy within 90 day (180 days for BBB- or higher tenants), include rental value of free rent period of up to 1 month free per lease year,</t>
  </si>
  <si>
    <t xml:space="preserve">     Lot Sweeping</t>
  </si>
  <si>
    <t xml:space="preserve">     Maintenance-Misc</t>
  </si>
  <si>
    <t>601 S. 55th Avenue (v1103001)</t>
  </si>
  <si>
    <t>Period = Jan 2025-Dec 2025</t>
  </si>
  <si>
    <t>S&amp;M Moving Systems West, Inc. (t0084001)</t>
  </si>
  <si>
    <t>Months Available</t>
  </si>
  <si>
    <t>Link:</t>
  </si>
  <si>
    <t>https://www.mcassessor.maricopa.gov/</t>
  </si>
  <si>
    <t>Parcel ID:</t>
  </si>
  <si>
    <t>104-20-022</t>
  </si>
  <si>
    <t>Ares Fund XI Industrial - 55th Ave</t>
  </si>
  <si>
    <t>AZ</t>
  </si>
  <si>
    <t>Phoenix</t>
  </si>
  <si>
    <t>601 S 55th Ave</t>
  </si>
  <si>
    <t>Insurance Policy From</t>
  </si>
  <si>
    <t>Insurance Amount</t>
  </si>
  <si>
    <t xml:space="preserve"> *Debt Yield: (NCF/UPB)</t>
  </si>
  <si>
    <t>T7</t>
  </si>
  <si>
    <t>As of 3/31/2026</t>
  </si>
  <si>
    <t>Jan 2026</t>
  </si>
  <si>
    <t>Feb 2026</t>
  </si>
  <si>
    <t>Mar 2026</t>
  </si>
  <si>
    <t xml:space="preserve">     Maintenance-Parking Lots</t>
  </si>
  <si>
    <t xml:space="preserve">     Maintenance-Roof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</si>
</sst>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[$$-409]* #,##0_);_([$$-409]* \(#,##0\);_([$$-409]* &quot;-&quot;??_);_(@_)"/>
    <numFmt numFmtId="166" formatCode="&quot;Management Fees&quot;"/>
    <numFmt numFmtId="167" formatCode="0.0%"/>
    <numFmt numFmtId="168" formatCode="0.#0&quot;x&quot;"/>
    <numFmt numFmtId="169" formatCode="0\ &quot;bps&quot;;\-0\ &quot;bps&quot;"/>
    <numFmt numFmtId="170" formatCode="_(* &quot;$&quot;\ #,##0_);_(* &quot;$&quot;\ \(#,##0\);_(* &quot;&quot;&quot;$&quot;\ \ \-&quot;&quot;?_);_(@_)"/>
    <numFmt numFmtId="171" formatCode="0.00&quot;x&quot;"/>
    <numFmt numFmtId="172" formatCode="0.00\x"/>
    <numFmt numFmtId="173" formatCode="0.0000\x"/>
    <numFmt numFmtId="174" formatCode="00\-00\-0000"/>
    <numFmt numFmtId="175" formatCode="_(&quot;$&quot;* #,##0_);_(&quot;$&quot;* \(#,##0\);_(&quot;$&quot;* &quot;-&quot;??_);_(@_)"/>
    <numFmt numFmtId="176" formatCode="mm/dd/yy"/>
    <numFmt numFmtId="177" formatCode="mm/dd/yy_)"/>
    <numFmt numFmtId="178" formatCode="&quot;  Management Fees&quot;"/>
    <numFmt numFmtId="179" formatCode="&quot;Greater of actual vacancy (&quot;0.0%&quot;) and 5%&quot;"/>
  </numFmts>
  <fonts count="5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9"/>
      <color theme="1"/>
      <name val="Arial"/>
      <family val="2"/>
    </font>
    <font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 MT"/>
    </font>
    <font>
      <i/>
      <sz val="11"/>
      <color rgb="FF008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i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b/>
      <i/>
      <sz val="9"/>
      <name val="Arial"/>
      <family val="2"/>
    </font>
    <font>
      <sz val="9"/>
      <color rgb="FF008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008000"/>
      <name val="Tahoma"/>
      <family val="2"/>
    </font>
    <font>
      <b/>
      <sz val="11"/>
      <color rgb="FF008000"/>
      <name val="Aptos Narrow"/>
      <family val="2"/>
      <scheme val="minor"/>
    </font>
    <font>
      <sz val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0078"/>
        <bgColor rgb="FF000000"/>
      </patternFill>
    </fill>
    <fill>
      <patternFill patternType="solid">
        <fgColor indexed="58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20" fillId="0" borderId="0"/>
    <xf numFmtId="0" fontId="26" fillId="0" borderId="0"/>
    <xf numFmtId="37" fontId="2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355">
    <xf numFmtId="0" fontId="0" fillId="0" borderId="0" xfId="0"/>
    <xf numFmtId="0" fontId="2" fillId="0" borderId="4" xfId="0" applyFont="1" applyBorder="1"/>
    <xf numFmtId="0" fontId="0" fillId="0" borderId="0" xfId="0" applyAlignment="1">
      <alignment horizontal="left" indent="2"/>
    </xf>
    <xf numFmtId="164" fontId="0" fillId="0" borderId="0" xfId="1" applyNumberFormat="1" applyFont="1"/>
    <xf numFmtId="164" fontId="3" fillId="0" borderId="0" xfId="1" applyNumberFormat="1" applyFont="1" applyAlignment="1">
      <alignment horizontal="left" indent="1"/>
    </xf>
    <xf numFmtId="164" fontId="0" fillId="0" borderId="0" xfId="1" applyNumberFormat="1" applyFont="1" applyAlignment="1">
      <alignment horizontal="left" indent="1"/>
    </xf>
    <xf numFmtId="165" fontId="0" fillId="0" borderId="0" xfId="0" applyNumberFormat="1"/>
    <xf numFmtId="165" fontId="0" fillId="0" borderId="0" xfId="0" applyNumberFormat="1" applyAlignment="1">
      <alignment horizontal="left" indent="1"/>
    </xf>
    <xf numFmtId="164" fontId="0" fillId="0" borderId="0" xfId="1" applyNumberFormat="1" applyFont="1" applyAlignment="1">
      <alignment horizontal="left" indent="2"/>
    </xf>
    <xf numFmtId="165" fontId="2" fillId="0" borderId="0" xfId="0" applyNumberFormat="1" applyFont="1"/>
    <xf numFmtId="165" fontId="2" fillId="0" borderId="4" xfId="0" applyNumberFormat="1" applyFont="1" applyBorder="1"/>
    <xf numFmtId="165" fontId="2" fillId="0" borderId="5" xfId="0" applyNumberFormat="1" applyFont="1" applyBorder="1"/>
    <xf numFmtId="9" fontId="3" fillId="0" borderId="0" xfId="2" applyFont="1" applyAlignment="1">
      <alignment horizontal="center"/>
    </xf>
    <xf numFmtId="9" fontId="3" fillId="0" borderId="4" xfId="2" applyFont="1" applyBorder="1" applyAlignment="1">
      <alignment horizontal="left"/>
    </xf>
    <xf numFmtId="0" fontId="5" fillId="0" borderId="0" xfId="3" applyFont="1" applyAlignment="1">
      <alignment vertical="center"/>
    </xf>
    <xf numFmtId="0" fontId="5" fillId="2" borderId="0" xfId="3" applyFont="1" applyFill="1" applyAlignment="1">
      <alignment vertical="center"/>
    </xf>
    <xf numFmtId="0" fontId="4" fillId="0" borderId="0" xfId="3"/>
    <xf numFmtId="0" fontId="6" fillId="0" borderId="0" xfId="3" applyFont="1" applyAlignment="1">
      <alignment vertical="center"/>
    </xf>
    <xf numFmtId="0" fontId="6" fillId="2" borderId="0" xfId="3" applyFont="1" applyFill="1" applyAlignment="1">
      <alignment vertical="center"/>
    </xf>
    <xf numFmtId="0" fontId="7" fillId="3" borderId="7" xfId="3" applyFont="1" applyFill="1" applyBorder="1" applyAlignment="1">
      <alignment horizontal="left" vertical="center"/>
    </xf>
    <xf numFmtId="0" fontId="7" fillId="3" borderId="7" xfId="3" applyFont="1" applyFill="1" applyBorder="1" applyAlignment="1">
      <alignment horizontal="center" vertical="center"/>
    </xf>
    <xf numFmtId="0" fontId="7" fillId="2" borderId="7" xfId="3" applyFont="1" applyFill="1" applyBorder="1" applyAlignment="1">
      <alignment horizontal="center" vertical="center"/>
    </xf>
    <xf numFmtId="0" fontId="8" fillId="0" borderId="8" xfId="3" applyFont="1" applyBorder="1" applyAlignment="1">
      <alignment horizontal="left" vertical="center"/>
    </xf>
    <xf numFmtId="0" fontId="8" fillId="0" borderId="8" xfId="3" applyFont="1" applyBorder="1" applyAlignment="1">
      <alignment horizontal="center" vertical="center"/>
    </xf>
    <xf numFmtId="3" fontId="8" fillId="2" borderId="8" xfId="3" applyNumberFormat="1" applyFont="1" applyFill="1" applyBorder="1" applyAlignment="1">
      <alignment horizontal="right" vertical="center"/>
    </xf>
    <xf numFmtId="0" fontId="8" fillId="2" borderId="0" xfId="3" applyFont="1" applyFill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7" fillId="2" borderId="0" xfId="3" applyFont="1" applyFill="1" applyAlignment="1">
      <alignment horizontal="right" vertical="center"/>
    </xf>
    <xf numFmtId="3" fontId="8" fillId="2" borderId="0" xfId="3" applyNumberFormat="1" applyFont="1" applyFill="1" applyAlignment="1">
      <alignment horizontal="right" vertical="center"/>
    </xf>
    <xf numFmtId="0" fontId="4" fillId="2" borderId="0" xfId="3" applyFill="1"/>
    <xf numFmtId="0" fontId="0" fillId="0" borderId="0" xfId="0" applyAlignment="1">
      <alignment wrapText="1"/>
    </xf>
    <xf numFmtId="0" fontId="7" fillId="3" borderId="9" xfId="3" applyFont="1" applyFill="1" applyBorder="1" applyAlignment="1">
      <alignment horizontal="center" vertical="center"/>
    </xf>
    <xf numFmtId="0" fontId="7" fillId="0" borderId="0" xfId="3" applyFont="1" applyAlignment="1">
      <alignment horizontal="left" vertical="center" wrapText="1"/>
    </xf>
    <xf numFmtId="0" fontId="8" fillId="0" borderId="0" xfId="3" applyFont="1" applyAlignment="1">
      <alignment horizontal="left" vertical="center" wrapText="1"/>
    </xf>
    <xf numFmtId="0" fontId="4" fillId="0" borderId="0" xfId="3" applyAlignment="1">
      <alignment vertical="top"/>
    </xf>
    <xf numFmtId="0" fontId="8" fillId="0" borderId="0" xfId="3" applyFont="1" applyAlignment="1">
      <alignment horizontal="center" vertical="center" wrapText="1"/>
    </xf>
    <xf numFmtId="14" fontId="8" fillId="0" borderId="0" xfId="3" applyNumberFormat="1" applyFont="1" applyAlignment="1">
      <alignment horizontal="center" vertical="center" wrapText="1"/>
    </xf>
    <xf numFmtId="4" fontId="8" fillId="0" borderId="0" xfId="3" applyNumberFormat="1" applyFont="1" applyAlignment="1">
      <alignment horizontal="right" vertical="center" wrapText="1"/>
    </xf>
    <xf numFmtId="4" fontId="8" fillId="0" borderId="0" xfId="3" applyNumberFormat="1" applyFont="1" applyAlignment="1">
      <alignment horizontal="center" vertical="center" wrapText="1"/>
    </xf>
    <xf numFmtId="4" fontId="8" fillId="2" borderId="0" xfId="3" applyNumberFormat="1" applyFont="1" applyFill="1" applyAlignment="1">
      <alignment horizontal="right" vertical="center" wrapText="1"/>
    </xf>
    <xf numFmtId="0" fontId="8" fillId="0" borderId="0" xfId="3" applyFont="1" applyAlignment="1">
      <alignment horizontal="right" vertical="center" wrapText="1"/>
    </xf>
    <xf numFmtId="43" fontId="9" fillId="0" borderId="0" xfId="4" applyFont="1"/>
    <xf numFmtId="43" fontId="0" fillId="0" borderId="0" xfId="4" applyFont="1"/>
    <xf numFmtId="43" fontId="10" fillId="0" borderId="0" xfId="4" applyFont="1"/>
    <xf numFmtId="0" fontId="2" fillId="0" borderId="5" xfId="0" applyFont="1" applyBorder="1"/>
    <xf numFmtId="166" fontId="0" fillId="0" borderId="0" xfId="1" applyNumberFormat="1" applyFont="1" applyAlignment="1">
      <alignment horizontal="left" indent="1"/>
    </xf>
    <xf numFmtId="166" fontId="0" fillId="0" borderId="0" xfId="1" applyNumberFormat="1" applyFont="1" applyAlignment="1">
      <alignment horizontal="left" indent="2"/>
    </xf>
    <xf numFmtId="164" fontId="3" fillId="0" borderId="0" xfId="1" applyNumberFormat="1" applyFont="1" applyBorder="1"/>
    <xf numFmtId="164" fontId="0" fillId="0" borderId="0" xfId="1" applyNumberFormat="1" applyFont="1" applyBorder="1"/>
    <xf numFmtId="165" fontId="2" fillId="0" borderId="3" xfId="0" applyNumberFormat="1" applyFont="1" applyBorder="1"/>
    <xf numFmtId="165" fontId="2" fillId="0" borderId="6" xfId="0" applyNumberFormat="1" applyFont="1" applyBorder="1"/>
    <xf numFmtId="0" fontId="0" fillId="0" borderId="11" xfId="0" applyBorder="1"/>
    <xf numFmtId="164" fontId="0" fillId="0" borderId="11" xfId="1" applyNumberFormat="1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165" fontId="2" fillId="0" borderId="12" xfId="0" applyNumberFormat="1" applyFont="1" applyBorder="1"/>
    <xf numFmtId="165" fontId="2" fillId="0" borderId="13" xfId="0" applyNumberFormat="1" applyFont="1" applyBorder="1"/>
    <xf numFmtId="14" fontId="0" fillId="0" borderId="0" xfId="0" applyNumberFormat="1"/>
    <xf numFmtId="167" fontId="0" fillId="0" borderId="0" xfId="2" applyNumberFormat="1" applyFont="1" applyAlignment="1">
      <alignment horizontal="center"/>
    </xf>
    <xf numFmtId="167" fontId="0" fillId="0" borderId="10" xfId="2" applyNumberFormat="1" applyFont="1" applyBorder="1" applyAlignment="1">
      <alignment horizontal="centerContinuous"/>
    </xf>
    <xf numFmtId="0" fontId="0" fillId="0" borderId="1" xfId="0" applyBorder="1"/>
    <xf numFmtId="0" fontId="0" fillId="0" borderId="14" xfId="0" applyBorder="1"/>
    <xf numFmtId="164" fontId="2" fillId="0" borderId="4" xfId="1" applyNumberFormat="1" applyFont="1" applyBorder="1" applyAlignment="1">
      <alignment horizontal="centerContinuous"/>
    </xf>
    <xf numFmtId="10" fontId="0" fillId="0" borderId="0" xfId="0" applyNumberFormat="1"/>
    <xf numFmtId="0" fontId="2" fillId="0" borderId="4" xfId="0" applyFont="1" applyBorder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5" xfId="0" applyBorder="1"/>
    <xf numFmtId="0" fontId="12" fillId="0" borderId="1" xfId="0" applyFont="1" applyBorder="1"/>
    <xf numFmtId="170" fontId="13" fillId="0" borderId="11" xfId="0" applyNumberFormat="1" applyFont="1" applyBorder="1"/>
    <xf numFmtId="0" fontId="12" fillId="0" borderId="15" xfId="0" applyFont="1" applyBorder="1"/>
    <xf numFmtId="170" fontId="14" fillId="0" borderId="13" xfId="0" applyNumberFormat="1" applyFont="1" applyBorder="1"/>
    <xf numFmtId="10" fontId="13" fillId="0" borderId="11" xfId="5" applyNumberFormat="1" applyFont="1" applyBorder="1"/>
    <xf numFmtId="10" fontId="13" fillId="2" borderId="13" xfId="5" applyNumberFormat="1" applyFont="1" applyFill="1" applyBorder="1"/>
    <xf numFmtId="10" fontId="15" fillId="0" borderId="11" xfId="5" applyNumberFormat="1" applyFont="1" applyBorder="1"/>
    <xf numFmtId="170" fontId="12" fillId="0" borderId="11" xfId="0" applyNumberFormat="1" applyFont="1" applyBorder="1"/>
    <xf numFmtId="0" fontId="16" fillId="0" borderId="1" xfId="0" applyFont="1" applyBorder="1"/>
    <xf numFmtId="170" fontId="17" fillId="0" borderId="11" xfId="0" applyNumberFormat="1" applyFont="1" applyBorder="1"/>
    <xf numFmtId="10" fontId="18" fillId="0" borderId="11" xfId="2" applyNumberFormat="1" applyFont="1" applyFill="1" applyBorder="1" applyAlignment="1">
      <alignment horizontal="right"/>
    </xf>
    <xf numFmtId="171" fontId="18" fillId="0" borderId="11" xfId="4" applyNumberFormat="1" applyFont="1" applyBorder="1"/>
    <xf numFmtId="171" fontId="17" fillId="0" borderId="11" xfId="4" applyNumberFormat="1" applyFont="1" applyBorder="1"/>
    <xf numFmtId="0" fontId="16" fillId="0" borderId="15" xfId="0" applyFont="1" applyBorder="1"/>
    <xf numFmtId="171" fontId="17" fillId="0" borderId="13" xfId="4" applyNumberFormat="1" applyFont="1" applyBorder="1"/>
    <xf numFmtId="0" fontId="19" fillId="4" borderId="2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72" fontId="10" fillId="0" borderId="11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10" fontId="10" fillId="2" borderId="11" xfId="0" applyNumberFormat="1" applyFont="1" applyFill="1" applyBorder="1" applyAlignment="1">
      <alignment horizontal="right" vertical="center"/>
    </xf>
    <xf numFmtId="37" fontId="4" fillId="0" borderId="1" xfId="6" applyFont="1" applyBorder="1" applyAlignment="1">
      <alignment horizontal="left"/>
    </xf>
    <xf numFmtId="0" fontId="9" fillId="0" borderId="2" xfId="0" applyFont="1" applyBorder="1" applyAlignment="1">
      <alignment horizontal="left" vertical="center"/>
    </xf>
    <xf numFmtId="10" fontId="9" fillId="0" borderId="12" xfId="0" applyNumberFormat="1" applyFont="1" applyBorder="1" applyAlignment="1">
      <alignment horizontal="right" vertical="center"/>
    </xf>
    <xf numFmtId="6" fontId="4" fillId="0" borderId="11" xfId="0" applyNumberFormat="1" applyFont="1" applyBorder="1" applyAlignment="1">
      <alignment horizontal="right" vertical="center"/>
    </xf>
    <xf numFmtId="5" fontId="4" fillId="0" borderId="11" xfId="0" applyNumberFormat="1" applyFont="1" applyBorder="1" applyAlignment="1">
      <alignment horizontal="right" vertical="center"/>
    </xf>
    <xf numFmtId="0" fontId="9" fillId="0" borderId="15" xfId="0" applyFont="1" applyBorder="1" applyAlignment="1">
      <alignment horizontal="left" vertical="center"/>
    </xf>
    <xf numFmtId="0" fontId="13" fillId="0" borderId="0" xfId="0" applyFont="1"/>
    <xf numFmtId="14" fontId="13" fillId="0" borderId="10" xfId="0" applyNumberFormat="1" applyFont="1" applyBorder="1"/>
    <xf numFmtId="164" fontId="15" fillId="0" borderId="0" xfId="1" applyNumberFormat="1" applyFont="1"/>
    <xf numFmtId="167" fontId="15" fillId="0" borderId="0" xfId="2" applyNumberFormat="1" applyFont="1" applyAlignment="1">
      <alignment horizontal="center"/>
    </xf>
    <xf numFmtId="9" fontId="15" fillId="0" borderId="4" xfId="2" applyFont="1" applyBorder="1" applyAlignment="1">
      <alignment horizontal="center"/>
    </xf>
    <xf numFmtId="165" fontId="15" fillId="0" borderId="5" xfId="0" applyNumberFormat="1" applyFont="1" applyBorder="1"/>
    <xf numFmtId="169" fontId="15" fillId="0" borderId="5" xfId="0" applyNumberFormat="1" applyFont="1" applyBorder="1" applyAlignment="1">
      <alignment horizontal="center"/>
    </xf>
    <xf numFmtId="168" fontId="15" fillId="0" borderId="10" xfId="0" applyNumberFormat="1" applyFont="1" applyBorder="1" applyAlignment="1">
      <alignment horizontal="center"/>
    </xf>
    <xf numFmtId="164" fontId="14" fillId="0" borderId="0" xfId="1" applyNumberFormat="1" applyFont="1" applyBorder="1"/>
    <xf numFmtId="164" fontId="14" fillId="0" borderId="0" xfId="1" applyNumberFormat="1" applyFont="1" applyAlignment="1">
      <alignment horizontal="left" indent="1"/>
    </xf>
    <xf numFmtId="165" fontId="17" fillId="0" borderId="5" xfId="0" applyNumberFormat="1" applyFont="1" applyBorder="1"/>
    <xf numFmtId="164" fontId="17" fillId="0" borderId="5" xfId="1" applyNumberFormat="1" applyFont="1" applyBorder="1"/>
    <xf numFmtId="167" fontId="17" fillId="0" borderId="10" xfId="2" applyNumberFormat="1" applyFont="1" applyBorder="1" applyAlignment="1">
      <alignment horizontal="center"/>
    </xf>
    <xf numFmtId="9" fontId="22" fillId="0" borderId="5" xfId="2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65" fontId="15" fillId="0" borderId="11" xfId="0" applyNumberFormat="1" applyFont="1" applyBorder="1"/>
    <xf numFmtId="164" fontId="14" fillId="0" borderId="11" xfId="1" applyNumberFormat="1" applyFont="1" applyBorder="1"/>
    <xf numFmtId="164" fontId="15" fillId="0" borderId="11" xfId="1" applyNumberFormat="1" applyFont="1" applyBorder="1"/>
    <xf numFmtId="165" fontId="17" fillId="0" borderId="10" xfId="0" applyNumberFormat="1" applyFont="1" applyBorder="1"/>
    <xf numFmtId="164" fontId="15" fillId="0" borderId="0" xfId="1" applyNumberFormat="1" applyFont="1" applyBorder="1"/>
    <xf numFmtId="164" fontId="13" fillId="0" borderId="0" xfId="1" applyNumberFormat="1" applyFont="1" applyBorder="1"/>
    <xf numFmtId="9" fontId="22" fillId="0" borderId="10" xfId="2" applyFont="1" applyBorder="1" applyAlignment="1">
      <alignment horizontal="center"/>
    </xf>
    <xf numFmtId="165" fontId="14" fillId="0" borderId="11" xfId="0" applyNumberFormat="1" applyFont="1" applyBorder="1"/>
    <xf numFmtId="164" fontId="13" fillId="0" borderId="11" xfId="1" applyNumberFormat="1" applyFont="1" applyBorder="1"/>
    <xf numFmtId="4" fontId="23" fillId="2" borderId="0" xfId="3" applyNumberFormat="1" applyFont="1" applyFill="1" applyAlignment="1">
      <alignment horizontal="right" vertical="center"/>
    </xf>
    <xf numFmtId="3" fontId="24" fillId="2" borderId="0" xfId="3" applyNumberFormat="1" applyFont="1" applyFill="1" applyAlignment="1">
      <alignment horizontal="right" vertical="center"/>
    </xf>
    <xf numFmtId="172" fontId="9" fillId="0" borderId="11" xfId="0" applyNumberFormat="1" applyFont="1" applyBorder="1" applyAlignment="1">
      <alignment horizontal="right" vertical="center"/>
    </xf>
    <xf numFmtId="10" fontId="9" fillId="0" borderId="11" xfId="2" applyNumberFormat="1" applyFont="1" applyFill="1" applyBorder="1" applyProtection="1">
      <protection locked="0"/>
    </xf>
    <xf numFmtId="5" fontId="9" fillId="0" borderId="0" xfId="0" applyNumberFormat="1" applyFont="1"/>
    <xf numFmtId="173" fontId="9" fillId="0" borderId="13" xfId="0" applyNumberFormat="1" applyFont="1" applyBorder="1" applyAlignment="1">
      <alignment horizontal="right" vertical="center"/>
    </xf>
    <xf numFmtId="0" fontId="28" fillId="0" borderId="0" xfId="7" applyFont="1"/>
    <xf numFmtId="37" fontId="25" fillId="0" borderId="0" xfId="6" applyFont="1" applyAlignment="1">
      <alignment horizontal="centerContinuous"/>
    </xf>
    <xf numFmtId="37" fontId="27" fillId="0" borderId="0" xfId="8" applyFont="1" applyAlignment="1">
      <alignment horizontal="centerContinuous"/>
    </xf>
    <xf numFmtId="37" fontId="30" fillId="0" borderId="16" xfId="8" applyFont="1" applyBorder="1" applyAlignment="1">
      <alignment horizontal="left"/>
    </xf>
    <xf numFmtId="37" fontId="30" fillId="0" borderId="17" xfId="8" applyFont="1" applyBorder="1" applyAlignment="1">
      <alignment horizontal="left"/>
    </xf>
    <xf numFmtId="37" fontId="31" fillId="0" borderId="17" xfId="8" applyFont="1" applyBorder="1"/>
    <xf numFmtId="37" fontId="31" fillId="0" borderId="17" xfId="8" applyFont="1" applyBorder="1" applyAlignment="1">
      <alignment horizontal="right"/>
    </xf>
    <xf numFmtId="37" fontId="31" fillId="0" borderId="17" xfId="8" applyFont="1" applyBorder="1" applyAlignment="1">
      <alignment horizontal="center"/>
    </xf>
    <xf numFmtId="37" fontId="31" fillId="0" borderId="0" xfId="8" applyFont="1"/>
    <xf numFmtId="0" fontId="26" fillId="0" borderId="0" xfId="7"/>
    <xf numFmtId="37" fontId="32" fillId="0" borderId="18" xfId="8" applyFont="1" applyBorder="1" applyAlignment="1">
      <alignment horizontal="left"/>
    </xf>
    <xf numFmtId="37" fontId="32" fillId="0" borderId="0" xfId="8" applyFont="1" applyAlignment="1">
      <alignment horizontal="left"/>
    </xf>
    <xf numFmtId="37" fontId="31" fillId="0" borderId="19" xfId="8" applyFont="1" applyBorder="1" applyAlignment="1">
      <alignment horizontal="center" wrapText="1"/>
    </xf>
    <xf numFmtId="37" fontId="31" fillId="0" borderId="6" xfId="8" applyFont="1" applyBorder="1"/>
    <xf numFmtId="37" fontId="31" fillId="0" borderId="0" xfId="8" applyFont="1" applyAlignment="1">
      <alignment horizontal="center" wrapText="1"/>
    </xf>
    <xf numFmtId="37" fontId="31" fillId="0" borderId="0" xfId="8" quotePrefix="1" applyFont="1" applyAlignment="1">
      <alignment horizontal="center"/>
    </xf>
    <xf numFmtId="37" fontId="33" fillId="0" borderId="18" xfId="8" applyFont="1" applyBorder="1" applyAlignment="1">
      <alignment horizontal="left"/>
    </xf>
    <xf numFmtId="37" fontId="33" fillId="0" borderId="0" xfId="8" applyFont="1" applyAlignment="1">
      <alignment horizontal="left"/>
    </xf>
    <xf numFmtId="174" fontId="33" fillId="0" borderId="21" xfId="6" applyNumberFormat="1" applyFont="1" applyBorder="1" applyAlignment="1">
      <alignment horizontal="right"/>
    </xf>
    <xf numFmtId="5" fontId="33" fillId="0" borderId="21" xfId="6" applyNumberFormat="1" applyFont="1" applyBorder="1" applyAlignment="1">
      <alignment horizontal="center"/>
    </xf>
    <xf numFmtId="44" fontId="33" fillId="0" borderId="21" xfId="9" applyFont="1" applyFill="1" applyBorder="1" applyAlignment="1">
      <alignment horizontal="right"/>
    </xf>
    <xf numFmtId="10" fontId="33" fillId="0" borderId="21" xfId="10" applyNumberFormat="1" applyFont="1" applyBorder="1"/>
    <xf numFmtId="10" fontId="33" fillId="0" borderId="0" xfId="10" applyNumberFormat="1" applyFont="1" applyBorder="1"/>
    <xf numFmtId="37" fontId="33" fillId="0" borderId="0" xfId="8" applyFont="1"/>
    <xf numFmtId="37" fontId="33" fillId="0" borderId="18" xfId="8" quotePrefix="1" applyFont="1" applyBorder="1" applyAlignment="1">
      <alignment horizontal="left"/>
    </xf>
    <xf numFmtId="37" fontId="33" fillId="0" borderId="0" xfId="8" quotePrefix="1" applyFont="1" applyAlignment="1">
      <alignment horizontal="left"/>
    </xf>
    <xf numFmtId="37" fontId="33" fillId="0" borderId="18" xfId="8" applyFont="1" applyBorder="1"/>
    <xf numFmtId="37" fontId="32" fillId="0" borderId="0" xfId="8" applyFont="1"/>
    <xf numFmtId="37" fontId="32" fillId="0" borderId="21" xfId="8" applyFont="1" applyBorder="1"/>
    <xf numFmtId="37" fontId="33" fillId="0" borderId="18" xfId="6" applyFont="1" applyBorder="1" applyAlignment="1">
      <alignment horizontal="left"/>
    </xf>
    <xf numFmtId="37" fontId="33" fillId="0" borderId="0" xfId="6" applyFont="1" applyAlignment="1">
      <alignment horizontal="left"/>
    </xf>
    <xf numFmtId="37" fontId="34" fillId="0" borderId="3" xfId="6" applyFont="1" applyBorder="1" applyProtection="1">
      <protection locked="0"/>
    </xf>
    <xf numFmtId="1" fontId="32" fillId="0" borderId="0" xfId="6" applyNumberFormat="1" applyFont="1" applyAlignment="1" applyProtection="1">
      <alignment horizontal="right"/>
      <protection locked="0"/>
    </xf>
    <xf numFmtId="37" fontId="32" fillId="0" borderId="0" xfId="6" applyFont="1" applyProtection="1">
      <protection locked="0"/>
    </xf>
    <xf numFmtId="37" fontId="33" fillId="0" borderId="0" xfId="6" applyFont="1"/>
    <xf numFmtId="37" fontId="34" fillId="0" borderId="0" xfId="6" applyFont="1" applyProtection="1">
      <protection locked="0"/>
    </xf>
    <xf numFmtId="37" fontId="33" fillId="0" borderId="18" xfId="6" applyFont="1" applyBorder="1"/>
    <xf numFmtId="12" fontId="32" fillId="0" borderId="21" xfId="8" applyNumberFormat="1" applyFont="1" applyBorder="1" applyAlignment="1">
      <alignment horizontal="center"/>
    </xf>
    <xf numFmtId="37" fontId="33" fillId="0" borderId="18" xfId="6" quotePrefix="1" applyFont="1" applyBorder="1" applyAlignment="1">
      <alignment horizontal="left"/>
    </xf>
    <xf numFmtId="37" fontId="33" fillId="0" borderId="0" xfId="6" quotePrefix="1" applyFont="1" applyAlignment="1">
      <alignment horizontal="left"/>
    </xf>
    <xf numFmtId="10" fontId="33" fillId="0" borderId="1" xfId="10" applyNumberFormat="1" applyFont="1" applyBorder="1"/>
    <xf numFmtId="7" fontId="34" fillId="0" borderId="0" xfId="8" applyNumberFormat="1" applyFont="1"/>
    <xf numFmtId="7" fontId="33" fillId="0" borderId="0" xfId="8" applyNumberFormat="1" applyFont="1"/>
    <xf numFmtId="7" fontId="32" fillId="0" borderId="0" xfId="8" applyNumberFormat="1" applyFont="1"/>
    <xf numFmtId="37" fontId="33" fillId="0" borderId="22" xfId="8" applyFont="1" applyBorder="1"/>
    <xf numFmtId="37" fontId="33" fillId="0" borderId="23" xfId="8" applyFont="1" applyBorder="1"/>
    <xf numFmtId="37" fontId="34" fillId="0" borderId="23" xfId="8" applyFont="1" applyBorder="1" applyAlignment="1">
      <alignment horizontal="left"/>
    </xf>
    <xf numFmtId="176" fontId="32" fillId="0" borderId="23" xfId="8" applyNumberFormat="1" applyFont="1" applyBorder="1"/>
    <xf numFmtId="37" fontId="32" fillId="0" borderId="23" xfId="8" applyFont="1" applyBorder="1"/>
    <xf numFmtId="37" fontId="4" fillId="0" borderId="0" xfId="8" applyFont="1"/>
    <xf numFmtId="37" fontId="35" fillId="0" borderId="0" xfId="8" applyFont="1"/>
    <xf numFmtId="37" fontId="30" fillId="0" borderId="0" xfId="8" quotePrefix="1" applyFont="1" applyAlignment="1">
      <alignment horizontal="left"/>
    </xf>
    <xf numFmtId="37" fontId="36" fillId="0" borderId="0" xfId="8" applyFont="1" applyAlignment="1">
      <alignment horizontal="center"/>
    </xf>
    <xf numFmtId="37" fontId="35" fillId="0" borderId="0" xfId="8" quotePrefix="1" applyFont="1" applyAlignment="1">
      <alignment horizontal="right"/>
    </xf>
    <xf numFmtId="37" fontId="4" fillId="0" borderId="0" xfId="8" applyFont="1" applyAlignment="1">
      <alignment horizontal="left"/>
    </xf>
    <xf numFmtId="37" fontId="4" fillId="0" borderId="21" xfId="8" applyFont="1" applyBorder="1"/>
    <xf numFmtId="177" fontId="32" fillId="0" borderId="24" xfId="8" applyNumberFormat="1" applyFont="1" applyBorder="1" applyAlignment="1" applyProtection="1">
      <alignment horizontal="center"/>
      <protection locked="0"/>
    </xf>
    <xf numFmtId="1" fontId="35" fillId="0" borderId="20" xfId="8" applyNumberFormat="1" applyFont="1" applyBorder="1" applyAlignment="1">
      <alignment horizontal="center"/>
    </xf>
    <xf numFmtId="12" fontId="35" fillId="0" borderId="21" xfId="8" applyNumberFormat="1" applyFont="1" applyBorder="1" applyAlignment="1">
      <alignment horizontal="center"/>
    </xf>
    <xf numFmtId="1" fontId="35" fillId="0" borderId="21" xfId="8" applyNumberFormat="1" applyFont="1" applyBorder="1" applyAlignment="1">
      <alignment horizontal="center"/>
    </xf>
    <xf numFmtId="1" fontId="30" fillId="0" borderId="24" xfId="8" applyNumberFormat="1" applyFont="1" applyBorder="1" applyAlignment="1">
      <alignment horizontal="center"/>
    </xf>
    <xf numFmtId="37" fontId="4" fillId="0" borderId="0" xfId="6" applyFont="1"/>
    <xf numFmtId="37" fontId="4" fillId="0" borderId="0" xfId="8" quotePrefix="1" applyFont="1" applyAlignment="1">
      <alignment horizontal="left"/>
    </xf>
    <xf numFmtId="37" fontId="32" fillId="0" borderId="20" xfId="8" applyFont="1" applyBorder="1" applyAlignment="1">
      <alignment horizontal="center"/>
    </xf>
    <xf numFmtId="7" fontId="4" fillId="0" borderId="21" xfId="11" applyNumberFormat="1" applyFont="1" applyFill="1" applyBorder="1" applyProtection="1">
      <protection locked="0"/>
    </xf>
    <xf numFmtId="37" fontId="37" fillId="0" borderId="0" xfId="8" applyFont="1" applyAlignment="1">
      <alignment horizontal="left"/>
    </xf>
    <xf numFmtId="37" fontId="34" fillId="0" borderId="0" xfId="8" applyFont="1" applyAlignment="1">
      <alignment horizontal="left"/>
    </xf>
    <xf numFmtId="37" fontId="38" fillId="0" borderId="0" xfId="8" applyFont="1" applyAlignment="1">
      <alignment horizontal="center"/>
    </xf>
    <xf numFmtId="7" fontId="4" fillId="5" borderId="21" xfId="11" applyNumberFormat="1" applyFont="1" applyFill="1" applyBorder="1" applyProtection="1">
      <protection locked="0"/>
    </xf>
    <xf numFmtId="7" fontId="4" fillId="0" borderId="0" xfId="8" applyNumberFormat="1" applyFont="1"/>
    <xf numFmtId="37" fontId="30" fillId="0" borderId="0" xfId="8" applyFont="1" applyAlignment="1">
      <alignment horizontal="left"/>
    </xf>
    <xf numFmtId="7" fontId="30" fillId="0" borderId="21" xfId="8" applyNumberFormat="1" applyFont="1" applyBorder="1"/>
    <xf numFmtId="37" fontId="39" fillId="0" borderId="0" xfId="8" applyFont="1"/>
    <xf numFmtId="7" fontId="35" fillId="0" borderId="0" xfId="8" applyNumberFormat="1" applyFont="1"/>
    <xf numFmtId="5" fontId="35" fillId="0" borderId="0" xfId="8" quotePrefix="1" applyNumberFormat="1" applyFont="1" applyAlignment="1">
      <alignment horizontal="left"/>
    </xf>
    <xf numFmtId="7" fontId="4" fillId="0" borderId="21" xfId="8" applyNumberFormat="1" applyFont="1" applyBorder="1" applyAlignment="1" applyProtection="1">
      <alignment horizontal="right"/>
      <protection locked="0"/>
    </xf>
    <xf numFmtId="7" fontId="4" fillId="0" borderId="21" xfId="8" applyNumberFormat="1" applyFont="1" applyBorder="1" applyProtection="1">
      <protection locked="0"/>
    </xf>
    <xf numFmtId="5" fontId="30" fillId="0" borderId="0" xfId="8" applyNumberFormat="1" applyFont="1"/>
    <xf numFmtId="9" fontId="30" fillId="0" borderId="21" xfId="8" applyNumberFormat="1" applyFont="1" applyBorder="1"/>
    <xf numFmtId="9" fontId="30" fillId="0" borderId="0" xfId="8" applyNumberFormat="1" applyFont="1"/>
    <xf numFmtId="37" fontId="30" fillId="0" borderId="0" xfId="8" applyFont="1"/>
    <xf numFmtId="7" fontId="30" fillId="0" borderId="21" xfId="12" applyNumberFormat="1" applyFont="1" applyBorder="1" applyProtection="1"/>
    <xf numFmtId="42" fontId="30" fillId="0" borderId="0" xfId="12" applyFont="1" applyBorder="1" applyProtection="1"/>
    <xf numFmtId="37" fontId="4" fillId="0" borderId="0" xfId="6" applyFont="1" applyAlignment="1">
      <alignment horizontal="left"/>
    </xf>
    <xf numFmtId="7" fontId="4" fillId="5" borderId="21" xfId="8" applyNumberFormat="1" applyFont="1" applyFill="1" applyBorder="1" applyProtection="1">
      <protection locked="0"/>
    </xf>
    <xf numFmtId="37" fontId="30" fillId="0" borderId="0" xfId="6" applyFont="1" applyAlignment="1">
      <alignment horizontal="left"/>
    </xf>
    <xf numFmtId="7" fontId="30" fillId="0" borderId="21" xfId="8" applyNumberFormat="1" applyFont="1" applyBorder="1" applyProtection="1">
      <protection locked="0"/>
    </xf>
    <xf numFmtId="7" fontId="34" fillId="0" borderId="5" xfId="6" applyNumberFormat="1" applyFont="1" applyBorder="1" applyAlignment="1" applyProtection="1">
      <alignment vertical="center"/>
      <protection locked="0"/>
    </xf>
    <xf numFmtId="7" fontId="30" fillId="0" borderId="5" xfId="8" applyNumberFormat="1" applyFont="1" applyBorder="1"/>
    <xf numFmtId="37" fontId="40" fillId="0" borderId="0" xfId="8" applyFont="1" applyProtection="1">
      <protection locked="0"/>
    </xf>
    <xf numFmtId="7" fontId="30" fillId="0" borderId="0" xfId="8" applyNumberFormat="1" applyFont="1"/>
    <xf numFmtId="2" fontId="30" fillId="0" borderId="21" xfId="8" applyNumberFormat="1" applyFont="1" applyBorder="1"/>
    <xf numFmtId="2" fontId="30" fillId="0" borderId="5" xfId="8" applyNumberFormat="1" applyFont="1" applyBorder="1"/>
    <xf numFmtId="2" fontId="30" fillId="0" borderId="3" xfId="8" applyNumberFormat="1" applyFont="1" applyBorder="1"/>
    <xf numFmtId="37" fontId="30" fillId="0" borderId="25" xfId="8" quotePrefix="1" applyFont="1" applyBorder="1" applyAlignment="1">
      <alignment horizontal="left"/>
    </xf>
    <xf numFmtId="37" fontId="34" fillId="0" borderId="25" xfId="8" quotePrefix="1" applyFont="1" applyBorder="1" applyAlignment="1">
      <alignment horizontal="left"/>
    </xf>
    <xf numFmtId="37" fontId="4" fillId="0" borderId="25" xfId="8" applyFont="1" applyBorder="1"/>
    <xf numFmtId="37" fontId="41" fillId="0" borderId="0" xfId="6" applyFont="1" applyProtection="1">
      <protection locked="0"/>
    </xf>
    <xf numFmtId="37" fontId="30" fillId="0" borderId="0" xfId="6" applyFont="1" applyProtection="1">
      <protection locked="0"/>
    </xf>
    <xf numFmtId="37" fontId="30" fillId="0" borderId="0" xfId="8" applyFont="1" applyProtection="1">
      <protection locked="0"/>
    </xf>
    <xf numFmtId="37" fontId="4" fillId="0" borderId="0" xfId="6" applyFont="1" applyAlignment="1" applyProtection="1">
      <alignment horizontal="left"/>
      <protection locked="0"/>
    </xf>
    <xf numFmtId="37" fontId="4" fillId="0" borderId="0" xfId="8" applyFont="1" applyProtection="1">
      <protection locked="0"/>
    </xf>
    <xf numFmtId="37" fontId="30" fillId="0" borderId="0" xfId="6" applyFont="1" applyAlignment="1" applyProtection="1">
      <alignment horizontal="left"/>
      <protection locked="0"/>
    </xf>
    <xf numFmtId="0" fontId="4" fillId="0" borderId="0" xfId="7" applyFont="1" applyAlignment="1">
      <alignment horizontal="left"/>
    </xf>
    <xf numFmtId="37" fontId="31" fillId="0" borderId="0" xfId="8" applyFont="1" applyAlignment="1" applyProtection="1">
      <alignment horizontal="left"/>
      <protection locked="0"/>
    </xf>
    <xf numFmtId="37" fontId="33" fillId="0" borderId="0" xfId="8" applyFont="1" applyProtection="1">
      <protection locked="0"/>
    </xf>
    <xf numFmtId="44" fontId="42" fillId="0" borderId="20" xfId="9" applyFont="1" applyFill="1" applyBorder="1" applyAlignment="1">
      <alignment horizontal="right"/>
    </xf>
    <xf numFmtId="14" fontId="32" fillId="0" borderId="20" xfId="8" applyNumberFormat="1" applyFont="1" applyBorder="1" applyAlignment="1">
      <alignment horizontal="center"/>
    </xf>
    <xf numFmtId="14" fontId="32" fillId="0" borderId="21" xfId="8" applyNumberFormat="1" applyFont="1" applyBorder="1" applyAlignment="1">
      <alignment horizontal="center"/>
    </xf>
    <xf numFmtId="44" fontId="33" fillId="0" borderId="24" xfId="9" applyFont="1" applyFill="1" applyBorder="1" applyAlignment="1">
      <alignment horizontal="right"/>
    </xf>
    <xf numFmtId="174" fontId="33" fillId="0" borderId="24" xfId="6" applyNumberFormat="1" applyFont="1" applyBorder="1" applyAlignment="1">
      <alignment horizontal="right"/>
    </xf>
    <xf numFmtId="5" fontId="33" fillId="0" borderId="24" xfId="6" applyNumberFormat="1" applyFont="1" applyBorder="1" applyAlignment="1">
      <alignment horizontal="center"/>
    </xf>
    <xf numFmtId="37" fontId="32" fillId="0" borderId="6" xfId="8" applyFont="1" applyBorder="1"/>
    <xf numFmtId="10" fontId="33" fillId="0" borderId="24" xfId="10" applyNumberFormat="1" applyFont="1" applyBorder="1"/>
    <xf numFmtId="14" fontId="43" fillId="0" borderId="4" xfId="8" applyNumberFormat="1" applyFont="1" applyBorder="1" applyAlignment="1">
      <alignment horizontal="center"/>
    </xf>
    <xf numFmtId="14" fontId="45" fillId="0" borderId="26" xfId="8" applyNumberFormat="1" applyFont="1" applyBorder="1" applyAlignment="1">
      <alignment horizontal="center"/>
    </xf>
    <xf numFmtId="38" fontId="33" fillId="0" borderId="15" xfId="4" applyNumberFormat="1" applyFont="1" applyFill="1" applyBorder="1" applyAlignment="1">
      <alignment horizontal="centerContinuous"/>
    </xf>
    <xf numFmtId="37" fontId="32" fillId="0" borderId="13" xfId="8" applyFont="1" applyBorder="1" applyAlignment="1">
      <alignment horizontal="centerContinuous"/>
    </xf>
    <xf numFmtId="37" fontId="32" fillId="0" borderId="5" xfId="8" applyFont="1" applyBorder="1" applyAlignment="1">
      <alignment horizontal="centerContinuous"/>
    </xf>
    <xf numFmtId="37" fontId="32" fillId="0" borderId="10" xfId="8" applyFont="1" applyBorder="1" applyAlignment="1">
      <alignment horizontal="centerContinuous"/>
    </xf>
    <xf numFmtId="37" fontId="33" fillId="0" borderId="4" xfId="6" applyFont="1" applyBorder="1" applyAlignment="1" applyProtection="1">
      <alignment horizontal="centerContinuous"/>
      <protection locked="0"/>
    </xf>
    <xf numFmtId="1" fontId="46" fillId="0" borderId="21" xfId="1" applyNumberFormat="1" applyFont="1" applyBorder="1" applyAlignment="1">
      <alignment horizontal="right"/>
    </xf>
    <xf numFmtId="37" fontId="46" fillId="0" borderId="21" xfId="8" applyFont="1" applyBorder="1" applyAlignment="1" applyProtection="1">
      <alignment horizontal="right"/>
      <protection locked="0"/>
    </xf>
    <xf numFmtId="44" fontId="46" fillId="0" borderId="21" xfId="9" applyFont="1" applyFill="1" applyBorder="1" applyAlignment="1">
      <alignment horizontal="right"/>
    </xf>
    <xf numFmtId="37" fontId="32" fillId="0" borderId="10" xfId="6" applyFont="1" applyBorder="1" applyAlignment="1">
      <alignment horizontal="center"/>
    </xf>
    <xf numFmtId="43" fontId="33" fillId="0" borderId="21" xfId="1" applyFont="1" applyBorder="1" applyAlignment="1">
      <alignment horizontal="center"/>
    </xf>
    <xf numFmtId="175" fontId="33" fillId="0" borderId="21" xfId="9" applyNumberFormat="1" applyFont="1" applyFill="1" applyBorder="1" applyAlignment="1">
      <alignment horizontal="center"/>
    </xf>
    <xf numFmtId="37" fontId="32" fillId="0" borderId="0" xfId="8" applyFont="1" applyAlignment="1">
      <alignment horizontal="center"/>
    </xf>
    <xf numFmtId="14" fontId="45" fillId="0" borderId="0" xfId="8" applyNumberFormat="1" applyFont="1" applyAlignment="1">
      <alignment horizontal="center"/>
    </xf>
    <xf numFmtId="14" fontId="44" fillId="0" borderId="0" xfId="6" applyNumberFormat="1" applyFont="1" applyAlignment="1">
      <alignment horizontal="right"/>
    </xf>
    <xf numFmtId="37" fontId="30" fillId="0" borderId="15" xfId="8" applyFont="1" applyBorder="1"/>
    <xf numFmtId="9" fontId="48" fillId="0" borderId="21" xfId="2" applyFont="1" applyFill="1" applyBorder="1" applyAlignment="1" applyProtection="1">
      <alignment horizontal="center"/>
      <protection locked="0"/>
    </xf>
    <xf numFmtId="164" fontId="47" fillId="0" borderId="21" xfId="1" applyNumberFormat="1" applyFont="1" applyBorder="1"/>
    <xf numFmtId="164" fontId="4" fillId="5" borderId="21" xfId="1" applyNumberFormat="1" applyFont="1" applyFill="1" applyBorder="1"/>
    <xf numFmtId="165" fontId="47" fillId="0" borderId="21" xfId="8" applyNumberFormat="1" applyFont="1" applyBorder="1"/>
    <xf numFmtId="165" fontId="48" fillId="0" borderId="21" xfId="8" applyNumberFormat="1" applyFont="1" applyBorder="1"/>
    <xf numFmtId="165" fontId="48" fillId="0" borderId="21" xfId="12" applyNumberFormat="1" applyFont="1" applyBorder="1" applyProtection="1"/>
    <xf numFmtId="164" fontId="10" fillId="0" borderId="21" xfId="1" applyNumberFormat="1" applyFont="1" applyBorder="1"/>
    <xf numFmtId="164" fontId="4" fillId="6" borderId="21" xfId="1" applyNumberFormat="1" applyFont="1" applyFill="1" applyBorder="1"/>
    <xf numFmtId="165" fontId="10" fillId="0" borderId="21" xfId="1" applyNumberFormat="1" applyFont="1" applyBorder="1"/>
    <xf numFmtId="165" fontId="48" fillId="0" borderId="21" xfId="1" applyNumberFormat="1" applyFont="1" applyBorder="1" applyProtection="1">
      <protection locked="0"/>
    </xf>
    <xf numFmtId="1" fontId="30" fillId="0" borderId="21" xfId="8" applyNumberFormat="1" applyFont="1" applyBorder="1" applyAlignment="1">
      <alignment horizontal="center"/>
    </xf>
    <xf numFmtId="37" fontId="10" fillId="0" borderId="21" xfId="8" applyFont="1" applyBorder="1" applyAlignment="1">
      <alignment horizontal="center"/>
    </xf>
    <xf numFmtId="37" fontId="49" fillId="0" borderId="21" xfId="8" applyFont="1" applyBorder="1" applyAlignment="1">
      <alignment horizontal="center"/>
    </xf>
    <xf numFmtId="165" fontId="50" fillId="0" borderId="21" xfId="8" applyNumberFormat="1" applyFont="1" applyBorder="1"/>
    <xf numFmtId="164" fontId="9" fillId="0" borderId="21" xfId="1" applyNumberFormat="1" applyFont="1" applyBorder="1"/>
    <xf numFmtId="168" fontId="30" fillId="0" borderId="21" xfId="8" applyNumberFormat="1" applyFont="1" applyBorder="1"/>
    <xf numFmtId="168" fontId="48" fillId="0" borderId="21" xfId="1" applyNumberFormat="1" applyFont="1" applyBorder="1" applyAlignment="1">
      <alignment horizontal="center"/>
    </xf>
    <xf numFmtId="168" fontId="30" fillId="0" borderId="21" xfId="1" applyNumberFormat="1" applyFont="1" applyBorder="1" applyAlignment="1">
      <alignment horizontal="center"/>
    </xf>
    <xf numFmtId="168" fontId="4" fillId="0" borderId="0" xfId="8" applyNumberFormat="1" applyFont="1"/>
    <xf numFmtId="168" fontId="4" fillId="0" borderId="0" xfId="1" applyNumberFormat="1" applyFont="1" applyAlignment="1">
      <alignment horizontal="center"/>
    </xf>
    <xf numFmtId="168" fontId="48" fillId="0" borderId="5" xfId="1" applyNumberFormat="1" applyFont="1" applyBorder="1" applyAlignment="1">
      <alignment horizontal="center"/>
    </xf>
    <xf numFmtId="37" fontId="37" fillId="0" borderId="21" xfId="8" quotePrefix="1" applyFont="1" applyBorder="1" applyAlignment="1">
      <alignment horizontal="center"/>
    </xf>
    <xf numFmtId="37" fontId="37" fillId="0" borderId="20" xfId="8" quotePrefix="1" applyFont="1" applyBorder="1" applyAlignment="1">
      <alignment horizontal="center"/>
    </xf>
    <xf numFmtId="10" fontId="42" fillId="0" borderId="14" xfId="10" applyNumberFormat="1" applyFont="1" applyBorder="1" applyAlignment="1">
      <alignment horizontal="center"/>
    </xf>
    <xf numFmtId="10" fontId="33" fillId="0" borderId="21" xfId="10" applyNumberFormat="1" applyFont="1" applyBorder="1" applyAlignment="1">
      <alignment horizontal="center"/>
    </xf>
    <xf numFmtId="165" fontId="10" fillId="0" borderId="21" xfId="8" applyNumberFormat="1" applyFont="1" applyBorder="1"/>
    <xf numFmtId="165" fontId="49" fillId="0" borderId="21" xfId="8" applyNumberFormat="1" applyFont="1" applyBorder="1"/>
    <xf numFmtId="9" fontId="49" fillId="0" borderId="21" xfId="2" applyFont="1" applyFill="1" applyBorder="1" applyAlignment="1" applyProtection="1">
      <alignment horizontal="center"/>
      <protection locked="0"/>
    </xf>
    <xf numFmtId="165" fontId="49" fillId="0" borderId="21" xfId="12" applyNumberFormat="1" applyFont="1" applyBorder="1" applyProtection="1"/>
    <xf numFmtId="165" fontId="49" fillId="0" borderId="21" xfId="1" applyNumberFormat="1" applyFont="1" applyBorder="1" applyProtection="1">
      <protection locked="0"/>
    </xf>
    <xf numFmtId="168" fontId="49" fillId="0" borderId="21" xfId="1" applyNumberFormat="1" applyFont="1" applyBorder="1" applyAlignment="1">
      <alignment horizontal="center"/>
    </xf>
    <xf numFmtId="168" fontId="49" fillId="0" borderId="5" xfId="1" applyNumberFormat="1" applyFont="1" applyBorder="1" applyAlignment="1">
      <alignment horizontal="center"/>
    </xf>
    <xf numFmtId="164" fontId="10" fillId="5" borderId="21" xfId="1" applyNumberFormat="1" applyFont="1" applyFill="1" applyBorder="1"/>
    <xf numFmtId="10" fontId="46" fillId="0" borderId="21" xfId="10" applyNumberFormat="1" applyFont="1" applyBorder="1" applyAlignment="1">
      <alignment horizontal="center"/>
    </xf>
    <xf numFmtId="14" fontId="44" fillId="0" borderId="21" xfId="6" applyNumberFormat="1" applyFont="1" applyBorder="1" applyAlignment="1">
      <alignment horizontal="center"/>
    </xf>
    <xf numFmtId="14" fontId="44" fillId="0" borderId="4" xfId="6" applyNumberFormat="1" applyFont="1" applyBorder="1" applyAlignment="1">
      <alignment horizontal="center"/>
    </xf>
    <xf numFmtId="14" fontId="44" fillId="0" borderId="26" xfId="6" applyNumberFormat="1" applyFont="1" applyBorder="1" applyAlignment="1">
      <alignment horizontal="center"/>
    </xf>
    <xf numFmtId="0" fontId="28" fillId="0" borderId="0" xfId="7" applyFont="1" applyAlignment="1">
      <alignment horizontal="center"/>
    </xf>
    <xf numFmtId="37" fontId="31" fillId="0" borderId="0" xfId="8" applyFont="1" applyAlignment="1">
      <alignment horizontal="center"/>
    </xf>
    <xf numFmtId="37" fontId="33" fillId="0" borderId="0" xfId="8" applyFont="1" applyAlignment="1">
      <alignment horizontal="center"/>
    </xf>
    <xf numFmtId="0" fontId="26" fillId="0" borderId="0" xfId="7" applyAlignment="1">
      <alignment horizontal="center"/>
    </xf>
    <xf numFmtId="0" fontId="26" fillId="0" borderId="21" xfId="7" applyBorder="1" applyAlignment="1">
      <alignment horizontal="center"/>
    </xf>
    <xf numFmtId="0" fontId="26" fillId="0" borderId="21" xfId="7" applyBorder="1" applyAlignment="1">
      <alignment horizontal="left"/>
    </xf>
    <xf numFmtId="0" fontId="4" fillId="0" borderId="21" xfId="7" applyFont="1" applyBorder="1" applyAlignment="1">
      <alignment horizontal="left"/>
    </xf>
    <xf numFmtId="178" fontId="0" fillId="0" borderId="0" xfId="1" applyNumberFormat="1" applyFont="1" applyAlignment="1">
      <alignment horizontal="left" indent="1"/>
    </xf>
    <xf numFmtId="14" fontId="10" fillId="0" borderId="0" xfId="3" applyNumberFormat="1" applyFont="1"/>
    <xf numFmtId="164" fontId="10" fillId="0" borderId="0" xfId="1" applyNumberFormat="1" applyFont="1"/>
    <xf numFmtId="43" fontId="9" fillId="0" borderId="0" xfId="1" applyFont="1"/>
    <xf numFmtId="43" fontId="0" fillId="0" borderId="0" xfId="4" applyFont="1" applyAlignment="1">
      <alignment horizontal="right"/>
    </xf>
    <xf numFmtId="164" fontId="13" fillId="0" borderId="0" xfId="1" applyNumberFormat="1" applyFont="1"/>
    <xf numFmtId="179" fontId="9" fillId="0" borderId="21" xfId="7" applyNumberFormat="1" applyFont="1" applyBorder="1" applyAlignment="1">
      <alignment horizontal="left"/>
    </xf>
    <xf numFmtId="0" fontId="30" fillId="0" borderId="24" xfId="7" applyFont="1" applyBorder="1" applyAlignment="1">
      <alignment horizontal="center"/>
    </xf>
    <xf numFmtId="0" fontId="30" fillId="0" borderId="20" xfId="7" applyFont="1" applyBorder="1" applyAlignment="1">
      <alignment horizontal="center"/>
    </xf>
    <xf numFmtId="14" fontId="13" fillId="0" borderId="9" xfId="0" applyNumberFormat="1" applyFont="1" applyBorder="1"/>
    <xf numFmtId="0" fontId="4" fillId="0" borderId="0" xfId="3" applyAlignment="1">
      <alignment horizontal="right"/>
    </xf>
    <xf numFmtId="0" fontId="51" fillId="0" borderId="0" xfId="13"/>
    <xf numFmtId="0" fontId="17" fillId="0" borderId="27" xfId="0" applyFont="1" applyBorder="1" applyAlignment="1">
      <alignment horizontal="centerContinuous"/>
    </xf>
    <xf numFmtId="9" fontId="14" fillId="0" borderId="4" xfId="2" applyFont="1" applyBorder="1" applyAlignment="1">
      <alignment horizontal="center"/>
    </xf>
    <xf numFmtId="165" fontId="14" fillId="0" borderId="5" xfId="0" applyNumberFormat="1" applyFont="1" applyBorder="1"/>
    <xf numFmtId="168" fontId="14" fillId="0" borderId="10" xfId="0" applyNumberFormat="1" applyFont="1" applyBorder="1" applyAlignment="1">
      <alignment horizontal="center"/>
    </xf>
    <xf numFmtId="167" fontId="14" fillId="0" borderId="5" xfId="0" applyNumberFormat="1" applyFont="1" applyBorder="1" applyAlignment="1">
      <alignment horizontal="center"/>
    </xf>
    <xf numFmtId="37" fontId="52" fillId="2" borderId="0" xfId="3" applyNumberFormat="1" applyFont="1" applyFill="1" applyAlignment="1">
      <alignment horizontal="center" vertical="center"/>
    </xf>
    <xf numFmtId="2" fontId="30" fillId="0" borderId="0" xfId="8" applyNumberFormat="1" applyFont="1"/>
    <xf numFmtId="167" fontId="30" fillId="0" borderId="21" xfId="2" applyNumberFormat="1" applyFont="1" applyBorder="1" applyAlignment="1">
      <alignment horizontal="center"/>
    </xf>
    <xf numFmtId="167" fontId="48" fillId="0" borderId="21" xfId="2" applyNumberFormat="1" applyFont="1" applyBorder="1" applyAlignment="1">
      <alignment horizontal="center"/>
    </xf>
    <xf numFmtId="14" fontId="53" fillId="0" borderId="10" xfId="0" applyNumberFormat="1" applyFont="1" applyBorder="1" applyAlignment="1">
      <alignment horizontal="center"/>
    </xf>
    <xf numFmtId="167" fontId="14" fillId="0" borderId="5" xfId="2" applyNumberFormat="1" applyFont="1" applyBorder="1" applyAlignment="1">
      <alignment horizontal="center"/>
    </xf>
    <xf numFmtId="165" fontId="14" fillId="0" borderId="0" xfId="0" applyNumberFormat="1" applyFont="1" applyAlignment="1">
      <alignment horizontal="left" indent="1"/>
    </xf>
    <xf numFmtId="165" fontId="14" fillId="0" borderId="0" xfId="0" applyNumberFormat="1" applyFont="1"/>
    <xf numFmtId="164" fontId="15" fillId="0" borderId="0" xfId="1" applyNumberFormat="1" applyFont="1" applyFill="1"/>
    <xf numFmtId="167" fontId="15" fillId="0" borderId="0" xfId="2" applyNumberFormat="1" applyFont="1" applyFill="1" applyAlignment="1">
      <alignment horizontal="center"/>
    </xf>
    <xf numFmtId="43" fontId="14" fillId="0" borderId="0" xfId="1" applyFont="1" applyFill="1" applyAlignment="1">
      <alignment horizontal="left" indent="2"/>
    </xf>
    <xf numFmtId="164" fontId="14" fillId="0" borderId="0" xfId="1" applyNumberFormat="1" applyFont="1" applyFill="1" applyBorder="1"/>
    <xf numFmtId="164" fontId="21" fillId="0" borderId="0" xfId="1" applyNumberFormat="1" applyFont="1" applyFill="1" applyAlignment="1">
      <alignment horizontal="left" indent="1"/>
    </xf>
    <xf numFmtId="43" fontId="15" fillId="0" borderId="0" xfId="1" applyFont="1" applyFill="1" applyAlignment="1">
      <alignment horizontal="center"/>
    </xf>
    <xf numFmtId="164" fontId="14" fillId="0" borderId="0" xfId="1" applyNumberFormat="1" applyFont="1" applyFill="1" applyAlignment="1">
      <alignment horizontal="left" indent="1"/>
    </xf>
    <xf numFmtId="164" fontId="14" fillId="0" borderId="0" xfId="1" applyNumberFormat="1" applyFont="1" applyFill="1" applyAlignment="1">
      <alignment horizontal="left" indent="2"/>
    </xf>
    <xf numFmtId="164" fontId="0" fillId="0" borderId="0" xfId="1" applyNumberFormat="1" applyFont="1" applyFill="1"/>
    <xf numFmtId="164" fontId="0" fillId="0" borderId="0" xfId="1" applyNumberFormat="1" applyFont="1" applyFill="1" applyBorder="1"/>
    <xf numFmtId="167" fontId="0" fillId="0" borderId="0" xfId="2" applyNumberFormat="1" applyFont="1" applyFill="1" applyAlignment="1">
      <alignment horizontal="center"/>
    </xf>
    <xf numFmtId="164" fontId="17" fillId="0" borderId="5" xfId="1" applyNumberFormat="1" applyFont="1" applyFill="1" applyBorder="1"/>
    <xf numFmtId="167" fontId="17" fillId="0" borderId="10" xfId="2" applyNumberFormat="1" applyFont="1" applyFill="1" applyBorder="1" applyAlignment="1">
      <alignment horizontal="center"/>
    </xf>
    <xf numFmtId="0" fontId="14" fillId="0" borderId="0" xfId="0" applyFont="1" applyAlignment="1">
      <alignment horizontal="left" indent="2"/>
    </xf>
    <xf numFmtId="0" fontId="7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0" fontId="54" fillId="0" borderId="0" xfId="3" applyFont="1" applyAlignment="1">
      <alignment vertical="center"/>
    </xf>
    <xf numFmtId="0" fontId="8" fillId="0" borderId="0" xfId="0" applyFont="1" applyAlignment="1">
      <alignment horizontal="right" vertical="center"/>
    </xf>
    <xf numFmtId="37" fontId="25" fillId="0" borderId="0" xfId="6" applyFont="1" applyAlignment="1">
      <alignment horizontal="center"/>
    </xf>
    <xf numFmtId="0" fontId="27" fillId="0" borderId="0" xfId="7" applyFont="1"/>
    <xf numFmtId="37" fontId="31" fillId="0" borderId="17" xfId="8" applyFont="1" applyBorder="1" applyAlignment="1">
      <alignment horizontal="center"/>
    </xf>
    <xf numFmtId="37" fontId="32" fillId="0" borderId="4" xfId="8" applyFont="1" applyBorder="1" applyAlignment="1">
      <alignment horizontal="center"/>
    </xf>
    <xf numFmtId="37" fontId="32" fillId="0" borderId="5" xfId="8" applyFont="1" applyBorder="1" applyAlignment="1">
      <alignment horizontal="center"/>
    </xf>
    <xf numFmtId="37" fontId="32" fillId="0" borderId="10" xfId="8" applyFont="1" applyBorder="1" applyAlignment="1">
      <alignment horizontal="center"/>
    </xf>
  </cellXfs>
  <cellStyles count="14">
    <cellStyle name="Comma" xfId="1" builtinId="3"/>
    <cellStyle name="Comma [0] 2" xfId="11" xr:uid="{75A01340-B3FA-4786-9C1B-D73DD1545411}"/>
    <cellStyle name="Comma 2" xfId="4" xr:uid="{4ECEC718-D0B9-44B0-A50D-8390A9F61D9C}"/>
    <cellStyle name="Currency [0] 2" xfId="12" xr:uid="{72D28C2E-AC9F-4DA2-A528-B33B57C16516}"/>
    <cellStyle name="Currency 2" xfId="9" xr:uid="{82020BA7-654E-4EA1-8E7F-09660EE2B4CD}"/>
    <cellStyle name="Hyperlink" xfId="13" builtinId="8"/>
    <cellStyle name="Normal" xfId="0" builtinId="0"/>
    <cellStyle name="Normal 2" xfId="3" xr:uid="{5A624FA7-27EB-4B61-A8AB-E353E6D594CC}"/>
    <cellStyle name="Normal 3" xfId="7" xr:uid="{18FFE129-F233-4FF4-B1E0-2B7E424C672D}"/>
    <cellStyle name="Normal_ADJUST" xfId="6" xr:uid="{D12D6542-674D-4E06-B6F4-B3E3E9F4BF1D}"/>
    <cellStyle name="Normal_OPERAT" xfId="8" xr:uid="{4AD8E9EC-AB3C-4AEF-A506-E08475DB433E}"/>
    <cellStyle name="Percent" xfId="2" builtinId="5"/>
    <cellStyle name="Percent 2" xfId="5" xr:uid="{0AC3E295-D0E6-4CA8-A7E6-37C736559AE3}"/>
    <cellStyle name="Percent 3" xfId="10" xr:uid="{89DBECA0-1266-4178-B5B2-7CB90E26058B}"/>
  </cellStyles>
  <dxfs count="7">
    <dxf>
      <font>
        <color auto="1"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0</xdr:row>
      <xdr:rowOff>142875</xdr:rowOff>
    </xdr:from>
    <xdr:to>
      <xdr:col>9</xdr:col>
      <xdr:colOff>257713</xdr:colOff>
      <xdr:row>32</xdr:row>
      <xdr:rowOff>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BCA62-0630-7DFC-0E79-A72918AA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1925" y="142875"/>
          <a:ext cx="3858163" cy="55347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93</xdr:col>
      <xdr:colOff>0</xdr:colOff>
      <xdr:row>6</xdr:row>
      <xdr:rowOff>0</xdr:rowOff>
    </xdr:from>
    <xdr:to>
      <xdr:col>109</xdr:col>
      <xdr:colOff>496977</xdr:colOff>
      <xdr:row>38</xdr:row>
      <xdr:rowOff>57838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9ABE1-7AC4-431A-B039-E784947C4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40925" y="323850"/>
          <a:ext cx="10993528" cy="52394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31230</xdr:rowOff>
    </xdr:from>
    <xdr:to>
      <xdr:col>22</xdr:col>
      <xdr:colOff>454955</xdr:colOff>
      <xdr:row>90</xdr:row>
      <xdr:rowOff>113564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982F62-6059-5C59-FA83-9383D53E6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9345"/>
          <a:ext cx="15242127" cy="13193966"/>
        </a:xfrm>
        <a:prstGeom prst="rect">
          <a:avLst/>
        </a:prstGeom>
      </xdr:spPr>
    </xdr:pic>
    <xdr:clientData/>
  </xdr:twoCellAnchor>
  <xdr:twoCellAnchor editAs="oneCell">
    <xdr:from>
      <xdr:col>23</xdr:col>
      <xdr:colOff>218606</xdr:colOff>
      <xdr:row>28</xdr:row>
      <xdr:rowOff>109304</xdr:rowOff>
    </xdr:from>
    <xdr:to>
      <xdr:col>55</xdr:col>
      <xdr:colOff>199825</xdr:colOff>
      <xdr:row>117</xdr:row>
      <xdr:rowOff>87271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5AC42-BF54-F4C3-EF5A-4EC5BC9D5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45983" y="4543894"/>
          <a:ext cx="20962687" cy="138750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216337</xdr:colOff>
      <xdr:row>7</xdr:row>
      <xdr:rowOff>112059</xdr:rowOff>
    </xdr:from>
    <xdr:to>
      <xdr:col>21</xdr:col>
      <xdr:colOff>544276</xdr:colOff>
      <xdr:row>59</xdr:row>
      <xdr:rowOff>112059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92933-1310-9C36-EB10-A3F4F994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013" y="1419412"/>
          <a:ext cx="14484704" cy="9711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mcassessor.maricopa.gov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3B00-7933-4E05-8D6C-EEA105618C05}">
  <sheetPr>
    <pageSetUpPr fitToPage="1"/>
  </sheetPr>
  <dimension ref="B1:L98"/>
  <sheetViews>
    <sheetView showGridLines="0" tabSelected="1" zoomScale="70" zoomScaleNormal="70" zoomScalePageLayoutView="70" workbookViewId="0">
      <selection activeCell="K13" sqref="K13"/>
    </sheetView>
  </sheetViews>
  <sheetFormatPr defaultRowHeight="12.75" outlineLevelRow="1"/>
  <cols>
    <col min="1" max="1" width="9.5703125" style="137" customWidth="1"/>
    <col min="2" max="2" width="48.140625" style="200" customWidth="1"/>
    <col min="3" max="3" width="3.5703125" style="200" customWidth="1"/>
    <col min="4" max="4" width="16.140625" style="200" customWidth="1"/>
    <col min="5" max="9" width="17.7109375" style="200" customWidth="1"/>
    <col min="10" max="10" width="9" style="137"/>
    <col min="11" max="11" width="255.5703125" style="299" bestFit="1" customWidth="1"/>
    <col min="12" max="253" width="9" style="137"/>
    <col min="254" max="255" width="0" style="137" hidden="1" customWidth="1"/>
    <col min="256" max="256" width="48.140625" style="137" customWidth="1"/>
    <col min="257" max="257" width="3.5703125" style="137" customWidth="1"/>
    <col min="258" max="258" width="16.140625" style="137" customWidth="1"/>
    <col min="259" max="260" width="13.7109375" style="137" customWidth="1"/>
    <col min="261" max="261" width="15" style="137" customWidth="1"/>
    <col min="262" max="263" width="15.140625" style="137" customWidth="1"/>
    <col min="264" max="264" width="21.28515625" style="137" customWidth="1"/>
    <col min="265" max="509" width="9" style="137"/>
    <col min="510" max="511" width="0" style="137" hidden="1" customWidth="1"/>
    <col min="512" max="512" width="48.140625" style="137" customWidth="1"/>
    <col min="513" max="513" width="3.5703125" style="137" customWidth="1"/>
    <col min="514" max="514" width="16.140625" style="137" customWidth="1"/>
    <col min="515" max="516" width="13.7109375" style="137" customWidth="1"/>
    <col min="517" max="517" width="15" style="137" customWidth="1"/>
    <col min="518" max="519" width="15.140625" style="137" customWidth="1"/>
    <col min="520" max="520" width="21.28515625" style="137" customWidth="1"/>
    <col min="521" max="765" width="9" style="137"/>
    <col min="766" max="767" width="0" style="137" hidden="1" customWidth="1"/>
    <col min="768" max="768" width="48.140625" style="137" customWidth="1"/>
    <col min="769" max="769" width="3.5703125" style="137" customWidth="1"/>
    <col min="770" max="770" width="16.140625" style="137" customWidth="1"/>
    <col min="771" max="772" width="13.7109375" style="137" customWidth="1"/>
    <col min="773" max="773" width="15" style="137" customWidth="1"/>
    <col min="774" max="775" width="15.140625" style="137" customWidth="1"/>
    <col min="776" max="776" width="21.28515625" style="137" customWidth="1"/>
    <col min="777" max="1021" width="9" style="137"/>
    <col min="1022" max="1023" width="0" style="137" hidden="1" customWidth="1"/>
    <col min="1024" max="1024" width="48.140625" style="137" customWidth="1"/>
    <col min="1025" max="1025" width="3.5703125" style="137" customWidth="1"/>
    <col min="1026" max="1026" width="16.140625" style="137" customWidth="1"/>
    <col min="1027" max="1028" width="13.7109375" style="137" customWidth="1"/>
    <col min="1029" max="1029" width="15" style="137" customWidth="1"/>
    <col min="1030" max="1031" width="15.140625" style="137" customWidth="1"/>
    <col min="1032" max="1032" width="21.28515625" style="137" customWidth="1"/>
    <col min="1033" max="1277" width="9" style="137"/>
    <col min="1278" max="1279" width="0" style="137" hidden="1" customWidth="1"/>
    <col min="1280" max="1280" width="48.140625" style="137" customWidth="1"/>
    <col min="1281" max="1281" width="3.5703125" style="137" customWidth="1"/>
    <col min="1282" max="1282" width="16.140625" style="137" customWidth="1"/>
    <col min="1283" max="1284" width="13.7109375" style="137" customWidth="1"/>
    <col min="1285" max="1285" width="15" style="137" customWidth="1"/>
    <col min="1286" max="1287" width="15.140625" style="137" customWidth="1"/>
    <col min="1288" max="1288" width="21.28515625" style="137" customWidth="1"/>
    <col min="1289" max="1533" width="9" style="137"/>
    <col min="1534" max="1535" width="0" style="137" hidden="1" customWidth="1"/>
    <col min="1536" max="1536" width="48.140625" style="137" customWidth="1"/>
    <col min="1537" max="1537" width="3.5703125" style="137" customWidth="1"/>
    <col min="1538" max="1538" width="16.140625" style="137" customWidth="1"/>
    <col min="1539" max="1540" width="13.7109375" style="137" customWidth="1"/>
    <col min="1541" max="1541" width="15" style="137" customWidth="1"/>
    <col min="1542" max="1543" width="15.140625" style="137" customWidth="1"/>
    <col min="1544" max="1544" width="21.28515625" style="137" customWidth="1"/>
    <col min="1545" max="1789" width="9" style="137"/>
    <col min="1790" max="1791" width="0" style="137" hidden="1" customWidth="1"/>
    <col min="1792" max="1792" width="48.140625" style="137" customWidth="1"/>
    <col min="1793" max="1793" width="3.5703125" style="137" customWidth="1"/>
    <col min="1794" max="1794" width="16.140625" style="137" customWidth="1"/>
    <col min="1795" max="1796" width="13.7109375" style="137" customWidth="1"/>
    <col min="1797" max="1797" width="15" style="137" customWidth="1"/>
    <col min="1798" max="1799" width="15.140625" style="137" customWidth="1"/>
    <col min="1800" max="1800" width="21.28515625" style="137" customWidth="1"/>
    <col min="1801" max="2045" width="9" style="137"/>
    <col min="2046" max="2047" width="0" style="137" hidden="1" customWidth="1"/>
    <col min="2048" max="2048" width="48.140625" style="137" customWidth="1"/>
    <col min="2049" max="2049" width="3.5703125" style="137" customWidth="1"/>
    <col min="2050" max="2050" width="16.140625" style="137" customWidth="1"/>
    <col min="2051" max="2052" width="13.7109375" style="137" customWidth="1"/>
    <col min="2053" max="2053" width="15" style="137" customWidth="1"/>
    <col min="2054" max="2055" width="15.140625" style="137" customWidth="1"/>
    <col min="2056" max="2056" width="21.28515625" style="137" customWidth="1"/>
    <col min="2057" max="2301" width="9" style="137"/>
    <col min="2302" max="2303" width="0" style="137" hidden="1" customWidth="1"/>
    <col min="2304" max="2304" width="48.140625" style="137" customWidth="1"/>
    <col min="2305" max="2305" width="3.5703125" style="137" customWidth="1"/>
    <col min="2306" max="2306" width="16.140625" style="137" customWidth="1"/>
    <col min="2307" max="2308" width="13.7109375" style="137" customWidth="1"/>
    <col min="2309" max="2309" width="15" style="137" customWidth="1"/>
    <col min="2310" max="2311" width="15.140625" style="137" customWidth="1"/>
    <col min="2312" max="2312" width="21.28515625" style="137" customWidth="1"/>
    <col min="2313" max="2557" width="9" style="137"/>
    <col min="2558" max="2559" width="0" style="137" hidden="1" customWidth="1"/>
    <col min="2560" max="2560" width="48.140625" style="137" customWidth="1"/>
    <col min="2561" max="2561" width="3.5703125" style="137" customWidth="1"/>
    <col min="2562" max="2562" width="16.140625" style="137" customWidth="1"/>
    <col min="2563" max="2564" width="13.7109375" style="137" customWidth="1"/>
    <col min="2565" max="2565" width="15" style="137" customWidth="1"/>
    <col min="2566" max="2567" width="15.140625" style="137" customWidth="1"/>
    <col min="2568" max="2568" width="21.28515625" style="137" customWidth="1"/>
    <col min="2569" max="2813" width="9" style="137"/>
    <col min="2814" max="2815" width="0" style="137" hidden="1" customWidth="1"/>
    <col min="2816" max="2816" width="48.140625" style="137" customWidth="1"/>
    <col min="2817" max="2817" width="3.5703125" style="137" customWidth="1"/>
    <col min="2818" max="2818" width="16.140625" style="137" customWidth="1"/>
    <col min="2819" max="2820" width="13.7109375" style="137" customWidth="1"/>
    <col min="2821" max="2821" width="15" style="137" customWidth="1"/>
    <col min="2822" max="2823" width="15.140625" style="137" customWidth="1"/>
    <col min="2824" max="2824" width="21.28515625" style="137" customWidth="1"/>
    <col min="2825" max="3069" width="9" style="137"/>
    <col min="3070" max="3071" width="0" style="137" hidden="1" customWidth="1"/>
    <col min="3072" max="3072" width="48.140625" style="137" customWidth="1"/>
    <col min="3073" max="3073" width="3.5703125" style="137" customWidth="1"/>
    <col min="3074" max="3074" width="16.140625" style="137" customWidth="1"/>
    <col min="3075" max="3076" width="13.7109375" style="137" customWidth="1"/>
    <col min="3077" max="3077" width="15" style="137" customWidth="1"/>
    <col min="3078" max="3079" width="15.140625" style="137" customWidth="1"/>
    <col min="3080" max="3080" width="21.28515625" style="137" customWidth="1"/>
    <col min="3081" max="3325" width="9" style="137"/>
    <col min="3326" max="3327" width="0" style="137" hidden="1" customWidth="1"/>
    <col min="3328" max="3328" width="48.140625" style="137" customWidth="1"/>
    <col min="3329" max="3329" width="3.5703125" style="137" customWidth="1"/>
    <col min="3330" max="3330" width="16.140625" style="137" customWidth="1"/>
    <col min="3331" max="3332" width="13.7109375" style="137" customWidth="1"/>
    <col min="3333" max="3333" width="15" style="137" customWidth="1"/>
    <col min="3334" max="3335" width="15.140625" style="137" customWidth="1"/>
    <col min="3336" max="3336" width="21.28515625" style="137" customWidth="1"/>
    <col min="3337" max="3581" width="9" style="137"/>
    <col min="3582" max="3583" width="0" style="137" hidden="1" customWidth="1"/>
    <col min="3584" max="3584" width="48.140625" style="137" customWidth="1"/>
    <col min="3585" max="3585" width="3.5703125" style="137" customWidth="1"/>
    <col min="3586" max="3586" width="16.140625" style="137" customWidth="1"/>
    <col min="3587" max="3588" width="13.7109375" style="137" customWidth="1"/>
    <col min="3589" max="3589" width="15" style="137" customWidth="1"/>
    <col min="3590" max="3591" width="15.140625" style="137" customWidth="1"/>
    <col min="3592" max="3592" width="21.28515625" style="137" customWidth="1"/>
    <col min="3593" max="3837" width="9" style="137"/>
    <col min="3838" max="3839" width="0" style="137" hidden="1" customWidth="1"/>
    <col min="3840" max="3840" width="48.140625" style="137" customWidth="1"/>
    <col min="3841" max="3841" width="3.5703125" style="137" customWidth="1"/>
    <col min="3842" max="3842" width="16.140625" style="137" customWidth="1"/>
    <col min="3843" max="3844" width="13.7109375" style="137" customWidth="1"/>
    <col min="3845" max="3845" width="15" style="137" customWidth="1"/>
    <col min="3846" max="3847" width="15.140625" style="137" customWidth="1"/>
    <col min="3848" max="3848" width="21.28515625" style="137" customWidth="1"/>
    <col min="3849" max="4093" width="9" style="137"/>
    <col min="4094" max="4095" width="0" style="137" hidden="1" customWidth="1"/>
    <col min="4096" max="4096" width="48.140625" style="137" customWidth="1"/>
    <col min="4097" max="4097" width="3.5703125" style="137" customWidth="1"/>
    <col min="4098" max="4098" width="16.140625" style="137" customWidth="1"/>
    <col min="4099" max="4100" width="13.7109375" style="137" customWidth="1"/>
    <col min="4101" max="4101" width="15" style="137" customWidth="1"/>
    <col min="4102" max="4103" width="15.140625" style="137" customWidth="1"/>
    <col min="4104" max="4104" width="21.28515625" style="137" customWidth="1"/>
    <col min="4105" max="4349" width="9" style="137"/>
    <col min="4350" max="4351" width="0" style="137" hidden="1" customWidth="1"/>
    <col min="4352" max="4352" width="48.140625" style="137" customWidth="1"/>
    <col min="4353" max="4353" width="3.5703125" style="137" customWidth="1"/>
    <col min="4354" max="4354" width="16.140625" style="137" customWidth="1"/>
    <col min="4355" max="4356" width="13.7109375" style="137" customWidth="1"/>
    <col min="4357" max="4357" width="15" style="137" customWidth="1"/>
    <col min="4358" max="4359" width="15.140625" style="137" customWidth="1"/>
    <col min="4360" max="4360" width="21.28515625" style="137" customWidth="1"/>
    <col min="4361" max="4605" width="9" style="137"/>
    <col min="4606" max="4607" width="0" style="137" hidden="1" customWidth="1"/>
    <col min="4608" max="4608" width="48.140625" style="137" customWidth="1"/>
    <col min="4609" max="4609" width="3.5703125" style="137" customWidth="1"/>
    <col min="4610" max="4610" width="16.140625" style="137" customWidth="1"/>
    <col min="4611" max="4612" width="13.7109375" style="137" customWidth="1"/>
    <col min="4613" max="4613" width="15" style="137" customWidth="1"/>
    <col min="4614" max="4615" width="15.140625" style="137" customWidth="1"/>
    <col min="4616" max="4616" width="21.28515625" style="137" customWidth="1"/>
    <col min="4617" max="4861" width="9" style="137"/>
    <col min="4862" max="4863" width="0" style="137" hidden="1" customWidth="1"/>
    <col min="4864" max="4864" width="48.140625" style="137" customWidth="1"/>
    <col min="4865" max="4865" width="3.5703125" style="137" customWidth="1"/>
    <col min="4866" max="4866" width="16.140625" style="137" customWidth="1"/>
    <col min="4867" max="4868" width="13.7109375" style="137" customWidth="1"/>
    <col min="4869" max="4869" width="15" style="137" customWidth="1"/>
    <col min="4870" max="4871" width="15.140625" style="137" customWidth="1"/>
    <col min="4872" max="4872" width="21.28515625" style="137" customWidth="1"/>
    <col min="4873" max="5117" width="9" style="137"/>
    <col min="5118" max="5119" width="0" style="137" hidden="1" customWidth="1"/>
    <col min="5120" max="5120" width="48.140625" style="137" customWidth="1"/>
    <col min="5121" max="5121" width="3.5703125" style="137" customWidth="1"/>
    <col min="5122" max="5122" width="16.140625" style="137" customWidth="1"/>
    <col min="5123" max="5124" width="13.7109375" style="137" customWidth="1"/>
    <col min="5125" max="5125" width="15" style="137" customWidth="1"/>
    <col min="5126" max="5127" width="15.140625" style="137" customWidth="1"/>
    <col min="5128" max="5128" width="21.28515625" style="137" customWidth="1"/>
    <col min="5129" max="5373" width="9" style="137"/>
    <col min="5374" max="5375" width="0" style="137" hidden="1" customWidth="1"/>
    <col min="5376" max="5376" width="48.140625" style="137" customWidth="1"/>
    <col min="5377" max="5377" width="3.5703125" style="137" customWidth="1"/>
    <col min="5378" max="5378" width="16.140625" style="137" customWidth="1"/>
    <col min="5379" max="5380" width="13.7109375" style="137" customWidth="1"/>
    <col min="5381" max="5381" width="15" style="137" customWidth="1"/>
    <col min="5382" max="5383" width="15.140625" style="137" customWidth="1"/>
    <col min="5384" max="5384" width="21.28515625" style="137" customWidth="1"/>
    <col min="5385" max="5629" width="9" style="137"/>
    <col min="5630" max="5631" width="0" style="137" hidden="1" customWidth="1"/>
    <col min="5632" max="5632" width="48.140625" style="137" customWidth="1"/>
    <col min="5633" max="5633" width="3.5703125" style="137" customWidth="1"/>
    <col min="5634" max="5634" width="16.140625" style="137" customWidth="1"/>
    <col min="5635" max="5636" width="13.7109375" style="137" customWidth="1"/>
    <col min="5637" max="5637" width="15" style="137" customWidth="1"/>
    <col min="5638" max="5639" width="15.140625" style="137" customWidth="1"/>
    <col min="5640" max="5640" width="21.28515625" style="137" customWidth="1"/>
    <col min="5641" max="5885" width="9" style="137"/>
    <col min="5886" max="5887" width="0" style="137" hidden="1" customWidth="1"/>
    <col min="5888" max="5888" width="48.140625" style="137" customWidth="1"/>
    <col min="5889" max="5889" width="3.5703125" style="137" customWidth="1"/>
    <col min="5890" max="5890" width="16.140625" style="137" customWidth="1"/>
    <col min="5891" max="5892" width="13.7109375" style="137" customWidth="1"/>
    <col min="5893" max="5893" width="15" style="137" customWidth="1"/>
    <col min="5894" max="5895" width="15.140625" style="137" customWidth="1"/>
    <col min="5896" max="5896" width="21.28515625" style="137" customWidth="1"/>
    <col min="5897" max="6141" width="9" style="137"/>
    <col min="6142" max="6143" width="0" style="137" hidden="1" customWidth="1"/>
    <col min="6144" max="6144" width="48.140625" style="137" customWidth="1"/>
    <col min="6145" max="6145" width="3.5703125" style="137" customWidth="1"/>
    <col min="6146" max="6146" width="16.140625" style="137" customWidth="1"/>
    <col min="6147" max="6148" width="13.7109375" style="137" customWidth="1"/>
    <col min="6149" max="6149" width="15" style="137" customWidth="1"/>
    <col min="6150" max="6151" width="15.140625" style="137" customWidth="1"/>
    <col min="6152" max="6152" width="21.28515625" style="137" customWidth="1"/>
    <col min="6153" max="6397" width="9" style="137"/>
    <col min="6398" max="6399" width="0" style="137" hidden="1" customWidth="1"/>
    <col min="6400" max="6400" width="48.140625" style="137" customWidth="1"/>
    <col min="6401" max="6401" width="3.5703125" style="137" customWidth="1"/>
    <col min="6402" max="6402" width="16.140625" style="137" customWidth="1"/>
    <col min="6403" max="6404" width="13.7109375" style="137" customWidth="1"/>
    <col min="6405" max="6405" width="15" style="137" customWidth="1"/>
    <col min="6406" max="6407" width="15.140625" style="137" customWidth="1"/>
    <col min="6408" max="6408" width="21.28515625" style="137" customWidth="1"/>
    <col min="6409" max="6653" width="9" style="137"/>
    <col min="6654" max="6655" width="0" style="137" hidden="1" customWidth="1"/>
    <col min="6656" max="6656" width="48.140625" style="137" customWidth="1"/>
    <col min="6657" max="6657" width="3.5703125" style="137" customWidth="1"/>
    <col min="6658" max="6658" width="16.140625" style="137" customWidth="1"/>
    <col min="6659" max="6660" width="13.7109375" style="137" customWidth="1"/>
    <col min="6661" max="6661" width="15" style="137" customWidth="1"/>
    <col min="6662" max="6663" width="15.140625" style="137" customWidth="1"/>
    <col min="6664" max="6664" width="21.28515625" style="137" customWidth="1"/>
    <col min="6665" max="6909" width="9" style="137"/>
    <col min="6910" max="6911" width="0" style="137" hidden="1" customWidth="1"/>
    <col min="6912" max="6912" width="48.140625" style="137" customWidth="1"/>
    <col min="6913" max="6913" width="3.5703125" style="137" customWidth="1"/>
    <col min="6914" max="6914" width="16.140625" style="137" customWidth="1"/>
    <col min="6915" max="6916" width="13.7109375" style="137" customWidth="1"/>
    <col min="6917" max="6917" width="15" style="137" customWidth="1"/>
    <col min="6918" max="6919" width="15.140625" style="137" customWidth="1"/>
    <col min="6920" max="6920" width="21.28515625" style="137" customWidth="1"/>
    <col min="6921" max="7165" width="9" style="137"/>
    <col min="7166" max="7167" width="0" style="137" hidden="1" customWidth="1"/>
    <col min="7168" max="7168" width="48.140625" style="137" customWidth="1"/>
    <col min="7169" max="7169" width="3.5703125" style="137" customWidth="1"/>
    <col min="7170" max="7170" width="16.140625" style="137" customWidth="1"/>
    <col min="7171" max="7172" width="13.7109375" style="137" customWidth="1"/>
    <col min="7173" max="7173" width="15" style="137" customWidth="1"/>
    <col min="7174" max="7175" width="15.140625" style="137" customWidth="1"/>
    <col min="7176" max="7176" width="21.28515625" style="137" customWidth="1"/>
    <col min="7177" max="7421" width="9" style="137"/>
    <col min="7422" max="7423" width="0" style="137" hidden="1" customWidth="1"/>
    <col min="7424" max="7424" width="48.140625" style="137" customWidth="1"/>
    <col min="7425" max="7425" width="3.5703125" style="137" customWidth="1"/>
    <col min="7426" max="7426" width="16.140625" style="137" customWidth="1"/>
    <col min="7427" max="7428" width="13.7109375" style="137" customWidth="1"/>
    <col min="7429" max="7429" width="15" style="137" customWidth="1"/>
    <col min="7430" max="7431" width="15.140625" style="137" customWidth="1"/>
    <col min="7432" max="7432" width="21.28515625" style="137" customWidth="1"/>
    <col min="7433" max="7677" width="9" style="137"/>
    <col min="7678" max="7679" width="0" style="137" hidden="1" customWidth="1"/>
    <col min="7680" max="7680" width="48.140625" style="137" customWidth="1"/>
    <col min="7681" max="7681" width="3.5703125" style="137" customWidth="1"/>
    <col min="7682" max="7682" width="16.140625" style="137" customWidth="1"/>
    <col min="7683" max="7684" width="13.7109375" style="137" customWidth="1"/>
    <col min="7685" max="7685" width="15" style="137" customWidth="1"/>
    <col min="7686" max="7687" width="15.140625" style="137" customWidth="1"/>
    <col min="7688" max="7688" width="21.28515625" style="137" customWidth="1"/>
    <col min="7689" max="7933" width="9" style="137"/>
    <col min="7934" max="7935" width="0" style="137" hidden="1" customWidth="1"/>
    <col min="7936" max="7936" width="48.140625" style="137" customWidth="1"/>
    <col min="7937" max="7937" width="3.5703125" style="137" customWidth="1"/>
    <col min="7938" max="7938" width="16.140625" style="137" customWidth="1"/>
    <col min="7939" max="7940" width="13.7109375" style="137" customWidth="1"/>
    <col min="7941" max="7941" width="15" style="137" customWidth="1"/>
    <col min="7942" max="7943" width="15.140625" style="137" customWidth="1"/>
    <col min="7944" max="7944" width="21.28515625" style="137" customWidth="1"/>
    <col min="7945" max="8189" width="9" style="137"/>
    <col min="8190" max="8191" width="0" style="137" hidden="1" customWidth="1"/>
    <col min="8192" max="8192" width="48.140625" style="137" customWidth="1"/>
    <col min="8193" max="8193" width="3.5703125" style="137" customWidth="1"/>
    <col min="8194" max="8194" width="16.140625" style="137" customWidth="1"/>
    <col min="8195" max="8196" width="13.7109375" style="137" customWidth="1"/>
    <col min="8197" max="8197" width="15" style="137" customWidth="1"/>
    <col min="8198" max="8199" width="15.140625" style="137" customWidth="1"/>
    <col min="8200" max="8200" width="21.28515625" style="137" customWidth="1"/>
    <col min="8201" max="8445" width="9" style="137"/>
    <col min="8446" max="8447" width="0" style="137" hidden="1" customWidth="1"/>
    <col min="8448" max="8448" width="48.140625" style="137" customWidth="1"/>
    <col min="8449" max="8449" width="3.5703125" style="137" customWidth="1"/>
    <col min="8450" max="8450" width="16.140625" style="137" customWidth="1"/>
    <col min="8451" max="8452" width="13.7109375" style="137" customWidth="1"/>
    <col min="8453" max="8453" width="15" style="137" customWidth="1"/>
    <col min="8454" max="8455" width="15.140625" style="137" customWidth="1"/>
    <col min="8456" max="8456" width="21.28515625" style="137" customWidth="1"/>
    <col min="8457" max="8701" width="9" style="137"/>
    <col min="8702" max="8703" width="0" style="137" hidden="1" customWidth="1"/>
    <col min="8704" max="8704" width="48.140625" style="137" customWidth="1"/>
    <col min="8705" max="8705" width="3.5703125" style="137" customWidth="1"/>
    <col min="8706" max="8706" width="16.140625" style="137" customWidth="1"/>
    <col min="8707" max="8708" width="13.7109375" style="137" customWidth="1"/>
    <col min="8709" max="8709" width="15" style="137" customWidth="1"/>
    <col min="8710" max="8711" width="15.140625" style="137" customWidth="1"/>
    <col min="8712" max="8712" width="21.28515625" style="137" customWidth="1"/>
    <col min="8713" max="8957" width="9" style="137"/>
    <col min="8958" max="8959" width="0" style="137" hidden="1" customWidth="1"/>
    <col min="8960" max="8960" width="48.140625" style="137" customWidth="1"/>
    <col min="8961" max="8961" width="3.5703125" style="137" customWidth="1"/>
    <col min="8962" max="8962" width="16.140625" style="137" customWidth="1"/>
    <col min="8963" max="8964" width="13.7109375" style="137" customWidth="1"/>
    <col min="8965" max="8965" width="15" style="137" customWidth="1"/>
    <col min="8966" max="8967" width="15.140625" style="137" customWidth="1"/>
    <col min="8968" max="8968" width="21.28515625" style="137" customWidth="1"/>
    <col min="8969" max="9213" width="9" style="137"/>
    <col min="9214" max="9215" width="0" style="137" hidden="1" customWidth="1"/>
    <col min="9216" max="9216" width="48.140625" style="137" customWidth="1"/>
    <col min="9217" max="9217" width="3.5703125" style="137" customWidth="1"/>
    <col min="9218" max="9218" width="16.140625" style="137" customWidth="1"/>
    <col min="9219" max="9220" width="13.7109375" style="137" customWidth="1"/>
    <col min="9221" max="9221" width="15" style="137" customWidth="1"/>
    <col min="9222" max="9223" width="15.140625" style="137" customWidth="1"/>
    <col min="9224" max="9224" width="21.28515625" style="137" customWidth="1"/>
    <col min="9225" max="9469" width="9" style="137"/>
    <col min="9470" max="9471" width="0" style="137" hidden="1" customWidth="1"/>
    <col min="9472" max="9472" width="48.140625" style="137" customWidth="1"/>
    <col min="9473" max="9473" width="3.5703125" style="137" customWidth="1"/>
    <col min="9474" max="9474" width="16.140625" style="137" customWidth="1"/>
    <col min="9475" max="9476" width="13.7109375" style="137" customWidth="1"/>
    <col min="9477" max="9477" width="15" style="137" customWidth="1"/>
    <col min="9478" max="9479" width="15.140625" style="137" customWidth="1"/>
    <col min="9480" max="9480" width="21.28515625" style="137" customWidth="1"/>
    <col min="9481" max="9725" width="9" style="137"/>
    <col min="9726" max="9727" width="0" style="137" hidden="1" customWidth="1"/>
    <col min="9728" max="9728" width="48.140625" style="137" customWidth="1"/>
    <col min="9729" max="9729" width="3.5703125" style="137" customWidth="1"/>
    <col min="9730" max="9730" width="16.140625" style="137" customWidth="1"/>
    <col min="9731" max="9732" width="13.7109375" style="137" customWidth="1"/>
    <col min="9733" max="9733" width="15" style="137" customWidth="1"/>
    <col min="9734" max="9735" width="15.140625" style="137" customWidth="1"/>
    <col min="9736" max="9736" width="21.28515625" style="137" customWidth="1"/>
    <col min="9737" max="9981" width="9" style="137"/>
    <col min="9982" max="9983" width="0" style="137" hidden="1" customWidth="1"/>
    <col min="9984" max="9984" width="48.140625" style="137" customWidth="1"/>
    <col min="9985" max="9985" width="3.5703125" style="137" customWidth="1"/>
    <col min="9986" max="9986" width="16.140625" style="137" customWidth="1"/>
    <col min="9987" max="9988" width="13.7109375" style="137" customWidth="1"/>
    <col min="9989" max="9989" width="15" style="137" customWidth="1"/>
    <col min="9990" max="9991" width="15.140625" style="137" customWidth="1"/>
    <col min="9992" max="9992" width="21.28515625" style="137" customWidth="1"/>
    <col min="9993" max="10237" width="9" style="137"/>
    <col min="10238" max="10239" width="0" style="137" hidden="1" customWidth="1"/>
    <col min="10240" max="10240" width="48.140625" style="137" customWidth="1"/>
    <col min="10241" max="10241" width="3.5703125" style="137" customWidth="1"/>
    <col min="10242" max="10242" width="16.140625" style="137" customWidth="1"/>
    <col min="10243" max="10244" width="13.7109375" style="137" customWidth="1"/>
    <col min="10245" max="10245" width="15" style="137" customWidth="1"/>
    <col min="10246" max="10247" width="15.140625" style="137" customWidth="1"/>
    <col min="10248" max="10248" width="21.28515625" style="137" customWidth="1"/>
    <col min="10249" max="10493" width="9" style="137"/>
    <col min="10494" max="10495" width="0" style="137" hidden="1" customWidth="1"/>
    <col min="10496" max="10496" width="48.140625" style="137" customWidth="1"/>
    <col min="10497" max="10497" width="3.5703125" style="137" customWidth="1"/>
    <col min="10498" max="10498" width="16.140625" style="137" customWidth="1"/>
    <col min="10499" max="10500" width="13.7109375" style="137" customWidth="1"/>
    <col min="10501" max="10501" width="15" style="137" customWidth="1"/>
    <col min="10502" max="10503" width="15.140625" style="137" customWidth="1"/>
    <col min="10504" max="10504" width="21.28515625" style="137" customWidth="1"/>
    <col min="10505" max="10749" width="9" style="137"/>
    <col min="10750" max="10751" width="0" style="137" hidden="1" customWidth="1"/>
    <col min="10752" max="10752" width="48.140625" style="137" customWidth="1"/>
    <col min="10753" max="10753" width="3.5703125" style="137" customWidth="1"/>
    <col min="10754" max="10754" width="16.140625" style="137" customWidth="1"/>
    <col min="10755" max="10756" width="13.7109375" style="137" customWidth="1"/>
    <col min="10757" max="10757" width="15" style="137" customWidth="1"/>
    <col min="10758" max="10759" width="15.140625" style="137" customWidth="1"/>
    <col min="10760" max="10760" width="21.28515625" style="137" customWidth="1"/>
    <col min="10761" max="11005" width="9" style="137"/>
    <col min="11006" max="11007" width="0" style="137" hidden="1" customWidth="1"/>
    <col min="11008" max="11008" width="48.140625" style="137" customWidth="1"/>
    <col min="11009" max="11009" width="3.5703125" style="137" customWidth="1"/>
    <col min="11010" max="11010" width="16.140625" style="137" customWidth="1"/>
    <col min="11011" max="11012" width="13.7109375" style="137" customWidth="1"/>
    <col min="11013" max="11013" width="15" style="137" customWidth="1"/>
    <col min="11014" max="11015" width="15.140625" style="137" customWidth="1"/>
    <col min="11016" max="11016" width="21.28515625" style="137" customWidth="1"/>
    <col min="11017" max="11261" width="9" style="137"/>
    <col min="11262" max="11263" width="0" style="137" hidden="1" customWidth="1"/>
    <col min="11264" max="11264" width="48.140625" style="137" customWidth="1"/>
    <col min="11265" max="11265" width="3.5703125" style="137" customWidth="1"/>
    <col min="11266" max="11266" width="16.140625" style="137" customWidth="1"/>
    <col min="11267" max="11268" width="13.7109375" style="137" customWidth="1"/>
    <col min="11269" max="11269" width="15" style="137" customWidth="1"/>
    <col min="11270" max="11271" width="15.140625" style="137" customWidth="1"/>
    <col min="11272" max="11272" width="21.28515625" style="137" customWidth="1"/>
    <col min="11273" max="11517" width="9" style="137"/>
    <col min="11518" max="11519" width="0" style="137" hidden="1" customWidth="1"/>
    <col min="11520" max="11520" width="48.140625" style="137" customWidth="1"/>
    <col min="11521" max="11521" width="3.5703125" style="137" customWidth="1"/>
    <col min="11522" max="11522" width="16.140625" style="137" customWidth="1"/>
    <col min="11523" max="11524" width="13.7109375" style="137" customWidth="1"/>
    <col min="11525" max="11525" width="15" style="137" customWidth="1"/>
    <col min="11526" max="11527" width="15.140625" style="137" customWidth="1"/>
    <col min="11528" max="11528" width="21.28515625" style="137" customWidth="1"/>
    <col min="11529" max="11773" width="9" style="137"/>
    <col min="11774" max="11775" width="0" style="137" hidden="1" customWidth="1"/>
    <col min="11776" max="11776" width="48.140625" style="137" customWidth="1"/>
    <col min="11777" max="11777" width="3.5703125" style="137" customWidth="1"/>
    <col min="11778" max="11778" width="16.140625" style="137" customWidth="1"/>
    <col min="11779" max="11780" width="13.7109375" style="137" customWidth="1"/>
    <col min="11781" max="11781" width="15" style="137" customWidth="1"/>
    <col min="11782" max="11783" width="15.140625" style="137" customWidth="1"/>
    <col min="11784" max="11784" width="21.28515625" style="137" customWidth="1"/>
    <col min="11785" max="12029" width="9" style="137"/>
    <col min="12030" max="12031" width="0" style="137" hidden="1" customWidth="1"/>
    <col min="12032" max="12032" width="48.140625" style="137" customWidth="1"/>
    <col min="12033" max="12033" width="3.5703125" style="137" customWidth="1"/>
    <col min="12034" max="12034" width="16.140625" style="137" customWidth="1"/>
    <col min="12035" max="12036" width="13.7109375" style="137" customWidth="1"/>
    <col min="12037" max="12037" width="15" style="137" customWidth="1"/>
    <col min="12038" max="12039" width="15.140625" style="137" customWidth="1"/>
    <col min="12040" max="12040" width="21.28515625" style="137" customWidth="1"/>
    <col min="12041" max="12285" width="9" style="137"/>
    <col min="12286" max="12287" width="0" style="137" hidden="1" customWidth="1"/>
    <col min="12288" max="12288" width="48.140625" style="137" customWidth="1"/>
    <col min="12289" max="12289" width="3.5703125" style="137" customWidth="1"/>
    <col min="12290" max="12290" width="16.140625" style="137" customWidth="1"/>
    <col min="12291" max="12292" width="13.7109375" style="137" customWidth="1"/>
    <col min="12293" max="12293" width="15" style="137" customWidth="1"/>
    <col min="12294" max="12295" width="15.140625" style="137" customWidth="1"/>
    <col min="12296" max="12296" width="21.28515625" style="137" customWidth="1"/>
    <col min="12297" max="12541" width="9" style="137"/>
    <col min="12542" max="12543" width="0" style="137" hidden="1" customWidth="1"/>
    <col min="12544" max="12544" width="48.140625" style="137" customWidth="1"/>
    <col min="12545" max="12545" width="3.5703125" style="137" customWidth="1"/>
    <col min="12546" max="12546" width="16.140625" style="137" customWidth="1"/>
    <col min="12547" max="12548" width="13.7109375" style="137" customWidth="1"/>
    <col min="12549" max="12549" width="15" style="137" customWidth="1"/>
    <col min="12550" max="12551" width="15.140625" style="137" customWidth="1"/>
    <col min="12552" max="12552" width="21.28515625" style="137" customWidth="1"/>
    <col min="12553" max="12797" width="9" style="137"/>
    <col min="12798" max="12799" width="0" style="137" hidden="1" customWidth="1"/>
    <col min="12800" max="12800" width="48.140625" style="137" customWidth="1"/>
    <col min="12801" max="12801" width="3.5703125" style="137" customWidth="1"/>
    <col min="12802" max="12802" width="16.140625" style="137" customWidth="1"/>
    <col min="12803" max="12804" width="13.7109375" style="137" customWidth="1"/>
    <col min="12805" max="12805" width="15" style="137" customWidth="1"/>
    <col min="12806" max="12807" width="15.140625" style="137" customWidth="1"/>
    <col min="12808" max="12808" width="21.28515625" style="137" customWidth="1"/>
    <col min="12809" max="13053" width="9" style="137"/>
    <col min="13054" max="13055" width="0" style="137" hidden="1" customWidth="1"/>
    <col min="13056" max="13056" width="48.140625" style="137" customWidth="1"/>
    <col min="13057" max="13057" width="3.5703125" style="137" customWidth="1"/>
    <col min="13058" max="13058" width="16.140625" style="137" customWidth="1"/>
    <col min="13059" max="13060" width="13.7109375" style="137" customWidth="1"/>
    <col min="13061" max="13061" width="15" style="137" customWidth="1"/>
    <col min="13062" max="13063" width="15.140625" style="137" customWidth="1"/>
    <col min="13064" max="13064" width="21.28515625" style="137" customWidth="1"/>
    <col min="13065" max="13309" width="9" style="137"/>
    <col min="13310" max="13311" width="0" style="137" hidden="1" customWidth="1"/>
    <col min="13312" max="13312" width="48.140625" style="137" customWidth="1"/>
    <col min="13313" max="13313" width="3.5703125" style="137" customWidth="1"/>
    <col min="13314" max="13314" width="16.140625" style="137" customWidth="1"/>
    <col min="13315" max="13316" width="13.7109375" style="137" customWidth="1"/>
    <col min="13317" max="13317" width="15" style="137" customWidth="1"/>
    <col min="13318" max="13319" width="15.140625" style="137" customWidth="1"/>
    <col min="13320" max="13320" width="21.28515625" style="137" customWidth="1"/>
    <col min="13321" max="13565" width="9" style="137"/>
    <col min="13566" max="13567" width="0" style="137" hidden="1" customWidth="1"/>
    <col min="13568" max="13568" width="48.140625" style="137" customWidth="1"/>
    <col min="13569" max="13569" width="3.5703125" style="137" customWidth="1"/>
    <col min="13570" max="13570" width="16.140625" style="137" customWidth="1"/>
    <col min="13571" max="13572" width="13.7109375" style="137" customWidth="1"/>
    <col min="13573" max="13573" width="15" style="137" customWidth="1"/>
    <col min="13574" max="13575" width="15.140625" style="137" customWidth="1"/>
    <col min="13576" max="13576" width="21.28515625" style="137" customWidth="1"/>
    <col min="13577" max="13821" width="9" style="137"/>
    <col min="13822" max="13823" width="0" style="137" hidden="1" customWidth="1"/>
    <col min="13824" max="13824" width="48.140625" style="137" customWidth="1"/>
    <col min="13825" max="13825" width="3.5703125" style="137" customWidth="1"/>
    <col min="13826" max="13826" width="16.140625" style="137" customWidth="1"/>
    <col min="13827" max="13828" width="13.7109375" style="137" customWidth="1"/>
    <col min="13829" max="13829" width="15" style="137" customWidth="1"/>
    <col min="13830" max="13831" width="15.140625" style="137" customWidth="1"/>
    <col min="13832" max="13832" width="21.28515625" style="137" customWidth="1"/>
    <col min="13833" max="14077" width="9" style="137"/>
    <col min="14078" max="14079" width="0" style="137" hidden="1" customWidth="1"/>
    <col min="14080" max="14080" width="48.140625" style="137" customWidth="1"/>
    <col min="14081" max="14081" width="3.5703125" style="137" customWidth="1"/>
    <col min="14082" max="14082" width="16.140625" style="137" customWidth="1"/>
    <col min="14083" max="14084" width="13.7109375" style="137" customWidth="1"/>
    <col min="14085" max="14085" width="15" style="137" customWidth="1"/>
    <col min="14086" max="14087" width="15.140625" style="137" customWidth="1"/>
    <col min="14088" max="14088" width="21.28515625" style="137" customWidth="1"/>
    <col min="14089" max="14333" width="9" style="137"/>
    <col min="14334" max="14335" width="0" style="137" hidden="1" customWidth="1"/>
    <col min="14336" max="14336" width="48.140625" style="137" customWidth="1"/>
    <col min="14337" max="14337" width="3.5703125" style="137" customWidth="1"/>
    <col min="14338" max="14338" width="16.140625" style="137" customWidth="1"/>
    <col min="14339" max="14340" width="13.7109375" style="137" customWidth="1"/>
    <col min="14341" max="14341" width="15" style="137" customWidth="1"/>
    <col min="14342" max="14343" width="15.140625" style="137" customWidth="1"/>
    <col min="14344" max="14344" width="21.28515625" style="137" customWidth="1"/>
    <col min="14345" max="14589" width="9" style="137"/>
    <col min="14590" max="14591" width="0" style="137" hidden="1" customWidth="1"/>
    <col min="14592" max="14592" width="48.140625" style="137" customWidth="1"/>
    <col min="14593" max="14593" width="3.5703125" style="137" customWidth="1"/>
    <col min="14594" max="14594" width="16.140625" style="137" customWidth="1"/>
    <col min="14595" max="14596" width="13.7109375" style="137" customWidth="1"/>
    <col min="14597" max="14597" width="15" style="137" customWidth="1"/>
    <col min="14598" max="14599" width="15.140625" style="137" customWidth="1"/>
    <col min="14600" max="14600" width="21.28515625" style="137" customWidth="1"/>
    <col min="14601" max="14845" width="9" style="137"/>
    <col min="14846" max="14847" width="0" style="137" hidden="1" customWidth="1"/>
    <col min="14848" max="14848" width="48.140625" style="137" customWidth="1"/>
    <col min="14849" max="14849" width="3.5703125" style="137" customWidth="1"/>
    <col min="14850" max="14850" width="16.140625" style="137" customWidth="1"/>
    <col min="14851" max="14852" width="13.7109375" style="137" customWidth="1"/>
    <col min="14853" max="14853" width="15" style="137" customWidth="1"/>
    <col min="14854" max="14855" width="15.140625" style="137" customWidth="1"/>
    <col min="14856" max="14856" width="21.28515625" style="137" customWidth="1"/>
    <col min="14857" max="15101" width="9" style="137"/>
    <col min="15102" max="15103" width="0" style="137" hidden="1" customWidth="1"/>
    <col min="15104" max="15104" width="48.140625" style="137" customWidth="1"/>
    <col min="15105" max="15105" width="3.5703125" style="137" customWidth="1"/>
    <col min="15106" max="15106" width="16.140625" style="137" customWidth="1"/>
    <col min="15107" max="15108" width="13.7109375" style="137" customWidth="1"/>
    <col min="15109" max="15109" width="15" style="137" customWidth="1"/>
    <col min="15110" max="15111" width="15.140625" style="137" customWidth="1"/>
    <col min="15112" max="15112" width="21.28515625" style="137" customWidth="1"/>
    <col min="15113" max="15357" width="9" style="137"/>
    <col min="15358" max="15359" width="0" style="137" hidden="1" customWidth="1"/>
    <col min="15360" max="15360" width="48.140625" style="137" customWidth="1"/>
    <col min="15361" max="15361" width="3.5703125" style="137" customWidth="1"/>
    <col min="15362" max="15362" width="16.140625" style="137" customWidth="1"/>
    <col min="15363" max="15364" width="13.7109375" style="137" customWidth="1"/>
    <col min="15365" max="15365" width="15" style="137" customWidth="1"/>
    <col min="15366" max="15367" width="15.140625" style="137" customWidth="1"/>
    <col min="15368" max="15368" width="21.28515625" style="137" customWidth="1"/>
    <col min="15369" max="15613" width="9" style="137"/>
    <col min="15614" max="15615" width="0" style="137" hidden="1" customWidth="1"/>
    <col min="15616" max="15616" width="48.140625" style="137" customWidth="1"/>
    <col min="15617" max="15617" width="3.5703125" style="137" customWidth="1"/>
    <col min="15618" max="15618" width="16.140625" style="137" customWidth="1"/>
    <col min="15619" max="15620" width="13.7109375" style="137" customWidth="1"/>
    <col min="15621" max="15621" width="15" style="137" customWidth="1"/>
    <col min="15622" max="15623" width="15.140625" style="137" customWidth="1"/>
    <col min="15624" max="15624" width="21.28515625" style="137" customWidth="1"/>
    <col min="15625" max="15869" width="9" style="137"/>
    <col min="15870" max="15871" width="0" style="137" hidden="1" customWidth="1"/>
    <col min="15872" max="15872" width="48.140625" style="137" customWidth="1"/>
    <col min="15873" max="15873" width="3.5703125" style="137" customWidth="1"/>
    <col min="15874" max="15874" width="16.140625" style="137" customWidth="1"/>
    <col min="15875" max="15876" width="13.7109375" style="137" customWidth="1"/>
    <col min="15877" max="15877" width="15" style="137" customWidth="1"/>
    <col min="15878" max="15879" width="15.140625" style="137" customWidth="1"/>
    <col min="15880" max="15880" width="21.28515625" style="137" customWidth="1"/>
    <col min="15881" max="16125" width="9" style="137"/>
    <col min="16126" max="16127" width="0" style="137" hidden="1" customWidth="1"/>
    <col min="16128" max="16128" width="48.140625" style="137" customWidth="1"/>
    <col min="16129" max="16129" width="3.5703125" style="137" customWidth="1"/>
    <col min="16130" max="16130" width="16.140625" style="137" customWidth="1"/>
    <col min="16131" max="16132" width="13.7109375" style="137" customWidth="1"/>
    <col min="16133" max="16133" width="15" style="137" customWidth="1"/>
    <col min="16134" max="16135" width="15.140625" style="137" customWidth="1"/>
    <col min="16136" max="16136" width="21.28515625" style="137" customWidth="1"/>
    <col min="16137" max="16384" width="9" style="137"/>
  </cols>
  <sheetData>
    <row r="1" spans="2:12" s="128" customFormat="1" ht="18">
      <c r="B1" s="349" t="s">
        <v>197</v>
      </c>
      <c r="C1" s="350"/>
      <c r="D1" s="350"/>
      <c r="E1" s="350"/>
      <c r="F1" s="350"/>
      <c r="G1" s="350"/>
      <c r="H1" s="350"/>
      <c r="I1" s="350"/>
      <c r="K1" s="296"/>
    </row>
    <row r="2" spans="2:12" s="128" customFormat="1" ht="18">
      <c r="B2" s="129" t="s">
        <v>198</v>
      </c>
      <c r="C2" s="129"/>
      <c r="D2" s="130"/>
      <c r="E2" s="130"/>
      <c r="F2" s="130"/>
      <c r="G2" s="130"/>
      <c r="H2" s="130"/>
      <c r="I2" s="130"/>
      <c r="K2" s="296"/>
    </row>
    <row r="3" spans="2:12" s="128" customFormat="1" ht="18.75" thickBot="1">
      <c r="B3" s="129" t="str">
        <f>H24</f>
        <v>as of 03/31/2026</v>
      </c>
      <c r="C3" s="129"/>
      <c r="D3" s="130"/>
      <c r="E3" s="130"/>
      <c r="F3" s="130"/>
      <c r="G3" s="130"/>
      <c r="H3" s="130"/>
      <c r="I3" s="130"/>
      <c r="K3" s="296"/>
    </row>
    <row r="4" spans="2:12" ht="18.75" customHeight="1" thickTop="1" thickBot="1">
      <c r="B4" s="131" t="s">
        <v>199</v>
      </c>
      <c r="C4" s="132"/>
      <c r="D4" s="133"/>
      <c r="E4" s="134"/>
      <c r="F4" s="133"/>
      <c r="G4" s="351" t="s">
        <v>200</v>
      </c>
      <c r="H4" s="351"/>
      <c r="I4" s="135"/>
      <c r="J4" s="136"/>
      <c r="K4" s="297"/>
      <c r="L4" s="136"/>
    </row>
    <row r="5" spans="2:12" ht="27" customHeight="1" thickBot="1">
      <c r="B5" s="138" t="s">
        <v>201</v>
      </c>
      <c r="C5" s="139"/>
      <c r="D5" s="140" t="s">
        <v>202</v>
      </c>
      <c r="E5" s="141" t="s">
        <v>203</v>
      </c>
      <c r="F5" s="142" t="s">
        <v>204</v>
      </c>
      <c r="G5" s="143" t="s">
        <v>205</v>
      </c>
      <c r="H5" s="143" t="s">
        <v>206</v>
      </c>
      <c r="I5" s="143"/>
      <c r="J5" s="136"/>
      <c r="K5" s="297"/>
      <c r="L5" s="136"/>
    </row>
    <row r="6" spans="2:12">
      <c r="B6" s="144" t="s">
        <v>207</v>
      </c>
      <c r="C6" s="145"/>
      <c r="D6" s="234">
        <f>'Debt Service'!C4</f>
        <v>10409000</v>
      </c>
      <c r="E6" s="146" t="str">
        <f>H24</f>
        <v>as of 03/31/2026</v>
      </c>
      <c r="F6" s="147" t="s">
        <v>209</v>
      </c>
      <c r="G6" s="148">
        <v>0</v>
      </c>
      <c r="H6" s="149">
        <v>0</v>
      </c>
      <c r="I6" s="150"/>
      <c r="J6" s="151"/>
      <c r="K6" s="298"/>
      <c r="L6" s="151"/>
    </row>
    <row r="7" spans="2:12" hidden="1" outlineLevel="1">
      <c r="B7" s="144" t="s">
        <v>210</v>
      </c>
      <c r="C7" s="145"/>
      <c r="D7" s="148">
        <v>0</v>
      </c>
      <c r="E7" s="146" t="s">
        <v>208</v>
      </c>
      <c r="F7" s="147" t="s">
        <v>209</v>
      </c>
      <c r="G7" s="148">
        <v>0</v>
      </c>
      <c r="H7" s="149">
        <v>0</v>
      </c>
      <c r="I7" s="150"/>
      <c r="J7" s="151"/>
      <c r="K7" s="298"/>
      <c r="L7" s="151"/>
    </row>
    <row r="8" spans="2:12" hidden="1" outlineLevel="1">
      <c r="B8" s="144" t="s">
        <v>211</v>
      </c>
      <c r="C8" s="145"/>
      <c r="D8" s="237">
        <v>0</v>
      </c>
      <c r="E8" s="238" t="s">
        <v>208</v>
      </c>
      <c r="F8" s="239" t="s">
        <v>209</v>
      </c>
      <c r="G8" s="237">
        <v>0</v>
      </c>
      <c r="H8" s="241">
        <v>0</v>
      </c>
      <c r="I8" s="150"/>
      <c r="J8" s="151"/>
      <c r="K8" s="298"/>
      <c r="L8" s="151"/>
    </row>
    <row r="9" spans="2:12" ht="12.95" customHeight="1" collapsed="1">
      <c r="B9" s="152" t="s">
        <v>212</v>
      </c>
      <c r="C9" s="153"/>
      <c r="D9" s="352" t="s">
        <v>309</v>
      </c>
      <c r="E9" s="353"/>
      <c r="F9" s="353"/>
      <c r="G9" s="353"/>
      <c r="H9" s="354"/>
      <c r="I9" s="255"/>
      <c r="J9" s="151"/>
      <c r="K9" s="298"/>
      <c r="L9" s="151"/>
    </row>
    <row r="10" spans="2:12">
      <c r="B10" s="154" t="s">
        <v>213</v>
      </c>
      <c r="C10" s="151"/>
      <c r="D10" s="244" t="s">
        <v>288</v>
      </c>
      <c r="E10" s="245"/>
      <c r="F10" s="240"/>
      <c r="G10" s="240"/>
      <c r="H10" s="240"/>
      <c r="I10" s="155"/>
      <c r="J10" s="155"/>
      <c r="K10" s="298"/>
      <c r="L10" s="151"/>
    </row>
    <row r="11" spans="2:12">
      <c r="B11" s="144" t="s">
        <v>214</v>
      </c>
      <c r="C11" s="145"/>
      <c r="D11" s="248" t="s">
        <v>312</v>
      </c>
      <c r="E11" s="247"/>
      <c r="F11" s="246" t="s">
        <v>311</v>
      </c>
      <c r="G11" s="247"/>
      <c r="H11" s="156" t="s">
        <v>310</v>
      </c>
      <c r="I11" s="155"/>
      <c r="J11" s="155"/>
      <c r="K11" s="298"/>
      <c r="L11" s="151"/>
    </row>
    <row r="12" spans="2:12">
      <c r="B12" s="157" t="s">
        <v>215</v>
      </c>
      <c r="C12" s="158"/>
      <c r="D12" s="250">
        <v>100000</v>
      </c>
      <c r="E12" s="252" t="s">
        <v>289</v>
      </c>
      <c r="F12" s="159" t="s">
        <v>216</v>
      </c>
      <c r="G12" s="159"/>
      <c r="H12" s="160"/>
      <c r="I12" s="160"/>
      <c r="J12" s="155"/>
      <c r="K12" s="298"/>
      <c r="L12" s="151"/>
    </row>
    <row r="13" spans="2:12">
      <c r="B13" s="157" t="s">
        <v>217</v>
      </c>
      <c r="C13" s="158"/>
      <c r="D13" s="249">
        <v>1986</v>
      </c>
      <c r="E13" s="253" t="s">
        <v>169</v>
      </c>
      <c r="F13" s="161"/>
      <c r="G13" s="161"/>
      <c r="H13" s="162"/>
      <c r="I13" s="162"/>
      <c r="J13" s="155"/>
      <c r="K13" s="298"/>
      <c r="L13" s="151"/>
    </row>
    <row r="14" spans="2:12">
      <c r="B14" s="157" t="s">
        <v>218</v>
      </c>
      <c r="C14" s="158"/>
      <c r="D14" s="251">
        <v>9.9959999999999993E-2</v>
      </c>
      <c r="E14" s="254" t="s">
        <v>290</v>
      </c>
      <c r="F14" s="163" t="s">
        <v>219</v>
      </c>
      <c r="G14" s="163"/>
      <c r="H14" s="162"/>
      <c r="I14" s="162"/>
      <c r="J14" s="155"/>
      <c r="K14" s="298"/>
      <c r="L14" s="151"/>
    </row>
    <row r="15" spans="2:12" ht="12.95" customHeight="1">
      <c r="B15" s="164" t="s">
        <v>220</v>
      </c>
      <c r="C15" s="162"/>
      <c r="D15" s="165" t="s">
        <v>221</v>
      </c>
      <c r="E15" s="235">
        <f t="shared" ref="E15:F15" si="0">EOMONTH(F15,-3)</f>
        <v>45838</v>
      </c>
      <c r="F15" s="236">
        <f t="shared" si="0"/>
        <v>45930</v>
      </c>
      <c r="G15" s="242">
        <f>EOMONTH(H15,-3)</f>
        <v>46022</v>
      </c>
      <c r="H15" s="243">
        <v>46112</v>
      </c>
      <c r="I15" s="256"/>
      <c r="J15" s="155"/>
      <c r="K15" s="298"/>
      <c r="L15" s="151"/>
    </row>
    <row r="16" spans="2:12">
      <c r="B16" s="166" t="s">
        <v>222</v>
      </c>
      <c r="C16" s="167"/>
      <c r="D16" s="283">
        <v>0</v>
      </c>
      <c r="E16" s="292"/>
      <c r="F16" s="292"/>
      <c r="G16" s="292">
        <v>1</v>
      </c>
      <c r="H16" s="282">
        <f>SUM(RR!I:I)/'Comm OSAR'!$D$12</f>
        <v>1</v>
      </c>
      <c r="I16" s="168"/>
      <c r="J16" s="155"/>
      <c r="K16" s="298"/>
      <c r="L16" s="151"/>
    </row>
    <row r="17" spans="2:12" ht="12.95" customHeight="1">
      <c r="B17" s="166" t="s">
        <v>223</v>
      </c>
      <c r="C17" s="167"/>
      <c r="D17" s="146" t="s">
        <v>208</v>
      </c>
      <c r="E17" s="293">
        <f>E15</f>
        <v>45838</v>
      </c>
      <c r="F17" s="293">
        <f>F15</f>
        <v>45930</v>
      </c>
      <c r="G17" s="294">
        <f>G15</f>
        <v>46022</v>
      </c>
      <c r="H17" s="295">
        <f>H15</f>
        <v>46112</v>
      </c>
      <c r="I17" s="257"/>
      <c r="J17" s="155"/>
      <c r="K17" s="298"/>
      <c r="L17" s="151"/>
    </row>
    <row r="18" spans="2:12">
      <c r="B18" s="157"/>
      <c r="C18" s="158"/>
      <c r="D18" s="169" t="s">
        <v>224</v>
      </c>
      <c r="E18" s="170"/>
      <c r="F18" s="171"/>
      <c r="G18" s="170"/>
      <c r="H18" s="171"/>
      <c r="I18" s="171"/>
      <c r="J18" s="155"/>
      <c r="K18" s="298"/>
      <c r="L18" s="151"/>
    </row>
    <row r="19" spans="2:12" ht="13.5" thickBot="1">
      <c r="B19" s="172"/>
      <c r="C19" s="173"/>
      <c r="D19" s="174" t="s">
        <v>225</v>
      </c>
      <c r="E19" s="175"/>
      <c r="F19" s="176"/>
      <c r="G19" s="176"/>
      <c r="H19" s="176"/>
      <c r="I19" s="176"/>
      <c r="J19" s="151"/>
      <c r="K19" s="298"/>
      <c r="L19" s="151"/>
    </row>
    <row r="20" spans="2:12" ht="13.5" thickTop="1">
      <c r="B20" s="177"/>
      <c r="C20" s="177"/>
      <c r="D20" s="139"/>
      <c r="E20" s="178"/>
      <c r="F20" s="178"/>
      <c r="G20" s="178"/>
      <c r="H20" s="178"/>
      <c r="I20" s="178"/>
    </row>
    <row r="21" spans="2:12">
      <c r="B21" s="179" t="s">
        <v>226</v>
      </c>
      <c r="C21" s="179"/>
      <c r="D21" s="180"/>
      <c r="E21" s="181"/>
      <c r="F21" s="181"/>
      <c r="G21" s="181"/>
      <c r="H21" s="181"/>
      <c r="I21" s="181"/>
    </row>
    <row r="22" spans="2:12">
      <c r="B22" s="182" t="s">
        <v>227</v>
      </c>
      <c r="C22" s="182"/>
      <c r="D22" s="177"/>
      <c r="E22" s="270"/>
      <c r="F22" s="270"/>
      <c r="G22" s="270">
        <v>4</v>
      </c>
      <c r="H22" s="271">
        <v>7</v>
      </c>
      <c r="I22" s="258"/>
    </row>
    <row r="23" spans="2:12">
      <c r="B23" s="182" t="s">
        <v>228</v>
      </c>
      <c r="C23" s="182"/>
      <c r="D23" s="184" t="s">
        <v>229</v>
      </c>
      <c r="E23" s="185" t="s">
        <v>230</v>
      </c>
      <c r="F23" s="186" t="s">
        <v>231</v>
      </c>
      <c r="G23" s="187" t="s">
        <v>232</v>
      </c>
      <c r="H23" s="188" t="s">
        <v>316</v>
      </c>
      <c r="I23" s="269" t="s">
        <v>291</v>
      </c>
      <c r="K23" s="310" t="s">
        <v>292</v>
      </c>
    </row>
    <row r="24" spans="2:12">
      <c r="B24" s="189" t="s">
        <v>220</v>
      </c>
      <c r="C24" s="190"/>
      <c r="D24" s="191" t="s">
        <v>233</v>
      </c>
      <c r="E24" s="280" t="str">
        <f t="shared" ref="E24:G24" si="1">"as of "&amp;TEXT(E15,"MM/DD/YYYY")</f>
        <v>as of 06/30/2025</v>
      </c>
      <c r="F24" s="280" t="str">
        <f t="shared" si="1"/>
        <v>as of 09/30/2025</v>
      </c>
      <c r="G24" s="280" t="str">
        <f t="shared" si="1"/>
        <v>as of 12/31/2025</v>
      </c>
      <c r="H24" s="280" t="str">
        <f>"as of "&amp;TEXT(H15,"MM/DD/YYYY")</f>
        <v>as of 03/31/2026</v>
      </c>
      <c r="I24" s="281" t="str">
        <f>H24</f>
        <v>as of 03/31/2026</v>
      </c>
      <c r="K24" s="311"/>
    </row>
    <row r="25" spans="2:12">
      <c r="B25" s="182" t="s">
        <v>234</v>
      </c>
      <c r="C25" s="182"/>
      <c r="D25" s="192"/>
      <c r="E25" s="284"/>
      <c r="F25" s="284"/>
      <c r="G25" s="284">
        <v>796403.76</v>
      </c>
      <c r="H25" s="262">
        <f>'Actuals (T12)'!E5</f>
        <v>771432.30857142841</v>
      </c>
      <c r="I25" s="262">
        <f>'Lender Calc'!E5</f>
        <v>796403.76</v>
      </c>
      <c r="K25" s="302" t="s">
        <v>298</v>
      </c>
    </row>
    <row r="26" spans="2:12">
      <c r="B26" s="193" t="s">
        <v>235</v>
      </c>
      <c r="C26" s="194"/>
      <c r="D26" s="192"/>
      <c r="E26" s="265"/>
      <c r="F26" s="265"/>
      <c r="G26" s="265">
        <v>-39820.188000000002</v>
      </c>
      <c r="H26" s="260">
        <f>'Actuals (T12)'!E9</f>
        <v>0</v>
      </c>
      <c r="I26" s="260">
        <f>'Lender Calc'!E9</f>
        <v>-39820.188000000002</v>
      </c>
      <c r="K26" s="309">
        <f>1-H16</f>
        <v>0</v>
      </c>
    </row>
    <row r="27" spans="2:12">
      <c r="B27" s="195" t="s">
        <v>236</v>
      </c>
      <c r="C27" s="195"/>
      <c r="D27" s="196"/>
      <c r="E27" s="261"/>
      <c r="F27" s="261"/>
      <c r="G27" s="291"/>
      <c r="H27" s="261"/>
      <c r="I27" s="261"/>
      <c r="K27" s="300"/>
    </row>
    <row r="28" spans="2:12">
      <c r="B28" s="182" t="s">
        <v>237</v>
      </c>
      <c r="C28" s="182"/>
      <c r="D28" s="192"/>
      <c r="E28" s="265"/>
      <c r="F28" s="265"/>
      <c r="G28" s="265">
        <v>0</v>
      </c>
      <c r="H28" s="265">
        <v>0</v>
      </c>
      <c r="I28" s="265">
        <v>0</v>
      </c>
      <c r="K28" s="300"/>
    </row>
    <row r="29" spans="2:12">
      <c r="B29" s="182" t="s">
        <v>238</v>
      </c>
      <c r="C29" s="182"/>
      <c r="D29" s="192"/>
      <c r="E29" s="265"/>
      <c r="F29" s="265"/>
      <c r="G29" s="265">
        <v>0</v>
      </c>
      <c r="H29" s="265">
        <v>0</v>
      </c>
      <c r="I29" s="265">
        <v>0</v>
      </c>
      <c r="K29" s="300"/>
    </row>
    <row r="30" spans="2:12">
      <c r="B30" s="182" t="s">
        <v>239</v>
      </c>
      <c r="C30" s="182"/>
      <c r="D30" s="192"/>
      <c r="E30" s="265"/>
      <c r="F30" s="265"/>
      <c r="G30" s="265">
        <v>0</v>
      </c>
      <c r="H30" s="265">
        <v>0</v>
      </c>
      <c r="I30" s="265">
        <v>0</v>
      </c>
      <c r="K30" s="300"/>
    </row>
    <row r="31" spans="2:12">
      <c r="B31" s="182" t="s">
        <v>240</v>
      </c>
      <c r="C31" s="182"/>
      <c r="D31" s="192"/>
      <c r="E31" s="265"/>
      <c r="F31" s="265"/>
      <c r="G31" s="265">
        <v>0</v>
      </c>
      <c r="H31" s="265">
        <v>0</v>
      </c>
      <c r="I31" s="265">
        <v>0</v>
      </c>
      <c r="K31" s="300"/>
    </row>
    <row r="32" spans="2:12">
      <c r="B32" s="182" t="s">
        <v>241</v>
      </c>
      <c r="C32" s="182"/>
      <c r="D32" s="192"/>
      <c r="E32" s="265"/>
      <c r="F32" s="265"/>
      <c r="G32" s="265">
        <v>202044.12</v>
      </c>
      <c r="H32" s="260">
        <f>'Actuals (T12)'!E12</f>
        <v>187397.70857142858</v>
      </c>
      <c r="I32" s="260">
        <f>'Lender Calc'!E12</f>
        <v>187397.70857142858</v>
      </c>
      <c r="K32" s="301" t="str">
        <f>TEXT($H$23,)&amp;TEXT(B32,)</f>
        <v>T7      Other Income</v>
      </c>
    </row>
    <row r="33" spans="2:11">
      <c r="B33" s="177"/>
      <c r="C33" s="177"/>
      <c r="D33" s="197"/>
      <c r="E33" s="197"/>
      <c r="F33" s="197"/>
      <c r="G33" s="197"/>
      <c r="H33" s="197"/>
      <c r="I33" s="197"/>
    </row>
    <row r="34" spans="2:11">
      <c r="B34" s="198" t="s">
        <v>242</v>
      </c>
      <c r="C34" s="198"/>
      <c r="D34" s="199"/>
      <c r="E34" s="285"/>
      <c r="F34" s="285"/>
      <c r="G34" s="285">
        <v>958627.69200000004</v>
      </c>
      <c r="H34" s="263">
        <f>SUM(H25:H32)</f>
        <v>958830.01714285696</v>
      </c>
      <c r="I34" s="263">
        <f>SUM(I25:I32)</f>
        <v>943981.28057142859</v>
      </c>
    </row>
    <row r="35" spans="2:11">
      <c r="B35" s="177"/>
      <c r="C35" s="177"/>
      <c r="D35" s="194" t="s">
        <v>243</v>
      </c>
      <c r="E35" s="171"/>
      <c r="F35" s="171"/>
      <c r="G35" s="171"/>
      <c r="H35" s="171"/>
      <c r="I35" s="171"/>
    </row>
    <row r="36" spans="2:11">
      <c r="B36" s="177"/>
      <c r="C36" s="177"/>
      <c r="E36" s="201"/>
      <c r="F36" s="201"/>
      <c r="G36" s="201"/>
      <c r="H36" s="201"/>
      <c r="I36" s="201"/>
    </row>
    <row r="37" spans="2:11">
      <c r="B37" s="179" t="s">
        <v>244</v>
      </c>
      <c r="C37" s="179"/>
      <c r="D37" s="202"/>
      <c r="E37" s="177"/>
      <c r="F37" s="177"/>
      <c r="G37" s="177"/>
      <c r="H37" s="177"/>
      <c r="I37" s="177"/>
    </row>
    <row r="38" spans="2:11" ht="12.95" customHeight="1">
      <c r="B38" s="182" t="s">
        <v>245</v>
      </c>
      <c r="C38" s="182"/>
      <c r="D38" s="203"/>
      <c r="E38" s="284"/>
      <c r="F38" s="284"/>
      <c r="G38" s="284">
        <v>124384.23999999999</v>
      </c>
      <c r="H38" s="262">
        <f>'Actuals (T12)'!E21</f>
        <v>100287.13714285713</v>
      </c>
      <c r="I38" s="262">
        <f>'Lender Calc'!E18</f>
        <v>103093.34</v>
      </c>
      <c r="K38" s="301" t="str">
        <f>"Greater of actual tax bill from "&amp;TEXT('RE Taxes'!$C$2,"MM/DD/YYYY")&amp;"-"&amp;TEXT('RE Taxes'!$D$2,"MM/DD/YYYY")&amp;" ($"&amp;TEXT('RE Taxes'!C3,"0.#")&amp;"MM) and "&amp;$H$23&amp;" ended "&amp;TEXT($H$15,"MM/DD/YYYY")</f>
        <v>Greater of actual tax bill from 03/01/2025-03/01/2026 ($0.1MM) and T7 ended 03/31/2026</v>
      </c>
    </row>
    <row r="39" spans="2:11">
      <c r="B39" s="182" t="s">
        <v>246</v>
      </c>
      <c r="C39" s="182"/>
      <c r="D39" s="192"/>
      <c r="E39" s="265"/>
      <c r="F39" s="265"/>
      <c r="G39" s="265">
        <v>14802.6</v>
      </c>
      <c r="H39" s="260">
        <f>'Actuals (T12)'!E23</f>
        <v>13287.445714285715</v>
      </c>
      <c r="I39" s="260">
        <f>'Lender Calc'!E20</f>
        <v>13287.445714285715</v>
      </c>
      <c r="K39" s="301" t="str">
        <f>"Greater of actual insurance premium from "&amp;TEXT(Insurance!C2,"MM/DD/YYYY")&amp;"-"&amp;TEXT(Insurance!D2,"MM/DD/YYYY")&amp;" ($"&amp;TEXT(Insurance!C3,"0.##")&amp;"MM) and origination"</f>
        <v>Greater of actual insurance premium from 04/01/2026-04/01/2027 ($0.01MM) and origination</v>
      </c>
    </row>
    <row r="40" spans="2:11">
      <c r="B40" s="190" t="s">
        <v>247</v>
      </c>
      <c r="C40" s="190"/>
      <c r="D40" s="192"/>
      <c r="E40" s="265"/>
      <c r="F40" s="265"/>
      <c r="G40" s="265">
        <v>1299.92</v>
      </c>
      <c r="H40" s="260">
        <f>'Actuals (T12)'!E25</f>
        <v>1713.2057142857143</v>
      </c>
      <c r="I40" s="260">
        <f>'Lender Calc'!E22</f>
        <v>1713.2057142857143</v>
      </c>
      <c r="K40" s="301" t="str">
        <f t="shared" ref="K40:K47" si="2">TEXT($H$23,)&amp;TEXT(B40,)</f>
        <v xml:space="preserve">T7      Utilities </v>
      </c>
    </row>
    <row r="41" spans="2:11">
      <c r="B41" s="190" t="s">
        <v>248</v>
      </c>
      <c r="C41" s="190"/>
      <c r="D41" s="192"/>
      <c r="E41" s="265"/>
      <c r="F41" s="265"/>
      <c r="G41" s="265">
        <v>21693.040000000001</v>
      </c>
      <c r="H41" s="260">
        <f>'Actuals (T12)'!E28</f>
        <v>27018.822857142855</v>
      </c>
      <c r="I41" s="260">
        <f>'Lender Calc'!E25</f>
        <v>27018.822857142855</v>
      </c>
      <c r="K41" s="301" t="str">
        <f t="shared" si="2"/>
        <v>T7      Repairs and Maintenance</v>
      </c>
    </row>
    <row r="42" spans="2:11">
      <c r="B42" s="182" t="s">
        <v>249</v>
      </c>
      <c r="C42" s="182"/>
      <c r="D42" s="192"/>
      <c r="E42" s="265"/>
      <c r="F42" s="265"/>
      <c r="G42" s="265">
        <v>0</v>
      </c>
      <c r="H42" s="265">
        <v>0</v>
      </c>
      <c r="I42" s="265">
        <v>0</v>
      </c>
      <c r="K42" s="301" t="str">
        <f t="shared" si="2"/>
        <v>T7      Janitorial</v>
      </c>
    </row>
    <row r="43" spans="2:11">
      <c r="B43" s="182" t="s">
        <v>250</v>
      </c>
      <c r="C43" s="182"/>
      <c r="D43" s="192"/>
      <c r="E43" s="265"/>
      <c r="F43" s="265"/>
      <c r="G43" s="265">
        <v>38427</v>
      </c>
      <c r="H43" s="260">
        <f>'Actuals (T12)'!E31</f>
        <v>29701.594285714287</v>
      </c>
      <c r="I43" s="260">
        <f>'Lender Calc'!E28</f>
        <v>29701.594285714287</v>
      </c>
      <c r="K43" s="302" t="s">
        <v>293</v>
      </c>
    </row>
    <row r="44" spans="2:11">
      <c r="B44" s="182" t="s">
        <v>251</v>
      </c>
      <c r="C44" s="182"/>
      <c r="D44" s="203"/>
      <c r="E44" s="265"/>
      <c r="F44" s="265"/>
      <c r="G44" s="265">
        <v>0</v>
      </c>
      <c r="H44" s="260">
        <f>'Actuals (T12)'!E33</f>
        <v>0</v>
      </c>
      <c r="I44" s="260">
        <f>'Lender Calc'!E29</f>
        <v>0</v>
      </c>
      <c r="K44" s="301" t="str">
        <f t="shared" si="2"/>
        <v xml:space="preserve">T7      Payroll &amp; Benefits </v>
      </c>
    </row>
    <row r="45" spans="2:11">
      <c r="B45" s="190" t="s">
        <v>252</v>
      </c>
      <c r="C45" s="190"/>
      <c r="D45" s="203"/>
      <c r="E45" s="265"/>
      <c r="F45" s="265"/>
      <c r="G45" s="265">
        <v>0</v>
      </c>
      <c r="H45" s="260">
        <f>'Actuals (T12)'!E34</f>
        <v>0</v>
      </c>
      <c r="I45" s="260">
        <f>'Lender Calc'!E30</f>
        <v>0</v>
      </c>
      <c r="K45" s="301" t="str">
        <f t="shared" si="2"/>
        <v>T7      Advertising &amp; Marketing</v>
      </c>
    </row>
    <row r="46" spans="2:11">
      <c r="B46" s="182" t="s">
        <v>253</v>
      </c>
      <c r="C46" s="182"/>
      <c r="D46" s="203"/>
      <c r="E46" s="265"/>
      <c r="F46" s="265"/>
      <c r="G46" s="265">
        <v>0</v>
      </c>
      <c r="H46" s="260">
        <f>'Actuals (T12)'!E35</f>
        <v>2192.2628571428568</v>
      </c>
      <c r="I46" s="260">
        <f>'Lender Calc'!E31</f>
        <v>2192.2628571428568</v>
      </c>
      <c r="K46" s="301" t="str">
        <f t="shared" si="2"/>
        <v>T7      Professional Fees</v>
      </c>
    </row>
    <row r="47" spans="2:11">
      <c r="B47" s="182" t="s">
        <v>254</v>
      </c>
      <c r="C47" s="182"/>
      <c r="D47" s="192"/>
      <c r="E47" s="265"/>
      <c r="F47" s="265"/>
      <c r="G47" s="265">
        <v>22092.6</v>
      </c>
      <c r="H47" s="260">
        <f>'Lender Calc'!E33</f>
        <v>18579.325714285715</v>
      </c>
      <c r="I47" s="260">
        <f>'Lender Calc'!E33</f>
        <v>18579.325714285715</v>
      </c>
      <c r="K47" s="301" t="str">
        <f t="shared" si="2"/>
        <v>T7      General and Administrative</v>
      </c>
    </row>
    <row r="48" spans="2:11">
      <c r="B48" s="182" t="s">
        <v>255</v>
      </c>
      <c r="C48" s="182"/>
      <c r="D48" s="192"/>
      <c r="E48" s="265"/>
      <c r="F48" s="265"/>
      <c r="G48" s="265">
        <v>1437.32</v>
      </c>
      <c r="H48" s="260">
        <f>'Actuals (T12)'!E39</f>
        <v>573.3257142857143</v>
      </c>
      <c r="I48" s="260">
        <f>'Lender Calc'!E35</f>
        <v>573.3257142857143</v>
      </c>
      <c r="K48" s="301" t="str">
        <f>TEXT($H$23,)&amp;TEXT(B48,)</f>
        <v>T7      Other Expenses</v>
      </c>
    </row>
    <row r="49" spans="2:11">
      <c r="B49" s="182" t="s">
        <v>256</v>
      </c>
      <c r="C49" s="182"/>
      <c r="D49" s="192"/>
      <c r="E49" s="265"/>
      <c r="F49" s="265"/>
      <c r="G49" s="265">
        <v>0</v>
      </c>
      <c r="H49" s="265">
        <v>0</v>
      </c>
      <c r="I49" s="265">
        <v>0</v>
      </c>
      <c r="K49" s="300"/>
    </row>
    <row r="50" spans="2:11">
      <c r="B50" s="198" t="s">
        <v>257</v>
      </c>
      <c r="C50" s="198"/>
      <c r="D50" s="199"/>
      <c r="E50" s="285"/>
      <c r="F50" s="285"/>
      <c r="G50" s="285">
        <v>224136.72000000003</v>
      </c>
      <c r="H50" s="263">
        <f>SUM(H38:H49)</f>
        <v>193353.12</v>
      </c>
      <c r="I50" s="263">
        <f>SUM(I38:I49)</f>
        <v>196159.32285714286</v>
      </c>
      <c r="K50" s="300"/>
    </row>
    <row r="51" spans="2:11">
      <c r="B51" s="190"/>
      <c r="C51" s="190"/>
      <c r="D51" s="205"/>
      <c r="E51" s="197"/>
      <c r="F51" s="197"/>
      <c r="G51" s="197"/>
      <c r="H51" s="197"/>
      <c r="I51" s="197"/>
    </row>
    <row r="52" spans="2:11">
      <c r="B52" s="198" t="s">
        <v>258</v>
      </c>
      <c r="C52" s="198"/>
      <c r="D52" s="206"/>
      <c r="E52" s="286"/>
      <c r="F52" s="286"/>
      <c r="G52" s="286">
        <v>0.23380997844155749</v>
      </c>
      <c r="H52" s="259">
        <f>H50/H34</f>
        <v>0.20165526375171058</v>
      </c>
      <c r="I52" s="259">
        <f>I50/I34</f>
        <v>0.20780001351128488</v>
      </c>
    </row>
    <row r="53" spans="2:11">
      <c r="B53" s="190"/>
      <c r="C53" s="190"/>
      <c r="D53" s="205"/>
      <c r="E53" s="207"/>
      <c r="F53" s="207"/>
      <c r="G53" s="207"/>
      <c r="H53" s="207"/>
      <c r="I53" s="207"/>
    </row>
    <row r="54" spans="2:11">
      <c r="B54" s="198" t="s">
        <v>259</v>
      </c>
      <c r="C54" s="198"/>
      <c r="D54" s="209"/>
      <c r="E54" s="287"/>
      <c r="F54" s="287"/>
      <c r="G54" s="287">
        <v>734490.97200000007</v>
      </c>
      <c r="H54" s="264">
        <f>H34-H50</f>
        <v>765476.89714285696</v>
      </c>
      <c r="I54" s="264">
        <f>I34-I50</f>
        <v>747821.9577142857</v>
      </c>
    </row>
    <row r="55" spans="2:11">
      <c r="B55" s="198"/>
      <c r="C55" s="198"/>
      <c r="D55" s="210"/>
      <c r="E55" s="197"/>
      <c r="F55" s="197"/>
      <c r="G55" s="197"/>
      <c r="H55" s="197"/>
      <c r="I55" s="197"/>
    </row>
    <row r="56" spans="2:11">
      <c r="B56" s="211" t="s">
        <v>260</v>
      </c>
      <c r="C56" s="211"/>
      <c r="D56" s="204"/>
      <c r="E56" s="267"/>
      <c r="F56" s="267"/>
      <c r="G56" s="267">
        <v>0</v>
      </c>
      <c r="H56" s="267">
        <v>0</v>
      </c>
      <c r="I56" s="267">
        <v>0</v>
      </c>
    </row>
    <row r="57" spans="2:11">
      <c r="B57" s="211" t="s">
        <v>261</v>
      </c>
      <c r="C57" s="211"/>
      <c r="D57" s="204"/>
      <c r="E57" s="265"/>
      <c r="F57" s="265"/>
      <c r="G57" s="265">
        <v>0</v>
      </c>
      <c r="H57" s="265">
        <v>0</v>
      </c>
      <c r="I57" s="265">
        <v>0</v>
      </c>
    </row>
    <row r="58" spans="2:11">
      <c r="B58" s="211" t="s">
        <v>262</v>
      </c>
      <c r="C58" s="211"/>
      <c r="D58" s="204"/>
      <c r="E58" s="265"/>
      <c r="F58" s="265"/>
      <c r="G58" s="265">
        <v>9996</v>
      </c>
      <c r="H58" s="273">
        <f>I58</f>
        <v>9996</v>
      </c>
      <c r="I58" s="273">
        <f>D14*D12</f>
        <v>9996</v>
      </c>
    </row>
    <row r="59" spans="2:11">
      <c r="B59" s="211" t="s">
        <v>263</v>
      </c>
      <c r="C59" s="211"/>
      <c r="D59" s="212"/>
      <c r="E59" s="266"/>
      <c r="F59" s="266"/>
      <c r="G59" s="266"/>
      <c r="H59" s="266"/>
      <c r="I59" s="266"/>
    </row>
    <row r="60" spans="2:11">
      <c r="B60" s="213" t="s">
        <v>264</v>
      </c>
      <c r="C60" s="213"/>
      <c r="D60" s="214"/>
      <c r="E60" s="288"/>
      <c r="F60" s="288"/>
      <c r="G60" s="288">
        <v>9996</v>
      </c>
      <c r="H60" s="268">
        <f>SUM(H56:H59)</f>
        <v>9996</v>
      </c>
      <c r="I60" s="268">
        <f>SUM(I56:I58)</f>
        <v>9996</v>
      </c>
    </row>
    <row r="61" spans="2:11">
      <c r="B61" s="198"/>
      <c r="C61" s="198"/>
      <c r="D61" s="215"/>
      <c r="E61" s="216"/>
      <c r="F61" s="216"/>
      <c r="G61" s="216"/>
      <c r="H61" s="216"/>
      <c r="I61" s="216"/>
    </row>
    <row r="62" spans="2:11">
      <c r="B62" s="213" t="s">
        <v>265</v>
      </c>
      <c r="C62" s="213"/>
      <c r="D62" s="199"/>
      <c r="E62" s="285"/>
      <c r="F62" s="285"/>
      <c r="G62" s="285">
        <v>724494.97200000007</v>
      </c>
      <c r="H62" s="263">
        <f>H54-H60</f>
        <v>755480.89714285696</v>
      </c>
      <c r="I62" s="263">
        <f>I54-I60</f>
        <v>737825.9577142857</v>
      </c>
    </row>
    <row r="63" spans="2:11">
      <c r="B63" s="177"/>
      <c r="C63" s="177"/>
      <c r="D63" s="177"/>
      <c r="E63" s="217"/>
      <c r="F63" s="217"/>
      <c r="G63" s="217"/>
      <c r="H63" s="217"/>
      <c r="I63" s="217"/>
    </row>
    <row r="64" spans="2:11">
      <c r="B64" s="179" t="s">
        <v>266</v>
      </c>
      <c r="C64" s="179"/>
      <c r="D64" s="199"/>
      <c r="E64" s="285"/>
      <c r="F64" s="285"/>
      <c r="G64" s="285">
        <v>658279.94945416669</v>
      </c>
      <c r="H64" s="263">
        <f>I64</f>
        <v>657487.37638888881</v>
      </c>
      <c r="I64" s="272">
        <f>'Debt Service'!C12</f>
        <v>657487.37638888881</v>
      </c>
    </row>
    <row r="65" spans="2:9" hidden="1" outlineLevel="1">
      <c r="B65" s="179" t="s">
        <v>267</v>
      </c>
      <c r="C65" s="179"/>
      <c r="D65" s="199"/>
      <c r="E65" s="199"/>
      <c r="F65" s="199"/>
      <c r="G65" s="199"/>
      <c r="H65" s="199"/>
      <c r="I65" s="199"/>
    </row>
    <row r="66" spans="2:9" hidden="1" outlineLevel="1">
      <c r="B66" s="179" t="s">
        <v>268</v>
      </c>
      <c r="C66" s="179"/>
      <c r="D66" s="199"/>
      <c r="E66" s="199"/>
      <c r="F66" s="199"/>
      <c r="G66" s="199"/>
      <c r="H66" s="199"/>
      <c r="I66" s="199"/>
    </row>
    <row r="67" spans="2:9" collapsed="1">
      <c r="B67" s="179"/>
      <c r="C67" s="179"/>
      <c r="D67" s="218"/>
      <c r="E67" s="218"/>
      <c r="F67" s="218"/>
      <c r="G67" s="218"/>
      <c r="H67" s="218"/>
      <c r="I67" s="218"/>
    </row>
    <row r="68" spans="2:9">
      <c r="B68" s="179" t="s">
        <v>269</v>
      </c>
      <c r="C68" s="179"/>
      <c r="D68" s="199"/>
      <c r="E68" s="285"/>
      <c r="F68" s="285"/>
      <c r="G68" s="285">
        <v>66215.022545833373</v>
      </c>
      <c r="H68" s="263">
        <f>H62-H64</f>
        <v>97993.520753968158</v>
      </c>
      <c r="I68" s="263">
        <f>I62-I64</f>
        <v>80338.581325396895</v>
      </c>
    </row>
    <row r="69" spans="2:9">
      <c r="B69" s="179"/>
      <c r="C69" s="179"/>
      <c r="D69" s="216"/>
      <c r="E69" s="216"/>
      <c r="F69" s="216"/>
      <c r="G69" s="216"/>
      <c r="H69" s="216"/>
      <c r="I69" s="216"/>
    </row>
    <row r="70" spans="2:9">
      <c r="B70" s="198" t="s">
        <v>270</v>
      </c>
      <c r="C70" s="198"/>
      <c r="D70" s="274"/>
      <c r="E70" s="289"/>
      <c r="F70" s="289"/>
      <c r="G70" s="289">
        <v>1.1157729665152738</v>
      </c>
      <c r="H70" s="275">
        <f>H54/H64</f>
        <v>1.1642457705379499</v>
      </c>
      <c r="I70" s="275">
        <f>I54/I64</f>
        <v>1.1373936360900807</v>
      </c>
    </row>
    <row r="71" spans="2:9" hidden="1" outlineLevel="1">
      <c r="B71" s="198" t="s">
        <v>271</v>
      </c>
      <c r="C71" s="198"/>
      <c r="D71" s="274"/>
      <c r="E71" s="276"/>
      <c r="F71" s="276"/>
      <c r="G71" s="276"/>
      <c r="H71" s="276"/>
      <c r="I71" s="274"/>
    </row>
    <row r="72" spans="2:9" hidden="1" outlineLevel="1">
      <c r="B72" s="198" t="s">
        <v>272</v>
      </c>
      <c r="C72" s="198"/>
      <c r="D72" s="274"/>
      <c r="E72" s="276"/>
      <c r="F72" s="276"/>
      <c r="G72" s="276"/>
      <c r="H72" s="276"/>
      <c r="I72" s="274"/>
    </row>
    <row r="73" spans="2:9" collapsed="1">
      <c r="B73" s="177"/>
      <c r="C73" s="177"/>
      <c r="D73" s="277"/>
      <c r="E73" s="278"/>
      <c r="F73" s="278"/>
      <c r="G73" s="278"/>
      <c r="H73" s="278"/>
      <c r="I73" s="277"/>
    </row>
    <row r="74" spans="2:9">
      <c r="B74" s="198" t="s">
        <v>273</v>
      </c>
      <c r="C74" s="198"/>
      <c r="D74" s="274"/>
      <c r="E74" s="290"/>
      <c r="F74" s="289"/>
      <c r="G74" s="289">
        <v>1.1005879377014864</v>
      </c>
      <c r="H74" s="279">
        <f>H62/H64</f>
        <v>1.1490424368178398</v>
      </c>
      <c r="I74" s="275">
        <f>I62/I64</f>
        <v>1.1221903023699704</v>
      </c>
    </row>
    <row r="75" spans="2:9" hidden="1" outlineLevel="1">
      <c r="B75" s="198" t="s">
        <v>274</v>
      </c>
      <c r="C75" s="198"/>
      <c r="D75" s="219"/>
      <c r="E75" s="219"/>
      <c r="F75" s="219"/>
      <c r="G75" s="219"/>
      <c r="H75" s="221"/>
      <c r="I75" s="221"/>
    </row>
    <row r="76" spans="2:9" hidden="1" outlineLevel="1">
      <c r="B76" s="198" t="s">
        <v>275</v>
      </c>
      <c r="C76" s="198"/>
      <c r="D76" s="219"/>
      <c r="E76" s="219"/>
      <c r="F76" s="219"/>
      <c r="G76" s="219"/>
      <c r="H76" s="220"/>
      <c r="I76" s="220"/>
    </row>
    <row r="77" spans="2:9" outlineLevel="1">
      <c r="B77" s="198"/>
      <c r="C77" s="198"/>
      <c r="D77" s="321"/>
      <c r="E77" s="321"/>
      <c r="F77" s="321"/>
      <c r="G77" s="321"/>
      <c r="H77" s="321"/>
      <c r="I77" s="321"/>
    </row>
    <row r="78" spans="2:9" outlineLevel="1">
      <c r="B78" s="198" t="s">
        <v>315</v>
      </c>
      <c r="C78" s="198"/>
      <c r="D78" s="322"/>
      <c r="E78" s="322"/>
      <c r="F78" s="322"/>
      <c r="G78" s="322">
        <v>6.9602744932270158E-2</v>
      </c>
      <c r="H78" s="323">
        <f>H62/$D$6</f>
        <v>7.2579584700053504E-2</v>
      </c>
      <c r="I78" s="323">
        <f>I62/$D$6</f>
        <v>7.088346216872761E-2</v>
      </c>
    </row>
    <row r="79" spans="2:9">
      <c r="B79" s="198"/>
      <c r="C79" s="198"/>
      <c r="D79" s="218"/>
      <c r="E79" s="218"/>
      <c r="F79" s="218"/>
      <c r="G79" s="218"/>
      <c r="H79" s="218"/>
      <c r="I79" s="218"/>
    </row>
    <row r="80" spans="2:9">
      <c r="B80" s="208" t="s">
        <v>276</v>
      </c>
      <c r="C80" s="208"/>
      <c r="D80" s="183"/>
      <c r="E80" s="183" t="str">
        <f t="shared" ref="E80:G80" si="3">"Per "&amp;IF(MONTH(E15)=12,"4Q",IF(MONTH(E15)=9,"3Q",IF(MONTH(E15)=6,"2Q","1Q")))&amp;RIGHT(YEAR(E15),2)&amp;" Reporting"</f>
        <v>Per 2Q25 Reporting</v>
      </c>
      <c r="F80" s="183" t="str">
        <f t="shared" si="3"/>
        <v>Per 3Q25 Reporting</v>
      </c>
      <c r="G80" s="183" t="str">
        <f t="shared" si="3"/>
        <v>Per 4Q25 Reporting</v>
      </c>
      <c r="H80" s="183" t="str">
        <f>"Per "&amp;IF(MONTH(H15)=12,"4Q",IF(MONTH(H15)=9,"3Q",IF(MONTH(H15)=6,"2Q","1Q")))&amp;RIGHT(YEAR(H15),2)&amp;" Reporting"</f>
        <v>Per 1Q26 Reporting</v>
      </c>
      <c r="I80" s="177"/>
    </row>
    <row r="81" spans="2:9" ht="13.5" thickBot="1">
      <c r="B81" s="222"/>
      <c r="C81" s="222"/>
      <c r="D81" s="223" t="s">
        <v>277</v>
      </c>
      <c r="E81" s="224"/>
      <c r="F81" s="224"/>
      <c r="G81" s="224"/>
      <c r="H81" s="224"/>
      <c r="I81" s="224"/>
    </row>
    <row r="82" spans="2:9">
      <c r="B82" s="213" t="s">
        <v>278</v>
      </c>
      <c r="C82" s="213"/>
      <c r="D82" s="177"/>
      <c r="E82" s="177"/>
      <c r="F82" s="177"/>
      <c r="G82" s="177"/>
      <c r="H82" s="177"/>
      <c r="I82" s="177"/>
    </row>
    <row r="83" spans="2:9">
      <c r="B83" s="163" t="s">
        <v>279</v>
      </c>
      <c r="C83" s="163"/>
      <c r="D83" s="177"/>
      <c r="E83" s="177"/>
      <c r="F83" s="177"/>
      <c r="G83" s="177"/>
      <c r="H83" s="177"/>
      <c r="I83" s="177"/>
    </row>
    <row r="84" spans="2:9">
      <c r="B84" s="225" t="s">
        <v>280</v>
      </c>
      <c r="C84" s="163"/>
      <c r="D84" s="177"/>
      <c r="E84" s="177"/>
      <c r="F84" s="177"/>
      <c r="G84" s="177"/>
      <c r="H84" s="177"/>
      <c r="I84" s="177"/>
    </row>
    <row r="85" spans="2:9">
      <c r="B85" s="226" t="s">
        <v>281</v>
      </c>
      <c r="C85" s="226"/>
      <c r="D85" s="227"/>
      <c r="E85" s="227"/>
      <c r="F85" s="227"/>
      <c r="G85" s="227"/>
      <c r="H85" s="227"/>
      <c r="I85" s="227"/>
    </row>
    <row r="86" spans="2:9">
      <c r="B86" s="228"/>
      <c r="C86" s="228"/>
      <c r="D86" s="229"/>
      <c r="E86" s="229"/>
      <c r="F86" s="229"/>
      <c r="G86" s="229"/>
      <c r="H86" s="229"/>
      <c r="I86" s="229"/>
    </row>
    <row r="87" spans="2:9">
      <c r="B87" s="228"/>
      <c r="C87" s="228"/>
      <c r="D87" s="229"/>
      <c r="E87" s="229"/>
      <c r="F87" s="229"/>
      <c r="G87" s="229"/>
      <c r="H87" s="229"/>
      <c r="I87" s="229"/>
    </row>
    <row r="88" spans="2:9">
      <c r="B88" s="230" t="s">
        <v>282</v>
      </c>
      <c r="C88" s="230"/>
      <c r="D88" s="227"/>
      <c r="E88" s="227"/>
      <c r="F88" s="227"/>
      <c r="G88" s="227"/>
      <c r="H88" s="227"/>
      <c r="I88" s="227"/>
    </row>
    <row r="89" spans="2:9">
      <c r="B89" s="228"/>
      <c r="C89" s="228"/>
      <c r="D89" s="229"/>
      <c r="E89" s="229"/>
      <c r="F89" s="229"/>
      <c r="G89" s="229"/>
      <c r="H89" s="229"/>
      <c r="I89" s="229"/>
    </row>
    <row r="90" spans="2:9">
      <c r="B90" s="228"/>
      <c r="C90" s="228"/>
      <c r="D90" s="229"/>
      <c r="E90" s="229"/>
      <c r="F90" s="229"/>
      <c r="G90" s="229"/>
      <c r="H90" s="229"/>
      <c r="I90" s="229"/>
    </row>
    <row r="91" spans="2:9">
      <c r="B91" s="230" t="s">
        <v>283</v>
      </c>
      <c r="C91" s="230"/>
      <c r="D91" s="227"/>
      <c r="E91" s="227"/>
      <c r="F91" s="227"/>
      <c r="G91" s="227"/>
      <c r="H91" s="227"/>
      <c r="I91" s="227"/>
    </row>
    <row r="92" spans="2:9">
      <c r="B92" s="231"/>
      <c r="C92" s="231"/>
      <c r="D92" s="229"/>
      <c r="E92" s="229"/>
      <c r="F92" s="229"/>
      <c r="G92" s="229"/>
      <c r="H92" s="229"/>
      <c r="I92" s="229"/>
    </row>
    <row r="93" spans="2:9">
      <c r="B93" s="232"/>
      <c r="C93" s="232"/>
      <c r="D93" s="229"/>
      <c r="E93" s="229"/>
      <c r="F93" s="229"/>
      <c r="G93" s="229"/>
      <c r="H93" s="229"/>
      <c r="I93" s="229"/>
    </row>
    <row r="94" spans="2:9">
      <c r="B94" s="226" t="s">
        <v>284</v>
      </c>
      <c r="C94" s="227"/>
      <c r="D94" s="227"/>
      <c r="E94" s="227"/>
      <c r="F94" s="227"/>
      <c r="G94" s="227"/>
      <c r="H94" s="227"/>
      <c r="I94" s="227"/>
    </row>
    <row r="95" spans="2:9">
      <c r="B95" s="227"/>
      <c r="C95" s="227"/>
      <c r="D95" s="227"/>
      <c r="E95" s="227"/>
      <c r="F95" s="227"/>
      <c r="G95" s="227"/>
      <c r="H95" s="227"/>
      <c r="I95" s="227"/>
    </row>
    <row r="96" spans="2:9">
      <c r="B96" s="227" t="s">
        <v>285</v>
      </c>
      <c r="C96" s="227"/>
      <c r="D96" s="227"/>
      <c r="E96" s="227"/>
      <c r="F96" s="227"/>
      <c r="G96" s="227"/>
      <c r="H96" s="227"/>
      <c r="I96" s="227"/>
    </row>
    <row r="97" spans="2:9">
      <c r="B97" s="233" t="s">
        <v>286</v>
      </c>
      <c r="C97" s="233"/>
      <c r="D97" s="177"/>
      <c r="E97" s="177"/>
      <c r="F97" s="177"/>
      <c r="G97" s="177"/>
      <c r="H97" s="177"/>
      <c r="I97" s="177"/>
    </row>
    <row r="98" spans="2:9">
      <c r="B98" s="151" t="s">
        <v>287</v>
      </c>
      <c r="C98" s="151"/>
      <c r="D98" s="177"/>
      <c r="E98" s="177"/>
      <c r="F98" s="177"/>
      <c r="G98" s="177"/>
      <c r="H98" s="177"/>
      <c r="I98" s="177"/>
    </row>
  </sheetData>
  <mergeCells count="3">
    <mergeCell ref="B1:I1"/>
    <mergeCell ref="G4:H4"/>
    <mergeCell ref="D9:H9"/>
  </mergeCells>
  <pageMargins left="0.75" right="0.25" top="0.5" bottom="0.63" header="0.5" footer="0.32"/>
  <pageSetup scale="56" firstPageNumber="75" orientation="portrait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7E1-FCC6-4E8F-B994-CFCB383CB0D3}">
  <dimension ref="B2:T42"/>
  <sheetViews>
    <sheetView showGridLines="0" workbookViewId="0">
      <selection activeCell="B25" sqref="B25"/>
    </sheetView>
  </sheetViews>
  <sheetFormatPr defaultRowHeight="15" outlineLevelRow="1"/>
  <cols>
    <col min="2" max="2" width="31.85546875" bestFit="1" customWidth="1" collapsed="1"/>
    <col min="3" max="3" width="12.85546875" customWidth="1"/>
    <col min="4" max="4" width="11" bestFit="1" customWidth="1"/>
    <col min="5" max="5" width="3.5703125" customWidth="1"/>
    <col min="6" max="6" width="10.5703125" style="3" bestFit="1" customWidth="1"/>
    <col min="7" max="7" width="7.28515625" style="58" bestFit="1" customWidth="1"/>
    <col min="9" max="9" width="10" customWidth="1"/>
    <col min="10" max="10" width="13.5703125" bestFit="1" customWidth="1"/>
    <col min="11" max="12" width="11.7109375" bestFit="1" customWidth="1"/>
    <col min="13" max="13" width="10" bestFit="1" customWidth="1"/>
    <col min="14" max="14" width="13.5703125" bestFit="1" customWidth="1"/>
    <col min="15" max="15" width="11.7109375" bestFit="1" customWidth="1"/>
    <col min="16" max="16" width="10.7109375" bestFit="1" customWidth="1"/>
    <col min="17" max="17" width="10" bestFit="1" customWidth="1"/>
    <col min="18" max="20" width="11.7109375" bestFit="1" customWidth="1"/>
    <col min="21" max="21" width="6.28515625" bestFit="1" customWidth="1"/>
    <col min="22" max="22" width="9.140625" bestFit="1" customWidth="1"/>
  </cols>
  <sheetData>
    <row r="2" spans="2:20" ht="14.45" customHeight="1">
      <c r="B2" s="1" t="s">
        <v>55</v>
      </c>
      <c r="C2" s="312">
        <v>46022</v>
      </c>
      <c r="D2" s="99">
        <v>46112</v>
      </c>
      <c r="E2" s="57"/>
      <c r="F2" s="62" t="s">
        <v>171</v>
      </c>
      <c r="G2" s="59"/>
      <c r="I2" s="315" t="str">
        <f>IF(MONTH('Comm OSAR'!G15)=12,"4Q",IF(MONTH('Comm OSAR'!G15)=9,"3Q",IF(MONTH('Comm OSAR'!G15)=6,"2Q","1Q")))&amp;" "&amp;YEAR('Comm OSAR'!G15)</f>
        <v>4Q 2025</v>
      </c>
      <c r="J2" s="65"/>
      <c r="K2" s="65"/>
      <c r="L2" s="66"/>
      <c r="M2" s="64" t="str">
        <f>IF(MONTH('Comm OSAR'!H15)=12,"4Q",IF(MONTH('Comm OSAR'!H15)=9,"3Q",IF(MONTH('Comm OSAR'!H15)=6,"2Q","1Q")))&amp;" "&amp;YEAR('Comm OSAR'!H15)</f>
        <v>1Q 2026</v>
      </c>
      <c r="N2" s="65"/>
      <c r="O2" s="65"/>
      <c r="P2" s="66"/>
      <c r="Q2" s="64" t="s">
        <v>172</v>
      </c>
      <c r="R2" s="65"/>
      <c r="S2" s="65"/>
      <c r="T2" s="66"/>
    </row>
    <row r="3" spans="2:20" ht="5.0999999999999996" customHeight="1"/>
    <row r="4" spans="2:20">
      <c r="B4" t="s">
        <v>85</v>
      </c>
      <c r="I4" s="67" t="s">
        <v>173</v>
      </c>
      <c r="J4" s="68" t="s">
        <v>176</v>
      </c>
      <c r="K4" s="68" t="s">
        <v>174</v>
      </c>
      <c r="L4" s="69" t="s">
        <v>175</v>
      </c>
      <c r="M4" s="67" t="s">
        <v>173</v>
      </c>
      <c r="N4" s="68" t="s">
        <v>176</v>
      </c>
      <c r="O4" s="68" t="s">
        <v>174</v>
      </c>
      <c r="P4" s="69" t="s">
        <v>175</v>
      </c>
      <c r="Q4" s="68" t="s">
        <v>173</v>
      </c>
      <c r="R4" s="68" t="s">
        <v>176</v>
      </c>
      <c r="S4" s="68" t="s">
        <v>174</v>
      </c>
      <c r="T4" s="69" t="s">
        <v>175</v>
      </c>
    </row>
    <row r="5" spans="2:20">
      <c r="B5" s="7" t="s">
        <v>84</v>
      </c>
      <c r="C5" s="326">
        <f>INDEX('Lender Calc'!$D$5:$F$45,MATCH('Variance Analysis'!$B5,'Lender Calc'!$C$5:$C$45,0),MATCH('Variance Analysis'!$C$2,'Lender Calc'!$D$2:$F$2,0))</f>
        <v>796403.76</v>
      </c>
      <c r="D5" s="327">
        <f>INDEX('Lender Calc'!$E$5:$E$42,MATCH('Variance Analysis'!$B5,'Lender Calc'!$C$5:$C$42,0),MATCH('Variance Analysis'!$D$2,'Lender Calc'!$E$2:$E$2,0))</f>
        <v>796403.76</v>
      </c>
      <c r="F5" s="328">
        <f>IFERROR(D5-C5,0)</f>
        <v>0</v>
      </c>
      <c r="G5" s="329">
        <f>IFERROR(F5/C5,0)</f>
        <v>0</v>
      </c>
      <c r="I5" s="316">
        <f>'Comm OSAR'!G16</f>
        <v>1</v>
      </c>
      <c r="J5" s="317">
        <f>'Comm OSAR'!G62</f>
        <v>724494.97200000007</v>
      </c>
      <c r="K5" s="325">
        <f>'Comm OSAR'!G78</f>
        <v>6.9602744932270158E-2</v>
      </c>
      <c r="L5" s="318">
        <f>'Comm OSAR'!G74</f>
        <v>1.1005879377014864</v>
      </c>
      <c r="M5" s="316">
        <f>'Comm OSAR'!H16</f>
        <v>1</v>
      </c>
      <c r="N5" s="317">
        <f>'Comm OSAR'!I62</f>
        <v>737825.9577142857</v>
      </c>
      <c r="O5" s="319">
        <f>'Lender Calc'!E42/'Comm OSAR'!D6</f>
        <v>7.1843784966306626E-2</v>
      </c>
      <c r="P5" s="318">
        <f>'Comm OSAR'!I74</f>
        <v>1.1221903023699704</v>
      </c>
      <c r="Q5" s="102">
        <f>M5-I5</f>
        <v>0</v>
      </c>
      <c r="R5" s="103">
        <f>N5-J5</f>
        <v>13330.985714285634</v>
      </c>
      <c r="S5" s="104">
        <f>(O5-K5)*10000</f>
        <v>22.410400340364678</v>
      </c>
      <c r="T5" s="105">
        <f>P5-L5</f>
        <v>2.1602364668483975E-2</v>
      </c>
    </row>
    <row r="6" spans="2:20" hidden="1" outlineLevel="1">
      <c r="B6" s="2" t="s">
        <v>56</v>
      </c>
      <c r="C6" s="330" t="e">
        <f>INDEX('Lender Calc'!$E$5:$E$42,MATCH('Variance Analysis'!$B6,'Lender Calc'!$C$5:$C$42,0),MATCH('Variance Analysis'!$C$2,'Lender Calc'!$E$2:$E$2,0))</f>
        <v>#N/A</v>
      </c>
      <c r="D6" s="331">
        <f>INDEX('Lender Calc'!$E$5:$E$42,MATCH('Variance Analysis'!$B6,'Lender Calc'!$C$5:$C$42,0),MATCH('Variance Analysis'!$D$2,'Lender Calc'!$E$2:$E$2,0))</f>
        <v>0</v>
      </c>
      <c r="F6" s="328">
        <f t="shared" ref="F6:F13" si="0">IFERROR(D6-C6,0)</f>
        <v>0</v>
      </c>
      <c r="G6" s="329">
        <f t="shared" ref="G6:G13" si="1">IFERROR(F6/C6,0)</f>
        <v>0</v>
      </c>
    </row>
    <row r="7" spans="2:20" hidden="1" outlineLevel="1">
      <c r="B7" s="2" t="s">
        <v>57</v>
      </c>
      <c r="C7" s="330" t="e">
        <f>INDEX('Lender Calc'!$E$5:$E$42,MATCH('Variance Analysis'!$B7,'Lender Calc'!$C$5:$C$42,0),MATCH('Variance Analysis'!$C$2,'Lender Calc'!$E$2:$E$2,0))</f>
        <v>#N/A</v>
      </c>
      <c r="D7" s="331">
        <f>INDEX('Lender Calc'!$E$5:$E$42,MATCH('Variance Analysis'!$B7,'Lender Calc'!$C$5:$C$42,0),MATCH('Variance Analysis'!$D$2,'Lender Calc'!$E$2:$E$2,0))</f>
        <v>0</v>
      </c>
      <c r="F7" s="328">
        <f t="shared" si="0"/>
        <v>0</v>
      </c>
      <c r="G7" s="329">
        <f t="shared" si="1"/>
        <v>0</v>
      </c>
    </row>
    <row r="8" spans="2:20" hidden="1" outlineLevel="1">
      <c r="B8" s="2" t="s">
        <v>58</v>
      </c>
      <c r="C8" s="330" t="e">
        <f>INDEX('Lender Calc'!$E$5:$E$42,MATCH('Variance Analysis'!$B8,'Lender Calc'!$C$5:$C$42,0),MATCH('Variance Analysis'!$C$2,'Lender Calc'!$E$2:$E$2,0))</f>
        <v>#N/A</v>
      </c>
      <c r="D8" s="331">
        <f>INDEX('Lender Calc'!$E$5:$E$42,MATCH('Variance Analysis'!$B8,'Lender Calc'!$C$5:$C$42,0),MATCH('Variance Analysis'!$D$2,'Lender Calc'!$E$2:$E$2,0))</f>
        <v>0</v>
      </c>
      <c r="F8" s="328">
        <f t="shared" si="0"/>
        <v>0</v>
      </c>
      <c r="G8" s="329">
        <f t="shared" si="1"/>
        <v>0</v>
      </c>
    </row>
    <row r="9" spans="2:20" collapsed="1">
      <c r="B9" s="4" t="s">
        <v>59</v>
      </c>
      <c r="C9" s="332">
        <f>INDEX('Lender Calc'!$D$5:$F$45,MATCH('Variance Analysis'!$B9,'Lender Calc'!$C$5:$C$45,0),MATCH('Variance Analysis'!$C$2,'Lender Calc'!$D$2:$F$2,0))</f>
        <v>-39820.188000000002</v>
      </c>
      <c r="D9" s="331">
        <f>INDEX('Lender Calc'!$E$5:$E$42,MATCH('Variance Analysis'!$B9,'Lender Calc'!$C$5:$C$42,0),MATCH('Variance Analysis'!$D$2,'Lender Calc'!$E$2:$E$2,0))</f>
        <v>-39820.188000000002</v>
      </c>
      <c r="F9" s="328">
        <f t="shared" si="0"/>
        <v>0</v>
      </c>
      <c r="G9" s="333">
        <f t="shared" si="1"/>
        <v>0</v>
      </c>
      <c r="S9" s="63"/>
    </row>
    <row r="10" spans="2:20">
      <c r="B10" s="5" t="s">
        <v>60</v>
      </c>
      <c r="C10" s="334">
        <f>INDEX('Lender Calc'!$D$5:$F$45,MATCH('Variance Analysis'!$B10,'Lender Calc'!$C$5:$C$45,0),MATCH('Variance Analysis'!$C$2,'Lender Calc'!$D$2:$F$2,0))</f>
        <v>0</v>
      </c>
      <c r="D10" s="331">
        <f>INDEX('Lender Calc'!$E$5:$E$42,MATCH('Variance Analysis'!$B10,'Lender Calc'!$C$5:$C$42,0),MATCH('Variance Analysis'!$D$2,'Lender Calc'!$E$2:$E$2,0))</f>
        <v>0</v>
      </c>
      <c r="F10" s="328">
        <f t="shared" si="0"/>
        <v>0</v>
      </c>
      <c r="G10" s="333">
        <f t="shared" si="1"/>
        <v>0</v>
      </c>
    </row>
    <row r="11" spans="2:20">
      <c r="B11" s="5" t="s">
        <v>61</v>
      </c>
      <c r="C11" s="334">
        <f>INDEX('Lender Calc'!$D$5:$F$45,MATCH('Variance Analysis'!$B11,'Lender Calc'!$C$5:$C$45,0),MATCH('Variance Analysis'!$C$2,'Lender Calc'!$D$2:$F$2,0))</f>
        <v>0</v>
      </c>
      <c r="D11" s="331">
        <f>INDEX('Lender Calc'!$E$5:$E$42,MATCH('Variance Analysis'!$B11,'Lender Calc'!$C$5:$C$42,0),MATCH('Variance Analysis'!$D$2,'Lender Calc'!$E$2:$E$2,0))</f>
        <v>0</v>
      </c>
      <c r="F11" s="328">
        <f t="shared" si="0"/>
        <v>0</v>
      </c>
      <c r="G11" s="333">
        <f t="shared" si="1"/>
        <v>0</v>
      </c>
    </row>
    <row r="12" spans="2:20">
      <c r="B12" s="5" t="s">
        <v>62</v>
      </c>
      <c r="C12" s="334">
        <f>INDEX('Lender Calc'!$D$5:$F$45,MATCH('Variance Analysis'!$B12,'Lender Calc'!$C$5:$C$45,0),MATCH('Variance Analysis'!$C$2,'Lender Calc'!$D$2:$F$2,0))</f>
        <v>202044.12</v>
      </c>
      <c r="D12" s="331">
        <f>INDEX('Lender Calc'!$E$5:$E$42,MATCH('Variance Analysis'!$B12,'Lender Calc'!$C$5:$C$42,0),MATCH('Variance Analysis'!$D$2,'Lender Calc'!$E$2:$E$2,0))</f>
        <v>187397.70857142858</v>
      </c>
      <c r="F12" s="328">
        <f t="shared" si="0"/>
        <v>-14646.411428571417</v>
      </c>
      <c r="G12" s="329">
        <f t="shared" si="1"/>
        <v>-7.2491154053735476E-2</v>
      </c>
    </row>
    <row r="13" spans="2:20" hidden="1" outlineLevel="1">
      <c r="B13" s="8" t="s">
        <v>63</v>
      </c>
      <c r="C13" s="335" t="e">
        <f>INDEX('Lender Calc'!$E$5:$E$42,MATCH('Variance Analysis'!$B13,'Lender Calc'!$C$5:$C$42,0),MATCH('Variance Analysis'!$C$2,'Lender Calc'!$E$2:$E$2,0))</f>
        <v>#N/A</v>
      </c>
      <c r="D13" s="331">
        <f>INDEX('Lender Calc'!$E$5:$E$42,MATCH('Variance Analysis'!$B13,'Lender Calc'!$C$5:$C$42,0),MATCH('Variance Analysis'!$D$2,'Lender Calc'!$E$2:$E$2,0))</f>
        <v>187397.70857142858</v>
      </c>
      <c r="F13" s="328">
        <f t="shared" si="0"/>
        <v>0</v>
      </c>
      <c r="G13" s="329">
        <f t="shared" si="1"/>
        <v>0</v>
      </c>
    </row>
    <row r="14" spans="2:20" ht="5.0999999999999996" customHeight="1" collapsed="1">
      <c r="B14" s="3"/>
      <c r="C14" s="336"/>
      <c r="D14" s="337"/>
      <c r="F14" s="336"/>
      <c r="G14" s="338"/>
    </row>
    <row r="15" spans="2:20">
      <c r="B15" s="10" t="s">
        <v>89</v>
      </c>
      <c r="C15" s="108">
        <f>SUM(C12,C11,C10,C9,C5)</f>
        <v>958627.69200000004</v>
      </c>
      <c r="D15" s="108">
        <f>SUM(D12,D11,D10,D9,D5)</f>
        <v>943981.28057142859</v>
      </c>
      <c r="E15" s="61"/>
      <c r="F15" s="339">
        <f>IFERROR(D15-C15,0)</f>
        <v>-14646.411428571446</v>
      </c>
      <c r="G15" s="340">
        <f>IFERROR(F15/C15,0)</f>
        <v>-1.5278519023391038E-2</v>
      </c>
    </row>
    <row r="16" spans="2:20" ht="5.0999999999999996" customHeight="1">
      <c r="F16" s="336"/>
      <c r="G16" s="338"/>
    </row>
    <row r="17" spans="2:7">
      <c r="B17" t="s">
        <v>64</v>
      </c>
      <c r="F17" s="336"/>
      <c r="G17" s="338"/>
    </row>
    <row r="18" spans="2:7">
      <c r="B18" s="7" t="s">
        <v>65</v>
      </c>
      <c r="C18" s="326">
        <f>INDEX('Lender Calc'!$D$5:$F$45,MATCH('Variance Analysis'!$B18,'Lender Calc'!$C$5:$C$45,0),MATCH('Variance Analysis'!$C$2,'Lender Calc'!$D$2:$F$2,0))</f>
        <v>124384.23999999999</v>
      </c>
      <c r="D18" s="327">
        <f>INDEX('Lender Calc'!$E$5:$E$42,MATCH('Variance Analysis'!$B18,'Lender Calc'!$C$5:$C$42,0),MATCH('Variance Analysis'!$D$2,'Lender Calc'!$E$2:$E$2,0))</f>
        <v>103093.34</v>
      </c>
      <c r="F18" s="328">
        <f t="shared" ref="F18:F36" si="2">IFERROR(D18-C18,0)</f>
        <v>-21290.899999999994</v>
      </c>
      <c r="G18" s="329">
        <f t="shared" ref="G18:G36" si="3">IFERROR(F18/C18,0)</f>
        <v>-0.17117039907949749</v>
      </c>
    </row>
    <row r="19" spans="2:7" hidden="1" outlineLevel="1">
      <c r="B19" s="2" t="s">
        <v>66</v>
      </c>
      <c r="C19" s="341">
        <f>INDEX('Lender Calc'!$D$5:$F$45,MATCH('Variance Analysis'!$B19,'Lender Calc'!$C$5:$C$45,0),MATCH('Variance Analysis'!$C$2,'Lender Calc'!$D$2:$F$2,0))</f>
        <v>124384.23999999999</v>
      </c>
      <c r="D19" s="331">
        <f>INDEX('Lender Calc'!$E$5:$E$42,MATCH('Variance Analysis'!$B19,'Lender Calc'!$C$5:$C$42,0),MATCH('Variance Analysis'!$D$2,'Lender Calc'!$E$2:$E$2,0))</f>
        <v>103093.34</v>
      </c>
      <c r="F19" s="328">
        <f t="shared" si="2"/>
        <v>-21290.899999999994</v>
      </c>
      <c r="G19" s="329">
        <f t="shared" si="3"/>
        <v>-0.17117039907949749</v>
      </c>
    </row>
    <row r="20" spans="2:7" collapsed="1">
      <c r="B20" s="5" t="s">
        <v>67</v>
      </c>
      <c r="C20" s="334">
        <f>INDEX('Lender Calc'!$D$5:$F$45,MATCH('Variance Analysis'!$B20,'Lender Calc'!$C$5:$C$45,0),MATCH('Variance Analysis'!$C$2,'Lender Calc'!$D$2:$F$2,0))</f>
        <v>14802.6</v>
      </c>
      <c r="D20" s="331">
        <f>INDEX('Lender Calc'!$E$5:$E$42,MATCH('Variance Analysis'!$B20,'Lender Calc'!$C$5:$C$42,0),MATCH('Variance Analysis'!$D$2,'Lender Calc'!$E$2:$E$2,0))</f>
        <v>13287.445714285715</v>
      </c>
      <c r="F20" s="328">
        <f t="shared" si="2"/>
        <v>-1515.1542857142849</v>
      </c>
      <c r="G20" s="333">
        <f t="shared" si="3"/>
        <v>-0.1023573078860663</v>
      </c>
    </row>
    <row r="21" spans="2:7" hidden="1" outlineLevel="1">
      <c r="B21" s="8" t="s">
        <v>68</v>
      </c>
      <c r="C21" s="335">
        <f>INDEX('Lender Calc'!$D$5:$F$45,MATCH('Variance Analysis'!$B21,'Lender Calc'!$C$5:$C$45,0),MATCH('Variance Analysis'!$C$2,'Lender Calc'!$D$2:$F$2,0))</f>
        <v>14802.6</v>
      </c>
      <c r="D21" s="331">
        <f>INDEX('Lender Calc'!$E$5:$E$42,MATCH('Variance Analysis'!$B21,'Lender Calc'!$C$5:$C$42,0),MATCH('Variance Analysis'!$D$2,'Lender Calc'!$E$2:$E$2,0))</f>
        <v>13287.445714285715</v>
      </c>
      <c r="F21" s="328">
        <f t="shared" si="2"/>
        <v>-1515.1542857142849</v>
      </c>
      <c r="G21" s="329">
        <f t="shared" si="3"/>
        <v>-0.1023573078860663</v>
      </c>
    </row>
    <row r="22" spans="2:7" collapsed="1">
      <c r="B22" s="5" t="s">
        <v>69</v>
      </c>
      <c r="C22" s="334">
        <f>INDEX('Lender Calc'!$D$5:$F$45,MATCH('Variance Analysis'!$B22,'Lender Calc'!$C$5:$C$45,0),MATCH('Variance Analysis'!$C$2,'Lender Calc'!$D$2:$F$2,0))</f>
        <v>1299.92</v>
      </c>
      <c r="D22" s="331">
        <f>INDEX('Lender Calc'!$E$5:$E$42,MATCH('Variance Analysis'!$B22,'Lender Calc'!$C$5:$C$42,0),MATCH('Variance Analysis'!$D$2,'Lender Calc'!$E$2:$E$2,0))</f>
        <v>1713.2057142857143</v>
      </c>
      <c r="F22" s="328">
        <f t="shared" si="2"/>
        <v>413.28571428571422</v>
      </c>
      <c r="G22" s="329">
        <f t="shared" si="3"/>
        <v>0.31793165293688397</v>
      </c>
    </row>
    <row r="23" spans="2:7" hidden="1" outlineLevel="1">
      <c r="B23" s="8" t="s">
        <v>70</v>
      </c>
      <c r="C23" s="335">
        <f>INDEX('Lender Calc'!$D$5:$F$45,MATCH('Variance Analysis'!$B23,'Lender Calc'!$C$5:$C$45,0),MATCH('Variance Analysis'!$C$2,'Lender Calc'!$D$2:$F$2,0))</f>
        <v>1299.92</v>
      </c>
      <c r="D23" s="331">
        <f>INDEX('Lender Calc'!$E$5:$E$42,MATCH('Variance Analysis'!$B23,'Lender Calc'!$C$5:$C$42,0),MATCH('Variance Analysis'!$D$2,'Lender Calc'!$E$2:$E$2,0))</f>
        <v>1713.2057142857143</v>
      </c>
      <c r="F23" s="328">
        <f t="shared" si="2"/>
        <v>413.28571428571422</v>
      </c>
      <c r="G23" s="329">
        <f t="shared" si="3"/>
        <v>0.31793165293688397</v>
      </c>
    </row>
    <row r="24" spans="2:7" hidden="1" outlineLevel="1">
      <c r="B24" s="8" t="s">
        <v>71</v>
      </c>
      <c r="C24" s="335">
        <f>INDEX('Lender Calc'!$D$5:$F$45,MATCH('Variance Analysis'!$B24,'Lender Calc'!$C$5:$C$45,0),MATCH('Variance Analysis'!$C$2,'Lender Calc'!$D$2:$F$2,0))</f>
        <v>0</v>
      </c>
      <c r="D24" s="331">
        <f>INDEX('Lender Calc'!$E$5:$E$42,MATCH('Variance Analysis'!$B24,'Lender Calc'!$C$5:$C$42,0),MATCH('Variance Analysis'!$D$2,'Lender Calc'!$E$2:$E$2,0))</f>
        <v>0</v>
      </c>
      <c r="F24" s="328">
        <f t="shared" si="2"/>
        <v>0</v>
      </c>
      <c r="G24" s="329">
        <f t="shared" si="3"/>
        <v>0</v>
      </c>
    </row>
    <row r="25" spans="2:7" collapsed="1">
      <c r="B25" s="5" t="s">
        <v>72</v>
      </c>
      <c r="C25" s="334">
        <f>INDEX('Lender Calc'!$D$5:$F$45,MATCH('Variance Analysis'!$B25,'Lender Calc'!$C$5:$C$45,0),MATCH('Variance Analysis'!$C$2,'Lender Calc'!$D$2:$F$2,0))</f>
        <v>21693.040000000001</v>
      </c>
      <c r="D25" s="331">
        <f>INDEX('Lender Calc'!$E$5:$E$42,MATCH('Variance Analysis'!$B25,'Lender Calc'!$C$5:$C$42,0),MATCH('Variance Analysis'!$D$2,'Lender Calc'!$E$2:$E$2,0))</f>
        <v>27018.822857142855</v>
      </c>
      <c r="F25" s="328">
        <f t="shared" si="2"/>
        <v>5325.7828571428545</v>
      </c>
      <c r="G25" s="329">
        <f t="shared" si="3"/>
        <v>0.24550652454164351</v>
      </c>
    </row>
    <row r="26" spans="2:7" hidden="1" outlineLevel="1">
      <c r="B26" s="8" t="s">
        <v>73</v>
      </c>
      <c r="C26" s="335">
        <f>INDEX('Lender Calc'!$D$5:$F$45,MATCH('Variance Analysis'!$B26,'Lender Calc'!$C$5:$C$45,0),MATCH('Variance Analysis'!$C$2,'Lender Calc'!$D$2:$F$2,0))</f>
        <v>21693.040000000001</v>
      </c>
      <c r="D26" s="331">
        <f>INDEX('Lender Calc'!$E$5:$E$42,MATCH('Variance Analysis'!$B26,'Lender Calc'!$C$5:$C$42,0),MATCH('Variance Analysis'!$D$2,'Lender Calc'!$E$2:$E$2,0))</f>
        <v>27018.822857142855</v>
      </c>
      <c r="F26" s="328">
        <f t="shared" si="2"/>
        <v>5325.7828571428545</v>
      </c>
      <c r="G26" s="329">
        <f t="shared" si="3"/>
        <v>0.24550652454164351</v>
      </c>
    </row>
    <row r="27" spans="2:7" hidden="1" outlineLevel="1">
      <c r="B27" s="8" t="s">
        <v>74</v>
      </c>
      <c r="C27" s="335">
        <f>INDEX('Lender Calc'!$D$5:$F$45,MATCH('Variance Analysis'!$B27,'Lender Calc'!$C$5:$C$45,0),MATCH('Variance Analysis'!$C$2,'Lender Calc'!$D$2:$F$2,0))</f>
        <v>0</v>
      </c>
      <c r="D27" s="331">
        <f>INDEX('Lender Calc'!$E$5:$E$42,MATCH('Variance Analysis'!$B27,'Lender Calc'!$C$5:$C$42,0),MATCH('Variance Analysis'!$D$2,'Lender Calc'!$E$2:$E$2,0))</f>
        <v>0</v>
      </c>
      <c r="F27" s="328">
        <f t="shared" si="2"/>
        <v>0</v>
      </c>
      <c r="G27" s="329">
        <f t="shared" si="3"/>
        <v>0</v>
      </c>
    </row>
    <row r="28" spans="2:7" collapsed="1">
      <c r="B28" s="45">
        <v>0.03</v>
      </c>
      <c r="C28" s="334">
        <f>INDEX('Lender Calc'!$D$5:$F$45,MATCH('Variance Analysis'!$B28,'Lender Calc'!$C$5:$C$45,0),MATCH('Variance Analysis'!$C$2,'Lender Calc'!$D$2:$F$2,0))</f>
        <v>38427</v>
      </c>
      <c r="D28" s="331">
        <f>INDEX('Lender Calc'!$E$5:$E$42,MATCH('Variance Analysis'!$B28,'Lender Calc'!$C$5:$C$42,0),MATCH('Variance Analysis'!$D$2,'Lender Calc'!$E$2:$E$2,0))</f>
        <v>29701.594285714287</v>
      </c>
      <c r="F28" s="328">
        <f t="shared" si="2"/>
        <v>-8725.4057142857127</v>
      </c>
      <c r="G28" s="329">
        <f t="shared" si="3"/>
        <v>-0.22706445244972839</v>
      </c>
    </row>
    <row r="29" spans="2:7">
      <c r="B29" s="5" t="s">
        <v>76</v>
      </c>
      <c r="C29" s="334">
        <f>INDEX('Lender Calc'!$D$5:$F$45,MATCH('Variance Analysis'!$B29,'Lender Calc'!$C$5:$C$45,0),MATCH('Variance Analysis'!$C$2,'Lender Calc'!$D$2:$F$2,0))</f>
        <v>0</v>
      </c>
      <c r="D29" s="331">
        <f>INDEX('Lender Calc'!$E$5:$E$42,MATCH('Variance Analysis'!$B29,'Lender Calc'!$C$5:$C$42,0),MATCH('Variance Analysis'!$D$2,'Lender Calc'!$E$2:$E$2,0))</f>
        <v>0</v>
      </c>
      <c r="F29" s="328">
        <f t="shared" si="2"/>
        <v>0</v>
      </c>
      <c r="G29" s="333">
        <f t="shared" si="3"/>
        <v>0</v>
      </c>
    </row>
    <row r="30" spans="2:7">
      <c r="B30" s="5" t="s">
        <v>77</v>
      </c>
      <c r="C30" s="334">
        <f>INDEX('Lender Calc'!$D$5:$F$45,MATCH('Variance Analysis'!$B30,'Lender Calc'!$C$5:$C$45,0),MATCH('Variance Analysis'!$C$2,'Lender Calc'!$D$2:$F$2,0))</f>
        <v>0</v>
      </c>
      <c r="D30" s="331">
        <f>INDEX('Lender Calc'!$E$5:$E$42,MATCH('Variance Analysis'!$B30,'Lender Calc'!$C$5:$C$42,0),MATCH('Variance Analysis'!$D$2,'Lender Calc'!$E$2:$E$2,0))</f>
        <v>0</v>
      </c>
      <c r="F30" s="328">
        <f t="shared" si="2"/>
        <v>0</v>
      </c>
      <c r="G30" s="333">
        <f t="shared" si="3"/>
        <v>0</v>
      </c>
    </row>
    <row r="31" spans="2:7">
      <c r="B31" s="5" t="s">
        <v>78</v>
      </c>
      <c r="C31" s="334">
        <f>INDEX('Lender Calc'!$D$5:$F$45,MATCH('Variance Analysis'!$B31,'Lender Calc'!$C$5:$C$45,0),MATCH('Variance Analysis'!$C$2,'Lender Calc'!$D$2:$F$2,0))</f>
        <v>0</v>
      </c>
      <c r="D31" s="331">
        <f>INDEX('Lender Calc'!$E$5:$E$42,MATCH('Variance Analysis'!$B31,'Lender Calc'!$C$5:$C$42,0),MATCH('Variance Analysis'!$D$2,'Lender Calc'!$E$2:$E$2,0))</f>
        <v>2192.2628571428568</v>
      </c>
      <c r="F31" s="328">
        <f t="shared" si="2"/>
        <v>2192.2628571428568</v>
      </c>
      <c r="G31" s="329">
        <f t="shared" si="3"/>
        <v>0</v>
      </c>
    </row>
    <row r="32" spans="2:7" hidden="1" outlineLevel="1">
      <c r="B32" s="8" t="s">
        <v>79</v>
      </c>
      <c r="C32" s="335">
        <f>INDEX('Lender Calc'!$D$5:$F$45,MATCH('Variance Analysis'!$B32,'Lender Calc'!$C$5:$C$45,0),MATCH('Variance Analysis'!$C$2,'Lender Calc'!$D$2:$F$2,0))</f>
        <v>0</v>
      </c>
      <c r="D32" s="331">
        <f>INDEX('Lender Calc'!$E$5:$E$42,MATCH('Variance Analysis'!$B32,'Lender Calc'!$C$5:$C$42,0),MATCH('Variance Analysis'!$D$2,'Lender Calc'!$E$2:$E$2,0))</f>
        <v>2192.2628571428568</v>
      </c>
      <c r="F32" s="328">
        <f t="shared" si="2"/>
        <v>2192.2628571428568</v>
      </c>
      <c r="G32" s="329">
        <f t="shared" si="3"/>
        <v>0</v>
      </c>
    </row>
    <row r="33" spans="2:7" collapsed="1">
      <c r="B33" s="5" t="s">
        <v>80</v>
      </c>
      <c r="C33" s="334">
        <f>INDEX('Lender Calc'!$D$5:$F$45,MATCH('Variance Analysis'!$B33,'Lender Calc'!$C$5:$C$45,0),MATCH('Variance Analysis'!$C$2,'Lender Calc'!$D$2:$F$2,0))</f>
        <v>22092.6</v>
      </c>
      <c r="D33" s="331">
        <f>INDEX('Lender Calc'!$E$5:$E$42,MATCH('Variance Analysis'!$B33,'Lender Calc'!$C$5:$C$42,0),MATCH('Variance Analysis'!$D$2,'Lender Calc'!$E$2:$E$2,0))</f>
        <v>18579.325714285715</v>
      </c>
      <c r="F33" s="328">
        <f t="shared" si="2"/>
        <v>-3513.2742857142839</v>
      </c>
      <c r="G33" s="329">
        <f t="shared" si="3"/>
        <v>-0.15902493530477554</v>
      </c>
    </row>
    <row r="34" spans="2:7" hidden="1" outlineLevel="1">
      <c r="B34" s="8" t="s">
        <v>81</v>
      </c>
      <c r="C34" s="335">
        <f>INDEX('Lender Calc'!$D$5:$F$45,MATCH('Variance Analysis'!$B34,'Lender Calc'!$C$5:$C$45,0),MATCH('Variance Analysis'!$C$2,'Lender Calc'!$D$2:$F$2,0))</f>
        <v>22092.6</v>
      </c>
      <c r="D34" s="331">
        <f>INDEX('Lender Calc'!$E$5:$E$42,MATCH('Variance Analysis'!$B34,'Lender Calc'!$C$5:$C$42,0),MATCH('Variance Analysis'!$D$2,'Lender Calc'!$E$2:$E$2,0))</f>
        <v>18579.325714285715</v>
      </c>
      <c r="F34" s="328">
        <f t="shared" si="2"/>
        <v>-3513.2742857142839</v>
      </c>
      <c r="G34" s="329">
        <f t="shared" si="3"/>
        <v>-0.15902493530477554</v>
      </c>
    </row>
    <row r="35" spans="2:7" collapsed="1">
      <c r="B35" s="5" t="s">
        <v>82</v>
      </c>
      <c r="C35" s="334">
        <f>INDEX('Lender Calc'!$D$5:$F$45,MATCH('Variance Analysis'!$B35,'Lender Calc'!$C$5:$C$45,0),MATCH('Variance Analysis'!$C$2,'Lender Calc'!$D$2:$F$2,0))</f>
        <v>1437.32</v>
      </c>
      <c r="D35" s="331">
        <f>INDEX('Lender Calc'!$E$5:$E$42,MATCH('Variance Analysis'!$B35,'Lender Calc'!$C$5:$C$42,0),MATCH('Variance Analysis'!$D$2,'Lender Calc'!$E$2:$E$2,0))</f>
        <v>573.3257142857143</v>
      </c>
      <c r="F35" s="328">
        <f t="shared" si="2"/>
        <v>-863.99428571428564</v>
      </c>
      <c r="G35" s="329">
        <f t="shared" si="3"/>
        <v>-0.60111477312935579</v>
      </c>
    </row>
    <row r="36" spans="2:7" hidden="1" outlineLevel="1">
      <c r="B36" s="5" t="s">
        <v>83</v>
      </c>
      <c r="C36" s="107" t="e">
        <f>INDEX('Lender Calc'!$E$5:$E$42,MATCH('Variance Analysis'!$B36,'Lender Calc'!$C$5:$C$42,0),MATCH('Variance Analysis'!$C$2,'Lender Calc'!$E$2:$E$2,0))</f>
        <v>#N/A</v>
      </c>
      <c r="D36" s="106">
        <f>INDEX('Lender Calc'!$E$5:$E$42,MATCH('Variance Analysis'!$B36,'Lender Calc'!$C$5:$C$42,0),MATCH('Variance Analysis'!$D$2,'Lender Calc'!$E$2:$E$2,0))</f>
        <v>573.3257142857143</v>
      </c>
      <c r="F36" s="100">
        <f t="shared" si="2"/>
        <v>0</v>
      </c>
      <c r="G36" s="101">
        <f t="shared" si="3"/>
        <v>0</v>
      </c>
    </row>
    <row r="37" spans="2:7" ht="5.0999999999999996" customHeight="1" collapsed="1">
      <c r="B37" s="5"/>
      <c r="C37" s="5"/>
      <c r="D37" s="48"/>
    </row>
    <row r="38" spans="2:7">
      <c r="B38" s="10" t="s">
        <v>90</v>
      </c>
      <c r="C38" s="108">
        <f>SUM(C18,C20,C22,C25,C28,C29,C30,C31,C33,C35)</f>
        <v>224136.72000000003</v>
      </c>
      <c r="D38" s="108">
        <f>SUM(D18,D20,D22,D25,D28,D29,D30,D31,D33,D35)</f>
        <v>196159.32285714286</v>
      </c>
      <c r="E38" s="61"/>
      <c r="F38" s="109">
        <f>IFERROR(D38-C38,0)</f>
        <v>-27977.397142857168</v>
      </c>
      <c r="G38" s="110">
        <f>IFERROR(F38/C38,0)</f>
        <v>-0.1248229078343663</v>
      </c>
    </row>
    <row r="39" spans="2:7" ht="5.0999999999999996" customHeight="1">
      <c r="B39" s="11"/>
      <c r="C39" s="11"/>
      <c r="D39" s="11"/>
    </row>
    <row r="40" spans="2:7">
      <c r="B40" s="13" t="s">
        <v>91</v>
      </c>
      <c r="C40" s="111">
        <f>C38/C15</f>
        <v>0.23380997844155749</v>
      </c>
      <c r="D40" s="111">
        <f>D38/D15</f>
        <v>0.20780001351128488</v>
      </c>
      <c r="E40" s="60"/>
      <c r="F40"/>
      <c r="G40"/>
    </row>
    <row r="41" spans="2:7" ht="5.0999999999999996" customHeight="1"/>
    <row r="42" spans="2:7">
      <c r="B42" s="10" t="s">
        <v>92</v>
      </c>
      <c r="C42" s="108">
        <f>C15-C38</f>
        <v>734490.97200000007</v>
      </c>
      <c r="D42" s="108">
        <f>D15-D38</f>
        <v>747821.9577142857</v>
      </c>
      <c r="E42" s="61"/>
      <c r="F42" s="109">
        <f>IFERROR(D42-C42,0)</f>
        <v>13330.985714285634</v>
      </c>
      <c r="G42" s="110">
        <f>IFERROR(F42/C42,0)</f>
        <v>1.8149965380766631E-2</v>
      </c>
    </row>
  </sheetData>
  <conditionalFormatting sqref="C5:D12">
    <cfRule type="cellIs" dxfId="6" priority="1" operator="equal">
      <formula>0</formula>
    </cfRule>
  </conditionalFormatting>
  <conditionalFormatting sqref="C18:D35">
    <cfRule type="cellIs" dxfId="5" priority="3" operator="equal">
      <formula>0</formula>
    </cfRule>
  </conditionalFormatting>
  <conditionalFormatting sqref="F5:G12">
    <cfRule type="cellIs" dxfId="4" priority="2" operator="equal">
      <formula>0</formula>
    </cfRule>
  </conditionalFormatting>
  <conditionalFormatting sqref="F18:G35">
    <cfRule type="cellIs" dxfId="3" priority="4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07B7-1A46-462D-AEB2-3F6B641279EE}">
  <sheetPr>
    <tabColor theme="4"/>
  </sheetPr>
  <dimension ref="A1"/>
  <sheetViews>
    <sheetView showGridLines="0" workbookViewId="0">
      <selection activeCell="K16" sqref="K16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A325-E87A-42B0-A92F-54116A5EBB06}">
  <dimension ref="B2:E50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22" sqref="E22"/>
    </sheetView>
  </sheetViews>
  <sheetFormatPr defaultRowHeight="15" outlineLevelRow="1" outlineLevelCol="1"/>
  <cols>
    <col min="2" max="2" width="31.85546875" hidden="1" customWidth="1" outlineLevel="1"/>
    <col min="3" max="3" width="31.85546875" bestFit="1" customWidth="1" collapsed="1"/>
    <col min="4" max="5" width="13.5703125" bestFit="1" customWidth="1"/>
  </cols>
  <sheetData>
    <row r="2" spans="2:5">
      <c r="B2" t="s">
        <v>86</v>
      </c>
      <c r="C2" s="1" t="s">
        <v>55</v>
      </c>
      <c r="D2" s="112">
        <v>46022</v>
      </c>
      <c r="E2" s="324">
        <f>'Comm OSAR'!H15</f>
        <v>46112</v>
      </c>
    </row>
    <row r="3" spans="2:5" ht="5.0999999999999996" customHeight="1">
      <c r="D3" s="51"/>
      <c r="E3" s="51"/>
    </row>
    <row r="4" spans="2:5">
      <c r="C4" t="s">
        <v>85</v>
      </c>
      <c r="D4" s="51"/>
      <c r="E4" s="51"/>
    </row>
    <row r="5" spans="2:5" s="6" customFormat="1">
      <c r="C5" s="7" t="s">
        <v>84</v>
      </c>
      <c r="D5" s="113">
        <v>985934.35999999987</v>
      </c>
      <c r="E5" s="113">
        <f>SUM(E6:E8)</f>
        <v>771432.30857142841</v>
      </c>
    </row>
    <row r="6" spans="2:5" hidden="1" outlineLevel="1">
      <c r="B6" t="s">
        <v>2</v>
      </c>
      <c r="C6" s="2" t="s">
        <v>56</v>
      </c>
      <c r="D6" s="114">
        <v>964533.31999999983</v>
      </c>
      <c r="E6" s="114">
        <f>IFERROR(INDEX('T12'!$N:$N,MATCH('Actuals (T12)'!$B6,'T12'!$A:$A,0)),0)</f>
        <v>754687.31999999983</v>
      </c>
    </row>
    <row r="7" spans="2:5" hidden="1" outlineLevel="1">
      <c r="B7" t="s">
        <v>3</v>
      </c>
      <c r="C7" s="2" t="s">
        <v>57</v>
      </c>
      <c r="D7" s="114">
        <v>21401.040000000001</v>
      </c>
      <c r="E7" s="114">
        <f>IFERROR(INDEX('T12'!$N:$N,MATCH('Actuals (T12)'!$B7,'T12'!$A:$A,0)),0)</f>
        <v>16744.98857142857</v>
      </c>
    </row>
    <row r="8" spans="2:5" hidden="1" outlineLevel="1">
      <c r="B8" t="s">
        <v>87</v>
      </c>
      <c r="C8" s="2" t="s">
        <v>58</v>
      </c>
      <c r="D8" s="114">
        <v>0</v>
      </c>
      <c r="E8" s="114">
        <f>IFERROR(INDEX('T12'!$N:$N,MATCH('Actuals (T12)'!$B8,'T12'!$A:$A,0)),0)</f>
        <v>0</v>
      </c>
    </row>
    <row r="9" spans="2:5" s="3" customFormat="1" collapsed="1">
      <c r="C9" s="4" t="s">
        <v>59</v>
      </c>
      <c r="D9" s="114">
        <v>0</v>
      </c>
      <c r="E9" s="114">
        <f>IFERROR(INDEX('T12'!$N:$N,MATCH('Actuals (T12)'!$B9,'T12'!$A:$A,0)),0)</f>
        <v>0</v>
      </c>
    </row>
    <row r="10" spans="2:5" s="3" customFormat="1">
      <c r="C10" s="5" t="s">
        <v>60</v>
      </c>
      <c r="D10" s="114">
        <v>0</v>
      </c>
      <c r="E10" s="114">
        <f>IFERROR(INDEX('T12'!$N:$N,MATCH('Actuals (T12)'!$B10,'T12'!$A:$A,0)),0)</f>
        <v>0</v>
      </c>
    </row>
    <row r="11" spans="2:5" s="3" customFormat="1">
      <c r="C11" s="5" t="s">
        <v>61</v>
      </c>
      <c r="D11" s="114">
        <v>0</v>
      </c>
      <c r="E11" s="114">
        <f>IFERROR(INDEX('T12'!$O:$O,MATCH('Actuals (T12)'!$B11,'T12'!$A:$A,0)),0)</f>
        <v>0</v>
      </c>
    </row>
    <row r="12" spans="2:5" s="3" customFormat="1">
      <c r="C12" s="5" t="s">
        <v>62</v>
      </c>
      <c r="D12" s="115">
        <v>202044.12</v>
      </c>
      <c r="E12" s="115">
        <f>SUM(E13)</f>
        <v>187397.70857142858</v>
      </c>
    </row>
    <row r="13" spans="2:5" s="3" customFormat="1" hidden="1" outlineLevel="1">
      <c r="B13" s="3" t="s">
        <v>18</v>
      </c>
      <c r="C13" s="8" t="s">
        <v>63</v>
      </c>
      <c r="D13" s="114">
        <v>202044.12</v>
      </c>
      <c r="E13" s="114">
        <f>IFERROR(INDEX('T12'!$N:$N,MATCH('Actuals (T12)'!$B13,'T12'!$A:$A,0)),0)</f>
        <v>187397.70857142858</v>
      </c>
    </row>
    <row r="14" spans="2:5" s="3" customFormat="1" ht="5.0999999999999996" customHeight="1" collapsed="1">
      <c r="D14" s="52"/>
      <c r="E14" s="52"/>
    </row>
    <row r="15" spans="2:5" s="9" customFormat="1">
      <c r="C15" s="10" t="s">
        <v>89</v>
      </c>
      <c r="D15" s="116">
        <v>1187978.48</v>
      </c>
      <c r="E15" s="116">
        <f>SUM(E5,E9,E10,E11,E12)</f>
        <v>958830.01714285696</v>
      </c>
    </row>
    <row r="16" spans="2:5" s="9" customFormat="1" ht="5.0999999999999996" customHeight="1">
      <c r="D16" s="54"/>
      <c r="E16" s="54"/>
    </row>
    <row r="17" spans="2:5" s="3" customFormat="1">
      <c r="C17" s="47" t="s">
        <v>88</v>
      </c>
      <c r="D17" s="115">
        <v>0</v>
      </c>
      <c r="E17" s="115">
        <f>E15-E18</f>
        <v>0</v>
      </c>
    </row>
    <row r="18" spans="2:5" s="3" customFormat="1" hidden="1" outlineLevel="1">
      <c r="B18" s="3" t="s">
        <v>19</v>
      </c>
      <c r="C18" s="47"/>
      <c r="D18" s="114">
        <v>1187978.48</v>
      </c>
      <c r="E18" s="114">
        <f>IFERROR(INDEX('T12'!$N:$N,MATCH('Actuals (T12)'!$B18,'T12'!$A:$A,0)),0)</f>
        <v>958830.01714285719</v>
      </c>
    </row>
    <row r="19" spans="2:5" ht="5.0999999999999996" customHeight="1" collapsed="1">
      <c r="D19" s="51"/>
      <c r="E19" s="51"/>
    </row>
    <row r="20" spans="2:5">
      <c r="C20" t="s">
        <v>64</v>
      </c>
      <c r="D20" s="51"/>
      <c r="E20" s="51"/>
    </row>
    <row r="21" spans="2:5" s="6" customFormat="1">
      <c r="C21" s="7" t="s">
        <v>65</v>
      </c>
      <c r="D21" s="113">
        <v>124384.23999999999</v>
      </c>
      <c r="E21" s="113">
        <f>SUM(E22)</f>
        <v>100287.13714285713</v>
      </c>
    </row>
    <row r="22" spans="2:5" outlineLevel="1">
      <c r="B22" t="s">
        <v>23</v>
      </c>
      <c r="C22" s="2" t="s">
        <v>66</v>
      </c>
      <c r="D22" s="114">
        <v>124384.23999999999</v>
      </c>
      <c r="E22" s="114">
        <f>IFERROR(INDEX('T12'!$N:$N,MATCH('Actuals (T12)'!$B22,'T12'!$A:$A,0)),0)</f>
        <v>100287.13714285713</v>
      </c>
    </row>
    <row r="23" spans="2:5" s="3" customFormat="1">
      <c r="C23" s="5" t="s">
        <v>67</v>
      </c>
      <c r="D23" s="115">
        <v>14802.6</v>
      </c>
      <c r="E23" s="115">
        <f>SUM(E24)</f>
        <v>13287.445714285715</v>
      </c>
    </row>
    <row r="24" spans="2:5" s="3" customFormat="1" hidden="1" outlineLevel="1">
      <c r="B24" s="3" t="s">
        <v>28</v>
      </c>
      <c r="C24" s="8" t="s">
        <v>68</v>
      </c>
      <c r="D24" s="114">
        <v>14802.6</v>
      </c>
      <c r="E24" s="114">
        <f>IFERROR(INDEX('T12'!$N:$N,MATCH('Actuals (T12)'!$B24,'T12'!$A:$A,0)),0)</f>
        <v>13287.445714285715</v>
      </c>
    </row>
    <row r="25" spans="2:5" s="3" customFormat="1" collapsed="1">
      <c r="C25" s="5" t="s">
        <v>69</v>
      </c>
      <c r="D25" s="115">
        <v>1299.92</v>
      </c>
      <c r="E25" s="115">
        <f>SUM(E26:E27)</f>
        <v>1713.2057142857143</v>
      </c>
    </row>
    <row r="26" spans="2:5" s="3" customFormat="1" hidden="1" outlineLevel="1">
      <c r="B26" s="3" t="s">
        <v>31</v>
      </c>
      <c r="C26" s="8" t="s">
        <v>70</v>
      </c>
      <c r="D26" s="114">
        <v>1299.92</v>
      </c>
      <c r="E26" s="114">
        <f>IFERROR(INDEX('T12'!$N:$N,MATCH('Actuals (T12)'!$B26,'T12'!$A:$A,0)),0)</f>
        <v>1713.2057142857143</v>
      </c>
    </row>
    <row r="27" spans="2:5" s="3" customFormat="1" hidden="1" outlineLevel="1">
      <c r="B27" s="3" t="s">
        <v>50</v>
      </c>
      <c r="C27" s="8" t="s">
        <v>71</v>
      </c>
      <c r="D27" s="114">
        <v>0</v>
      </c>
      <c r="E27" s="114">
        <f>IFERROR(INDEX('T12'!$N:$N,MATCH('Actuals (T12)'!$B27,'T12'!$A:$A,0)),0)</f>
        <v>0</v>
      </c>
    </row>
    <row r="28" spans="2:5" s="3" customFormat="1" collapsed="1">
      <c r="C28" s="5" t="s">
        <v>72</v>
      </c>
      <c r="D28" s="115">
        <v>21693.040000000001</v>
      </c>
      <c r="E28" s="115">
        <f>SUM(E29:E30)</f>
        <v>27018.822857142855</v>
      </c>
    </row>
    <row r="29" spans="2:5" s="3" customFormat="1" hidden="1" outlineLevel="1">
      <c r="B29" s="3" t="s">
        <v>38</v>
      </c>
      <c r="C29" s="8" t="s">
        <v>73</v>
      </c>
      <c r="D29" s="114">
        <v>21693.040000000001</v>
      </c>
      <c r="E29" s="114">
        <f>IFERROR(INDEX('T12'!$N:$N,MATCH('Actuals (T12)'!$B29,'T12'!$A:$A,0)),0)</f>
        <v>27018.822857142855</v>
      </c>
    </row>
    <row r="30" spans="2:5" s="3" customFormat="1" hidden="1" outlineLevel="1">
      <c r="B30" s="3" t="s">
        <v>49</v>
      </c>
      <c r="C30" s="8" t="s">
        <v>74</v>
      </c>
      <c r="D30" s="114">
        <v>0</v>
      </c>
      <c r="E30" s="114">
        <f>IFERROR(INDEX('T12'!$N:$N,MATCH('Actuals (T12)'!$B30,'T12'!$A:$A,0)),0)</f>
        <v>0</v>
      </c>
    </row>
    <row r="31" spans="2:5" s="3" customFormat="1" collapsed="1">
      <c r="C31" s="303">
        <v>0.03</v>
      </c>
      <c r="D31" s="115">
        <v>38427</v>
      </c>
      <c r="E31" s="115">
        <f>SUM(E32)</f>
        <v>29701.594285714287</v>
      </c>
    </row>
    <row r="32" spans="2:5" s="3" customFormat="1" hidden="1" outlineLevel="1">
      <c r="B32" s="3" t="s">
        <v>44</v>
      </c>
      <c r="C32" s="46" t="s">
        <v>75</v>
      </c>
      <c r="D32" s="114">
        <v>38427</v>
      </c>
      <c r="E32" s="114">
        <f>IFERROR(INDEX('T12'!$N:$N,MATCH('Actuals (T12)'!$B32,'T12'!$A:$A,0)),0)</f>
        <v>29701.594285714287</v>
      </c>
    </row>
    <row r="33" spans="2:5" s="3" customFormat="1" collapsed="1">
      <c r="C33" s="5" t="s">
        <v>76</v>
      </c>
      <c r="D33" s="114">
        <v>0</v>
      </c>
      <c r="E33" s="114">
        <f>IFERROR(INDEX('T12'!$N:$N,MATCH('Actuals (T12)'!$B33,'T12'!$A:$A,0)),0)</f>
        <v>0</v>
      </c>
    </row>
    <row r="34" spans="2:5" s="3" customFormat="1">
      <c r="C34" s="5" t="s">
        <v>77</v>
      </c>
      <c r="D34" s="114">
        <v>0</v>
      </c>
      <c r="E34" s="114">
        <f>IFERROR(INDEX('T12'!$N:$N,MATCH('Actuals (T12)'!$B34,'T12'!$A:$A,0)),0)</f>
        <v>0</v>
      </c>
    </row>
    <row r="35" spans="2:5" s="3" customFormat="1">
      <c r="C35" s="5" t="s">
        <v>78</v>
      </c>
      <c r="D35" s="115">
        <v>0</v>
      </c>
      <c r="E35" s="115">
        <f>SUM(E36)</f>
        <v>2192.2628571428568</v>
      </c>
    </row>
    <row r="36" spans="2:5" s="3" customFormat="1" hidden="1" outlineLevel="1">
      <c r="B36" s="3" t="s">
        <v>48</v>
      </c>
      <c r="C36" s="8" t="s">
        <v>79</v>
      </c>
      <c r="D36" s="114">
        <v>0</v>
      </c>
      <c r="E36" s="114">
        <f>IFERROR(INDEX('T12'!$N:$N,MATCH('Actuals (T12)'!$B36,'T12'!$A:$A,0)),0)</f>
        <v>2192.2628571428568</v>
      </c>
    </row>
    <row r="37" spans="2:5" s="3" customFormat="1" collapsed="1">
      <c r="C37" s="5" t="s">
        <v>80</v>
      </c>
      <c r="D37" s="115">
        <v>22092.6</v>
      </c>
      <c r="E37" s="115">
        <f>SUM(E38)</f>
        <v>18579.325714285715</v>
      </c>
    </row>
    <row r="38" spans="2:5" s="3" customFormat="1" hidden="1" outlineLevel="1">
      <c r="B38" s="3" t="s">
        <v>51</v>
      </c>
      <c r="C38" s="8" t="s">
        <v>81</v>
      </c>
      <c r="D38" s="114">
        <v>22092.6</v>
      </c>
      <c r="E38" s="114">
        <f>IFERROR(INDEX('T12'!$N:$N,MATCH('Actuals (T12)'!$B38,'T12'!$A:$A,0)),0)</f>
        <v>18579.325714285715</v>
      </c>
    </row>
    <row r="39" spans="2:5" s="3" customFormat="1" collapsed="1">
      <c r="C39" s="5" t="s">
        <v>82</v>
      </c>
      <c r="D39" s="115">
        <v>1437.32</v>
      </c>
      <c r="E39" s="115">
        <f>SUM(E40)</f>
        <v>573.3257142857143</v>
      </c>
    </row>
    <row r="40" spans="2:5" s="3" customFormat="1" hidden="1" outlineLevel="1">
      <c r="B40" s="3" t="s">
        <v>41</v>
      </c>
      <c r="C40" s="5" t="s">
        <v>83</v>
      </c>
      <c r="D40" s="114">
        <v>1437.32</v>
      </c>
      <c r="E40" s="114">
        <f>IFERROR(INDEX('T12'!$N:$N,MATCH('Actuals (T12)'!$B40,'T12'!$A:$A,0)),0)</f>
        <v>573.3257142857143</v>
      </c>
    </row>
    <row r="41" spans="2:5" s="3" customFormat="1" ht="5.0999999999999996" customHeight="1" collapsed="1">
      <c r="C41" s="5"/>
      <c r="D41" s="52"/>
      <c r="E41" s="52"/>
    </row>
    <row r="42" spans="2:5" s="9" customFormat="1">
      <c r="C42" s="10" t="s">
        <v>90</v>
      </c>
      <c r="D42" s="116">
        <v>224136.72000000003</v>
      </c>
      <c r="E42" s="116">
        <f>SUM(E21,E23,E25,E28,E31,E33,E34,E35,E37,E39)</f>
        <v>193353.12</v>
      </c>
    </row>
    <row r="43" spans="2:5" s="9" customFormat="1" ht="5.0999999999999996" customHeight="1">
      <c r="C43" s="49"/>
      <c r="D43" s="55"/>
      <c r="E43" s="55"/>
    </row>
    <row r="44" spans="2:5" s="9" customFormat="1">
      <c r="C44" s="6" t="s">
        <v>88</v>
      </c>
      <c r="D44" s="115">
        <v>0</v>
      </c>
      <c r="E44" s="115">
        <f>E42-SUM(E45:E46)</f>
        <v>0</v>
      </c>
    </row>
    <row r="45" spans="2:5" s="9" customFormat="1" hidden="1" outlineLevel="1">
      <c r="B45" s="6" t="s">
        <v>45</v>
      </c>
      <c r="C45" s="6"/>
      <c r="D45" s="114">
        <v>202044.12</v>
      </c>
      <c r="E45" s="114">
        <f>IFERROR(INDEX('T12'!$N:$N,MATCH('Actuals (T12)'!$B45,'T12'!$A:$A,0)),0)</f>
        <v>172581.53142857144</v>
      </c>
    </row>
    <row r="46" spans="2:5" s="9" customFormat="1" hidden="1" outlineLevel="1">
      <c r="B46" s="6" t="s">
        <v>53</v>
      </c>
      <c r="D46" s="114">
        <v>22092.6</v>
      </c>
      <c r="E46" s="114">
        <f>IFERROR(INDEX('T12'!$N:$N,MATCH('Actuals (T12)'!$B46,'T12'!$A:$A,0)),0)</f>
        <v>20771.588571428572</v>
      </c>
    </row>
    <row r="47" spans="2:5" s="9" customFormat="1" ht="5.0999999999999996" customHeight="1" collapsed="1">
      <c r="C47" s="50"/>
      <c r="D47" s="56"/>
      <c r="E47" s="56"/>
    </row>
    <row r="48" spans="2:5" s="12" customFormat="1">
      <c r="C48" s="13" t="s">
        <v>91</v>
      </c>
      <c r="D48" s="119">
        <v>0.18867069039836482</v>
      </c>
      <c r="E48" s="119">
        <f>E42/E15</f>
        <v>0.20165526375171058</v>
      </c>
    </row>
    <row r="49" spans="3:5" ht="5.0999999999999996" customHeight="1">
      <c r="D49" s="51"/>
      <c r="E49" s="51"/>
    </row>
    <row r="50" spans="3:5" s="9" customFormat="1">
      <c r="C50" s="10" t="s">
        <v>92</v>
      </c>
      <c r="D50" s="116">
        <v>963841.76</v>
      </c>
      <c r="E50" s="116">
        <f>E15-E42</f>
        <v>765476.89714285696</v>
      </c>
    </row>
  </sheetData>
  <conditionalFormatting sqref="D5:E12 D21:E39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DDB2-34C8-453D-B964-AD1659C91D9D}">
  <dimension ref="B2:E42"/>
  <sheetViews>
    <sheetView showGridLines="0" zoomScale="94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30" sqref="J30"/>
    </sheetView>
  </sheetViews>
  <sheetFormatPr defaultRowHeight="15" outlineLevelRow="1" outlineLevelCol="1"/>
  <cols>
    <col min="2" max="2" width="31.85546875" hidden="1" customWidth="1" outlineLevel="1"/>
    <col min="3" max="3" width="31.85546875" bestFit="1" customWidth="1" collapsed="1"/>
    <col min="4" max="5" width="13.5703125" bestFit="1" customWidth="1"/>
  </cols>
  <sheetData>
    <row r="2" spans="2:5">
      <c r="B2" t="s">
        <v>86</v>
      </c>
      <c r="C2" s="1" t="s">
        <v>55</v>
      </c>
      <c r="D2" s="112">
        <v>46022</v>
      </c>
      <c r="E2" s="324">
        <f>'Comm OSAR'!H15</f>
        <v>46112</v>
      </c>
    </row>
    <row r="3" spans="2:5" ht="5.0999999999999996" customHeight="1">
      <c r="D3" s="51"/>
      <c r="E3" s="51"/>
    </row>
    <row r="4" spans="2:5">
      <c r="C4" t="s">
        <v>85</v>
      </c>
      <c r="D4" s="51"/>
      <c r="E4" s="51"/>
    </row>
    <row r="5" spans="2:5" s="6" customFormat="1">
      <c r="C5" s="7" t="s">
        <v>84</v>
      </c>
      <c r="D5" s="120">
        <v>796403.76</v>
      </c>
      <c r="E5" s="120">
        <f>SUM(RR!J8)</f>
        <v>796403.76</v>
      </c>
    </row>
    <row r="6" spans="2:5" hidden="1" outlineLevel="1">
      <c r="B6" t="s">
        <v>2</v>
      </c>
      <c r="C6" s="2" t="s">
        <v>56</v>
      </c>
      <c r="D6" s="121">
        <v>0</v>
      </c>
      <c r="E6" s="121">
        <v>0</v>
      </c>
    </row>
    <row r="7" spans="2:5" hidden="1" outlineLevel="1">
      <c r="B7" t="s">
        <v>3</v>
      </c>
      <c r="C7" s="2" t="s">
        <v>57</v>
      </c>
      <c r="D7" s="121">
        <v>0</v>
      </c>
      <c r="E7" s="121">
        <v>0</v>
      </c>
    </row>
    <row r="8" spans="2:5" hidden="1" outlineLevel="1">
      <c r="B8" t="s">
        <v>87</v>
      </c>
      <c r="C8" s="2" t="s">
        <v>58</v>
      </c>
      <c r="D8" s="114">
        <v>0</v>
      </c>
      <c r="E8" s="114">
        <f>IFERROR(INDEX('T12'!$N:$N,MATCH('Lender Calc'!$B8,'T12'!$A:$A,0)),0)</f>
        <v>0</v>
      </c>
    </row>
    <row r="9" spans="2:5" s="3" customFormat="1" collapsed="1">
      <c r="C9" s="4" t="s">
        <v>59</v>
      </c>
      <c r="D9" s="114">
        <v>-39820.188000000002</v>
      </c>
      <c r="E9" s="114">
        <f>IF('Comm OSAR'!H16&lt;95%,'Actuals (T12)'!E9,-'Lender Calc'!E5*5%)</f>
        <v>-39820.188000000002</v>
      </c>
    </row>
    <row r="10" spans="2:5" s="3" customFormat="1">
      <c r="C10" s="5" t="s">
        <v>60</v>
      </c>
      <c r="D10" s="114">
        <v>0</v>
      </c>
      <c r="E10" s="114">
        <f>IFERROR(INDEX('T12'!$N:$N,MATCH('Lender Calc'!$B10,'T12'!$A:$A,0)),0)</f>
        <v>0</v>
      </c>
    </row>
    <row r="11" spans="2:5" s="3" customFormat="1">
      <c r="C11" s="5" t="s">
        <v>61</v>
      </c>
      <c r="D11" s="114">
        <v>0</v>
      </c>
      <c r="E11" s="114">
        <f>IFERROR(INDEX('T12'!$O:$O,MATCH('Lender Calc'!$B11,'T12'!$A:$A,0)),0)</f>
        <v>0</v>
      </c>
    </row>
    <row r="12" spans="2:5" s="3" customFormat="1">
      <c r="C12" s="5" t="s">
        <v>62</v>
      </c>
      <c r="D12" s="115">
        <v>202044.12</v>
      </c>
      <c r="E12" s="115">
        <f>SUM(E13)</f>
        <v>187397.70857142858</v>
      </c>
    </row>
    <row r="13" spans="2:5" s="3" customFormat="1" hidden="1" outlineLevel="1">
      <c r="B13" s="3" t="s">
        <v>18</v>
      </c>
      <c r="C13" s="8" t="s">
        <v>63</v>
      </c>
      <c r="D13" s="114">
        <v>202044.12</v>
      </c>
      <c r="E13" s="114">
        <f>IFERROR(INDEX('T12'!$N:$N,MATCH('Lender Calc'!$B13,'T12'!$A:$A,0)),0)</f>
        <v>187397.70857142858</v>
      </c>
    </row>
    <row r="14" spans="2:5" s="3" customFormat="1" ht="5.0999999999999996" customHeight="1" collapsed="1">
      <c r="D14" s="52"/>
      <c r="E14" s="52"/>
    </row>
    <row r="15" spans="2:5" s="9" customFormat="1">
      <c r="C15" s="10" t="s">
        <v>89</v>
      </c>
      <c r="D15" s="116">
        <v>958627.69200000004</v>
      </c>
      <c r="E15" s="116">
        <f>SUM(E5,E9,E10,E11,E12)</f>
        <v>943981.28057142859</v>
      </c>
    </row>
    <row r="16" spans="2:5" ht="5.0999999999999996" customHeight="1">
      <c r="D16" s="51"/>
      <c r="E16" s="51"/>
    </row>
    <row r="17" spans="2:5">
      <c r="C17" t="s">
        <v>64</v>
      </c>
      <c r="D17" s="51"/>
      <c r="E17" s="51"/>
    </row>
    <row r="18" spans="2:5" s="6" customFormat="1">
      <c r="C18" s="7" t="s">
        <v>65</v>
      </c>
      <c r="D18" s="113">
        <v>124384.23999999999</v>
      </c>
      <c r="E18" s="113">
        <f>SUM(E19)</f>
        <v>103093.34</v>
      </c>
    </row>
    <row r="19" spans="2:5" hidden="1" outlineLevel="1">
      <c r="B19" t="s">
        <v>23</v>
      </c>
      <c r="C19" s="2" t="s">
        <v>66</v>
      </c>
      <c r="D19" s="114">
        <v>124384.23999999999</v>
      </c>
      <c r="E19" s="114">
        <f>MAX('Actuals (T12)'!E22,'RE Taxes'!T5)</f>
        <v>103093.34</v>
      </c>
    </row>
    <row r="20" spans="2:5" s="3" customFormat="1" collapsed="1">
      <c r="C20" s="5" t="s">
        <v>67</v>
      </c>
      <c r="D20" s="115">
        <v>14802.6</v>
      </c>
      <c r="E20" s="115">
        <f>SUM(E21)</f>
        <v>13287.445714285715</v>
      </c>
    </row>
    <row r="21" spans="2:5" s="3" customFormat="1" hidden="1" outlineLevel="1">
      <c r="B21" s="3" t="s">
        <v>28</v>
      </c>
      <c r="C21" s="8" t="s">
        <v>68</v>
      </c>
      <c r="D21" s="114">
        <v>14802.6</v>
      </c>
      <c r="E21" s="114">
        <f>MAX('Actuals (T12)'!E24,Insurance!C3/Insurance!C4)</f>
        <v>13287.445714285715</v>
      </c>
    </row>
    <row r="22" spans="2:5" s="3" customFormat="1" collapsed="1">
      <c r="C22" s="5" t="s">
        <v>69</v>
      </c>
      <c r="D22" s="115">
        <v>1299.92</v>
      </c>
      <c r="E22" s="115">
        <f>SUM(E23:E24)</f>
        <v>1713.2057142857143</v>
      </c>
    </row>
    <row r="23" spans="2:5" s="3" customFormat="1" hidden="1" outlineLevel="1">
      <c r="B23" s="3" t="s">
        <v>31</v>
      </c>
      <c r="C23" s="8" t="s">
        <v>70</v>
      </c>
      <c r="D23" s="114">
        <v>1299.92</v>
      </c>
      <c r="E23" s="114">
        <f>IFERROR(INDEX('T12'!$N:$N,MATCH('Lender Calc'!$B23,'T12'!$A:$A,0)),0)</f>
        <v>1713.2057142857143</v>
      </c>
    </row>
    <row r="24" spans="2:5" s="3" customFormat="1" hidden="1" outlineLevel="1">
      <c r="B24" s="3" t="s">
        <v>50</v>
      </c>
      <c r="C24" s="8" t="s">
        <v>71</v>
      </c>
      <c r="D24" s="114">
        <v>0</v>
      </c>
      <c r="E24" s="114">
        <f>IFERROR(INDEX('T12'!$N:$N,MATCH('Lender Calc'!$B24,'T12'!$A:$A,0)),0)</f>
        <v>0</v>
      </c>
    </row>
    <row r="25" spans="2:5" s="3" customFormat="1" collapsed="1">
      <c r="C25" s="5" t="s">
        <v>72</v>
      </c>
      <c r="D25" s="115">
        <v>21693.040000000001</v>
      </c>
      <c r="E25" s="115">
        <f>SUM(E26:E27)</f>
        <v>27018.822857142855</v>
      </c>
    </row>
    <row r="26" spans="2:5" s="3" customFormat="1" hidden="1" outlineLevel="1">
      <c r="B26" s="3" t="s">
        <v>38</v>
      </c>
      <c r="C26" s="8" t="s">
        <v>73</v>
      </c>
      <c r="D26" s="114">
        <v>21693.040000000001</v>
      </c>
      <c r="E26" s="114">
        <f>IFERROR(INDEX('T12'!$N:$N,MATCH('Lender Calc'!$B26,'T12'!$A:$A,0)),0)</f>
        <v>27018.822857142855</v>
      </c>
    </row>
    <row r="27" spans="2:5" s="3" customFormat="1" hidden="1" outlineLevel="1">
      <c r="B27" s="3" t="s">
        <v>49</v>
      </c>
      <c r="C27" s="8" t="s">
        <v>74</v>
      </c>
      <c r="D27" s="114">
        <v>0</v>
      </c>
      <c r="E27" s="114">
        <f>IFERROR(INDEX('T12'!$N:$N,MATCH('Lender Calc'!$B27,'T12'!$A:$A,0)),0)</f>
        <v>0</v>
      </c>
    </row>
    <row r="28" spans="2:5" s="3" customFormat="1" collapsed="1">
      <c r="C28" s="303">
        <v>0.03</v>
      </c>
      <c r="D28" s="114">
        <v>38427</v>
      </c>
      <c r="E28" s="114">
        <f>MAX($C$28*E15,'Actuals (T12)'!E31)</f>
        <v>29701.594285714287</v>
      </c>
    </row>
    <row r="29" spans="2:5" s="3" customFormat="1">
      <c r="C29" s="5" t="s">
        <v>76</v>
      </c>
      <c r="D29" s="114">
        <v>0</v>
      </c>
      <c r="E29" s="114">
        <f>IFERROR(INDEX('T12'!$N:$N,MATCH('Lender Calc'!$B29,'T12'!$A:$A,0)),0)</f>
        <v>0</v>
      </c>
    </row>
    <row r="30" spans="2:5" s="3" customFormat="1">
      <c r="C30" s="5" t="s">
        <v>77</v>
      </c>
      <c r="D30" s="114">
        <v>0</v>
      </c>
      <c r="E30" s="114">
        <f>IFERROR(INDEX('T12'!$N:$N,MATCH('Lender Calc'!$B30,'T12'!$A:$A,0)),0)</f>
        <v>0</v>
      </c>
    </row>
    <row r="31" spans="2:5" s="3" customFormat="1">
      <c r="C31" s="5" t="s">
        <v>78</v>
      </c>
      <c r="D31" s="115">
        <v>0</v>
      </c>
      <c r="E31" s="115">
        <f>SUM(E32)</f>
        <v>2192.2628571428568</v>
      </c>
    </row>
    <row r="32" spans="2:5" s="3" customFormat="1" hidden="1" outlineLevel="1">
      <c r="B32" s="3" t="s">
        <v>48</v>
      </c>
      <c r="C32" s="8" t="s">
        <v>79</v>
      </c>
      <c r="D32" s="114">
        <v>0</v>
      </c>
      <c r="E32" s="114">
        <f>IFERROR(INDEX('T12'!$N:$N,MATCH('Lender Calc'!$B32,'T12'!$A:$A,0)),0)</f>
        <v>2192.2628571428568</v>
      </c>
    </row>
    <row r="33" spans="2:5" s="3" customFormat="1" collapsed="1">
      <c r="C33" s="5" t="s">
        <v>80</v>
      </c>
      <c r="D33" s="115">
        <v>22092.6</v>
      </c>
      <c r="E33" s="115">
        <f>SUM(E34)</f>
        <v>18579.325714285715</v>
      </c>
    </row>
    <row r="34" spans="2:5" s="3" customFormat="1" hidden="1" outlineLevel="1">
      <c r="B34" s="3" t="s">
        <v>51</v>
      </c>
      <c r="C34" s="8" t="s">
        <v>81</v>
      </c>
      <c r="D34" s="114">
        <v>22092.6</v>
      </c>
      <c r="E34" s="114">
        <f>IFERROR(INDEX('T12'!$N:$N,MATCH('Lender Calc'!$B34,'T12'!$A:$A,0)),0)</f>
        <v>18579.325714285715</v>
      </c>
    </row>
    <row r="35" spans="2:5" s="3" customFormat="1" collapsed="1">
      <c r="C35" s="5" t="s">
        <v>82</v>
      </c>
      <c r="D35" s="115">
        <v>1437.32</v>
      </c>
      <c r="E35" s="115">
        <f>SUM(E36)</f>
        <v>573.3257142857143</v>
      </c>
    </row>
    <row r="36" spans="2:5" s="3" customFormat="1" hidden="1" outlineLevel="1">
      <c r="B36" s="3" t="s">
        <v>41</v>
      </c>
      <c r="C36" s="5" t="s">
        <v>83</v>
      </c>
      <c r="D36" s="114">
        <v>1437.32</v>
      </c>
      <c r="E36" s="114">
        <f>IFERROR(INDEX('T12'!$N:$N,MATCH('Lender Calc'!$B36,'T12'!$A:$A,0)),0)</f>
        <v>573.3257142857143</v>
      </c>
    </row>
    <row r="37" spans="2:5" s="3" customFormat="1" ht="5.0999999999999996" customHeight="1" collapsed="1">
      <c r="C37" s="5"/>
      <c r="D37" s="52"/>
      <c r="E37" s="52"/>
    </row>
    <row r="38" spans="2:5" s="9" customFormat="1">
      <c r="C38" s="10" t="s">
        <v>90</v>
      </c>
      <c r="D38" s="116">
        <v>224136.72000000003</v>
      </c>
      <c r="E38" s="116">
        <f>SUM(E18,E20,E22,E25,E28,E29,E30,E31,E33,E35)</f>
        <v>196159.32285714286</v>
      </c>
    </row>
    <row r="39" spans="2:5" s="9" customFormat="1" ht="5.0999999999999996" customHeight="1">
      <c r="C39" s="11"/>
      <c r="D39" s="53"/>
      <c r="E39" s="53"/>
    </row>
    <row r="40" spans="2:5" s="12" customFormat="1">
      <c r="C40" s="13" t="s">
        <v>91</v>
      </c>
      <c r="D40" s="119">
        <v>0.23380997844155749</v>
      </c>
      <c r="E40" s="119">
        <f>E38/E15</f>
        <v>0.20780001351128488</v>
      </c>
    </row>
    <row r="41" spans="2:5" ht="5.0999999999999996" customHeight="1">
      <c r="D41" s="51"/>
      <c r="E41" s="51"/>
    </row>
    <row r="42" spans="2:5" s="9" customFormat="1">
      <c r="C42" s="10" t="s">
        <v>92</v>
      </c>
      <c r="D42" s="116">
        <v>734490.97200000007</v>
      </c>
      <c r="E42" s="116">
        <f>E15-E38</f>
        <v>747821.9577142857</v>
      </c>
    </row>
  </sheetData>
  <conditionalFormatting sqref="D5:E12 D18:E35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37A1-1EBD-4C5F-9879-77A7B85843DD}">
  <sheetPr>
    <tabColor theme="3"/>
  </sheetPr>
  <dimension ref="A1"/>
  <sheetViews>
    <sheetView showGridLines="0" workbookViewId="0">
      <selection activeCell="D1" sqref="D1"/>
    </sheetView>
  </sheetViews>
  <sheetFormatPr defaultRowHeight="15"/>
  <sheetData>
    <row r="1" spans="1:1">
      <c r="A1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B335-1CED-46B6-BAEE-93A8831E4A8C}">
  <sheetPr>
    <pageSetUpPr fitToPage="1"/>
  </sheetPr>
  <dimension ref="A1:P90"/>
  <sheetViews>
    <sheetView showGridLines="0" topLeftCell="A54" workbookViewId="0">
      <selection activeCell="N76" sqref="N76"/>
    </sheetView>
  </sheetViews>
  <sheetFormatPr defaultColWidth="9.140625" defaultRowHeight="12.75"/>
  <cols>
    <col min="1" max="1" width="37.140625" style="16" customWidth="1"/>
    <col min="2" max="13" width="12.85546875" style="16" customWidth="1"/>
    <col min="14" max="16" width="12.85546875" style="29" customWidth="1"/>
    <col min="17" max="16384" width="9.140625" style="16"/>
  </cols>
  <sheetData>
    <row r="1" spans="1:16" ht="15" customHeight="1">
      <c r="A1" s="14" t="s">
        <v>301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15"/>
      <c r="P1" s="15"/>
    </row>
    <row r="2" spans="1:16" ht="15.75" customHeight="1">
      <c r="A2" s="17" t="s">
        <v>93</v>
      </c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18"/>
      <c r="O2" s="18"/>
      <c r="P2" s="18"/>
    </row>
    <row r="3" spans="1:16" ht="15" customHeight="1">
      <c r="A3" s="14" t="s">
        <v>302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 t="s">
        <v>304</v>
      </c>
      <c r="N3" s="320">
        <f>'Comm OSAR'!H22</f>
        <v>7</v>
      </c>
      <c r="O3" s="15"/>
      <c r="P3" s="15"/>
    </row>
    <row r="4" spans="1:16" ht="15" customHeight="1">
      <c r="A4" s="14" t="s">
        <v>94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  <c r="O4" s="15"/>
      <c r="P4" s="15"/>
    </row>
    <row r="5" spans="1:16" ht="15" customHeight="1">
      <c r="A5" s="19"/>
      <c r="B5" s="342" t="s">
        <v>95</v>
      </c>
      <c r="C5" s="342" t="s">
        <v>96</v>
      </c>
      <c r="D5" s="342" t="s">
        <v>97</v>
      </c>
      <c r="E5" s="342" t="s">
        <v>98</v>
      </c>
      <c r="F5" s="342" t="s">
        <v>99</v>
      </c>
      <c r="G5" s="342" t="s">
        <v>100</v>
      </c>
      <c r="H5" s="342" t="s">
        <v>101</v>
      </c>
      <c r="I5" s="342" t="s">
        <v>102</v>
      </c>
      <c r="J5" s="342" t="s">
        <v>103</v>
      </c>
      <c r="K5" s="342" t="s">
        <v>318</v>
      </c>
      <c r="L5" s="342" t="s">
        <v>319</v>
      </c>
      <c r="M5" s="342" t="s">
        <v>320</v>
      </c>
      <c r="N5" s="21" t="s">
        <v>104</v>
      </c>
      <c r="O5" s="21" t="s">
        <v>105</v>
      </c>
      <c r="P5" s="21" t="s">
        <v>106</v>
      </c>
    </row>
    <row r="6" spans="1:16" ht="15" customHeight="1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4"/>
      <c r="O6" s="24"/>
      <c r="P6" s="24"/>
    </row>
    <row r="7" spans="1:16" ht="15" customHeight="1">
      <c r="A7" s="343" t="s">
        <v>0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25"/>
      <c r="O7" s="25"/>
      <c r="P7" s="25"/>
    </row>
    <row r="8" spans="1:16" ht="15" customHeight="1">
      <c r="A8" s="344"/>
      <c r="B8" s="345"/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27"/>
      <c r="O8" s="27"/>
      <c r="P8" s="27"/>
    </row>
    <row r="9" spans="1:16" ht="15" customHeight="1">
      <c r="A9" s="343" t="s">
        <v>1</v>
      </c>
      <c r="B9" s="348"/>
      <c r="C9" s="348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25"/>
      <c r="O9" s="25"/>
      <c r="P9" s="25"/>
    </row>
    <row r="10" spans="1:16" ht="15" customHeight="1">
      <c r="A10" s="344" t="s">
        <v>2</v>
      </c>
      <c r="B10" s="346">
        <v>0</v>
      </c>
      <c r="C10" s="346">
        <v>0</v>
      </c>
      <c r="D10" s="346">
        <v>0</v>
      </c>
      <c r="E10" s="346">
        <v>0</v>
      </c>
      <c r="F10" s="346">
        <v>0</v>
      </c>
      <c r="G10" s="346">
        <v>42032.39</v>
      </c>
      <c r="H10" s="346">
        <v>66366.98</v>
      </c>
      <c r="I10" s="346">
        <v>66366.98</v>
      </c>
      <c r="J10" s="346">
        <v>66366.98</v>
      </c>
      <c r="K10" s="346">
        <v>66366.98</v>
      </c>
      <c r="L10" s="346">
        <v>66366.98</v>
      </c>
      <c r="M10" s="346">
        <v>66366.98</v>
      </c>
      <c r="N10" s="122">
        <f>IF(SUM(B10:M10)=0,"",SUM(B10:M10))/$N$3*12</f>
        <v>754687.31999999983</v>
      </c>
      <c r="O10" s="123">
        <f>IF(N10="","",SUM(H10:M10)*2)</f>
        <v>796403.75999999989</v>
      </c>
      <c r="P10" s="123">
        <f>IF(O10="","",SUM(K10:M10)*4)</f>
        <v>796403.76</v>
      </c>
    </row>
    <row r="11" spans="1:16" ht="15" customHeight="1">
      <c r="A11" s="344" t="s">
        <v>3</v>
      </c>
      <c r="B11" s="346">
        <v>0</v>
      </c>
      <c r="C11" s="346">
        <v>0</v>
      </c>
      <c r="D11" s="346">
        <v>0</v>
      </c>
      <c r="E11" s="346">
        <v>0</v>
      </c>
      <c r="F11" s="346">
        <v>0</v>
      </c>
      <c r="G11" s="346">
        <v>932.61</v>
      </c>
      <c r="H11" s="346">
        <v>1472.55</v>
      </c>
      <c r="I11" s="346">
        <v>1472.55</v>
      </c>
      <c r="J11" s="346">
        <v>1472.55</v>
      </c>
      <c r="K11" s="346">
        <v>1472.55</v>
      </c>
      <c r="L11" s="346">
        <v>1472.55</v>
      </c>
      <c r="M11" s="346">
        <v>1472.55</v>
      </c>
      <c r="N11" s="122">
        <f t="shared" ref="N11:N74" si="0">IF(SUM(B11:M11)=0,"",SUM(B11:M11))/$N$3*12</f>
        <v>16744.98857142857</v>
      </c>
      <c r="O11" s="123">
        <f t="shared" ref="O11:O74" si="1">IF(N11="","",SUM(H11:M11)*2)</f>
        <v>17670.599999999999</v>
      </c>
      <c r="P11" s="123">
        <f t="shared" ref="P11:P74" si="2">IF(O11="","",SUM(K11:M11)*4)</f>
        <v>17670.599999999999</v>
      </c>
    </row>
    <row r="12" spans="1:16" ht="15" customHeight="1">
      <c r="A12" s="343" t="s">
        <v>4</v>
      </c>
      <c r="B12" s="346">
        <v>0</v>
      </c>
      <c r="C12" s="346">
        <v>0</v>
      </c>
      <c r="D12" s="346">
        <v>0</v>
      </c>
      <c r="E12" s="346">
        <v>0</v>
      </c>
      <c r="F12" s="346">
        <v>0</v>
      </c>
      <c r="G12" s="346">
        <v>42965</v>
      </c>
      <c r="H12" s="346">
        <v>67839.53</v>
      </c>
      <c r="I12" s="346">
        <v>67839.53</v>
      </c>
      <c r="J12" s="346">
        <v>67839.53</v>
      </c>
      <c r="K12" s="346">
        <v>67839.53</v>
      </c>
      <c r="L12" s="346">
        <v>67839.53</v>
      </c>
      <c r="M12" s="346">
        <v>67839.53</v>
      </c>
      <c r="N12" s="122">
        <f t="shared" si="0"/>
        <v>771432.30857142864</v>
      </c>
      <c r="O12" s="123">
        <f t="shared" si="1"/>
        <v>814074.3600000001</v>
      </c>
      <c r="P12" s="123">
        <f t="shared" si="2"/>
        <v>814074.36</v>
      </c>
    </row>
    <row r="13" spans="1:16" ht="15" customHeight="1">
      <c r="A13" s="344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122" t="e">
        <f t="shared" si="0"/>
        <v>#VALUE!</v>
      </c>
      <c r="O13" s="28" t="e">
        <f t="shared" si="1"/>
        <v>#VALUE!</v>
      </c>
      <c r="P13" s="28" t="e">
        <f t="shared" si="2"/>
        <v>#VALUE!</v>
      </c>
    </row>
    <row r="14" spans="1:16" ht="15" customHeight="1">
      <c r="A14" s="343" t="s">
        <v>5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122" t="e">
        <f t="shared" si="0"/>
        <v>#VALUE!</v>
      </c>
      <c r="O14" s="28" t="e">
        <f t="shared" si="1"/>
        <v>#VALUE!</v>
      </c>
      <c r="P14" s="28" t="e">
        <f t="shared" si="2"/>
        <v>#VALUE!</v>
      </c>
    </row>
    <row r="15" spans="1:16" ht="15" customHeight="1">
      <c r="A15" s="344"/>
      <c r="B15" s="345"/>
      <c r="C15" s="345"/>
      <c r="D15" s="345"/>
      <c r="E15" s="345"/>
      <c r="F15" s="345"/>
      <c r="G15" s="345"/>
      <c r="H15" s="345"/>
      <c r="I15" s="345"/>
      <c r="J15" s="345"/>
      <c r="K15" s="345"/>
      <c r="L15" s="345"/>
      <c r="M15" s="345"/>
      <c r="N15" s="122" t="e">
        <f t="shared" si="0"/>
        <v>#VALUE!</v>
      </c>
      <c r="O15" s="28" t="e">
        <f t="shared" si="1"/>
        <v>#VALUE!</v>
      </c>
      <c r="P15" s="28" t="e">
        <f t="shared" si="2"/>
        <v>#VALUE!</v>
      </c>
    </row>
    <row r="16" spans="1:16" ht="15" customHeight="1">
      <c r="A16" s="343" t="s">
        <v>6</v>
      </c>
      <c r="B16" s="348"/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48"/>
      <c r="N16" s="122" t="e">
        <f t="shared" si="0"/>
        <v>#VALUE!</v>
      </c>
      <c r="O16" s="28" t="e">
        <f t="shared" si="1"/>
        <v>#VALUE!</v>
      </c>
      <c r="P16" s="28" t="e">
        <f t="shared" si="2"/>
        <v>#VALUE!</v>
      </c>
    </row>
    <row r="17" spans="1:16" ht="15" customHeight="1">
      <c r="A17" s="344" t="s">
        <v>7</v>
      </c>
      <c r="B17" s="346">
        <v>0</v>
      </c>
      <c r="C17" s="346">
        <v>0</v>
      </c>
      <c r="D17" s="346">
        <v>0</v>
      </c>
      <c r="E17" s="346">
        <v>0</v>
      </c>
      <c r="F17" s="346">
        <v>0</v>
      </c>
      <c r="G17" s="346">
        <v>4820.96</v>
      </c>
      <c r="H17" s="346">
        <v>7612.04</v>
      </c>
      <c r="I17" s="346">
        <v>7612.04</v>
      </c>
      <c r="J17" s="346">
        <v>7612.04</v>
      </c>
      <c r="K17" s="346">
        <v>9191.9</v>
      </c>
      <c r="L17" s="346">
        <v>9191.9</v>
      </c>
      <c r="M17" s="346">
        <v>9191.9</v>
      </c>
      <c r="N17" s="122">
        <f t="shared" si="0"/>
        <v>94684.765714285721</v>
      </c>
      <c r="O17" s="123">
        <f t="shared" si="1"/>
        <v>100823.64</v>
      </c>
      <c r="P17" s="123">
        <f t="shared" si="2"/>
        <v>110302.79999999999</v>
      </c>
    </row>
    <row r="18" spans="1:16" ht="15" customHeight="1">
      <c r="A18" s="344" t="s">
        <v>8</v>
      </c>
      <c r="B18" s="346">
        <v>0</v>
      </c>
      <c r="C18" s="346">
        <v>0</v>
      </c>
      <c r="D18" s="346">
        <v>0</v>
      </c>
      <c r="E18" s="346">
        <v>0</v>
      </c>
      <c r="F18" s="346">
        <v>0</v>
      </c>
      <c r="G18" s="346">
        <v>5687.68</v>
      </c>
      <c r="H18" s="346">
        <v>8980.5400000000009</v>
      </c>
      <c r="I18" s="346">
        <v>8980.5400000000009</v>
      </c>
      <c r="J18" s="346">
        <v>8980.5400000000009</v>
      </c>
      <c r="K18" s="346">
        <v>9155.75</v>
      </c>
      <c r="L18" s="346">
        <v>9155.75</v>
      </c>
      <c r="M18" s="346">
        <v>9155.75</v>
      </c>
      <c r="N18" s="122">
        <f t="shared" si="0"/>
        <v>103022.65714285715</v>
      </c>
      <c r="O18" s="123">
        <f t="shared" si="1"/>
        <v>108817.74</v>
      </c>
      <c r="P18" s="123">
        <f t="shared" si="2"/>
        <v>109869</v>
      </c>
    </row>
    <row r="19" spans="1:16" ht="15" customHeight="1">
      <c r="A19" s="344" t="s">
        <v>9</v>
      </c>
      <c r="B19" s="346">
        <v>0</v>
      </c>
      <c r="C19" s="346">
        <v>0</v>
      </c>
      <c r="D19" s="346">
        <v>0</v>
      </c>
      <c r="E19" s="346">
        <v>0</v>
      </c>
      <c r="F19" s="346">
        <v>0</v>
      </c>
      <c r="G19" s="346">
        <v>962.81</v>
      </c>
      <c r="H19" s="346">
        <v>1520.23</v>
      </c>
      <c r="I19" s="346">
        <v>1520.23</v>
      </c>
      <c r="J19" s="346">
        <v>1520.23</v>
      </c>
      <c r="K19" s="346">
        <v>1054.03</v>
      </c>
      <c r="L19" s="346">
        <v>1054.03</v>
      </c>
      <c r="M19" s="346">
        <v>1054.03</v>
      </c>
      <c r="N19" s="122">
        <f t="shared" si="0"/>
        <v>14889.582857142857</v>
      </c>
      <c r="O19" s="123">
        <f t="shared" si="1"/>
        <v>15445.56</v>
      </c>
      <c r="P19" s="123">
        <f t="shared" si="2"/>
        <v>12648.36</v>
      </c>
    </row>
    <row r="20" spans="1:16" ht="15" customHeight="1">
      <c r="A20" s="344" t="s">
        <v>10</v>
      </c>
      <c r="B20" s="346">
        <v>0</v>
      </c>
      <c r="C20" s="346">
        <v>0</v>
      </c>
      <c r="D20" s="346">
        <v>0</v>
      </c>
      <c r="E20" s="346">
        <v>0</v>
      </c>
      <c r="F20" s="346">
        <v>0</v>
      </c>
      <c r="G20" s="346">
        <v>2315.1999999999998</v>
      </c>
      <c r="H20" s="346">
        <v>3655.58</v>
      </c>
      <c r="I20" s="346">
        <v>3655.58</v>
      </c>
      <c r="J20" s="346">
        <v>3655.58</v>
      </c>
      <c r="K20" s="346">
        <v>0</v>
      </c>
      <c r="L20" s="346">
        <v>0</v>
      </c>
      <c r="M20" s="346">
        <v>0</v>
      </c>
      <c r="N20" s="122">
        <f t="shared" si="0"/>
        <v>22769.040000000001</v>
      </c>
      <c r="O20" s="123">
        <f t="shared" si="1"/>
        <v>21933.48</v>
      </c>
      <c r="P20" s="123">
        <f t="shared" si="2"/>
        <v>0</v>
      </c>
    </row>
    <row r="21" spans="1:16" ht="15" customHeight="1">
      <c r="A21" s="343" t="s">
        <v>11</v>
      </c>
      <c r="B21" s="346">
        <v>0</v>
      </c>
      <c r="C21" s="346">
        <v>0</v>
      </c>
      <c r="D21" s="346">
        <v>0</v>
      </c>
      <c r="E21" s="346">
        <v>0</v>
      </c>
      <c r="F21" s="346">
        <v>0</v>
      </c>
      <c r="G21" s="346">
        <v>13786.65</v>
      </c>
      <c r="H21" s="346">
        <v>21768.39</v>
      </c>
      <c r="I21" s="346">
        <v>21768.39</v>
      </c>
      <c r="J21" s="346">
        <v>21768.39</v>
      </c>
      <c r="K21" s="346">
        <v>19401.68</v>
      </c>
      <c r="L21" s="346">
        <v>19401.68</v>
      </c>
      <c r="M21" s="346">
        <v>19401.68</v>
      </c>
      <c r="N21" s="122">
        <f t="shared" si="0"/>
        <v>235366.04571428569</v>
      </c>
      <c r="O21" s="123">
        <f t="shared" si="1"/>
        <v>247020.41999999998</v>
      </c>
      <c r="P21" s="123">
        <f t="shared" si="2"/>
        <v>232820.16</v>
      </c>
    </row>
    <row r="22" spans="1:16" ht="15" customHeight="1">
      <c r="A22" s="344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122" t="e">
        <f t="shared" si="0"/>
        <v>#VALUE!</v>
      </c>
      <c r="O22" s="28" t="e">
        <f t="shared" si="1"/>
        <v>#VALUE!</v>
      </c>
      <c r="P22" s="28" t="e">
        <f t="shared" si="2"/>
        <v>#VALUE!</v>
      </c>
    </row>
    <row r="23" spans="1:16" ht="15" customHeight="1">
      <c r="A23" s="343" t="s">
        <v>12</v>
      </c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122" t="e">
        <f t="shared" si="0"/>
        <v>#VALUE!</v>
      </c>
      <c r="O23" s="28" t="e">
        <f t="shared" si="1"/>
        <v>#VALUE!</v>
      </c>
      <c r="P23" s="28" t="e">
        <f t="shared" si="2"/>
        <v>#VALUE!</v>
      </c>
    </row>
    <row r="24" spans="1:16" ht="15" customHeight="1">
      <c r="A24" s="344" t="s">
        <v>13</v>
      </c>
      <c r="B24" s="346">
        <v>0</v>
      </c>
      <c r="C24" s="346">
        <v>0</v>
      </c>
      <c r="D24" s="346">
        <v>0</v>
      </c>
      <c r="E24" s="346">
        <v>0</v>
      </c>
      <c r="F24" s="346">
        <v>0</v>
      </c>
      <c r="G24" s="346">
        <v>-4543</v>
      </c>
      <c r="H24" s="346">
        <v>-7612.04</v>
      </c>
      <c r="I24" s="346">
        <v>-5788.23</v>
      </c>
      <c r="J24" s="346">
        <v>6000.51</v>
      </c>
      <c r="K24" s="346">
        <v>-4037.29</v>
      </c>
      <c r="L24" s="346">
        <v>-6760.09</v>
      </c>
      <c r="M24" s="346">
        <v>1854.47</v>
      </c>
      <c r="N24" s="122">
        <f t="shared" si="0"/>
        <v>-35804.005714285711</v>
      </c>
      <c r="O24" s="123">
        <f t="shared" si="1"/>
        <v>-32685.34</v>
      </c>
      <c r="P24" s="123">
        <f t="shared" si="2"/>
        <v>-35771.640000000007</v>
      </c>
    </row>
    <row r="25" spans="1:16" ht="15" customHeight="1">
      <c r="A25" s="344" t="s">
        <v>14</v>
      </c>
      <c r="B25" s="346">
        <v>0</v>
      </c>
      <c r="C25" s="346">
        <v>0</v>
      </c>
      <c r="D25" s="346">
        <v>0</v>
      </c>
      <c r="E25" s="346">
        <v>0</v>
      </c>
      <c r="F25" s="346">
        <v>0</v>
      </c>
      <c r="G25" s="346">
        <v>-364.93</v>
      </c>
      <c r="H25" s="346">
        <v>-389.44</v>
      </c>
      <c r="I25" s="346">
        <v>-389.43</v>
      </c>
      <c r="J25" s="346">
        <v>-389.44</v>
      </c>
      <c r="K25" s="346">
        <v>-20.82</v>
      </c>
      <c r="L25" s="346">
        <v>-20.83</v>
      </c>
      <c r="M25" s="346">
        <v>-20.83</v>
      </c>
      <c r="N25" s="122">
        <f t="shared" si="0"/>
        <v>-2735.5199999999995</v>
      </c>
      <c r="O25" s="123">
        <f t="shared" si="1"/>
        <v>-2461.5799999999995</v>
      </c>
      <c r="P25" s="123">
        <f t="shared" si="2"/>
        <v>-249.92</v>
      </c>
    </row>
    <row r="26" spans="1:16" ht="15" customHeight="1">
      <c r="A26" s="344" t="s">
        <v>15</v>
      </c>
      <c r="B26" s="346">
        <v>0</v>
      </c>
      <c r="C26" s="346">
        <v>0</v>
      </c>
      <c r="D26" s="346">
        <v>0</v>
      </c>
      <c r="E26" s="346">
        <v>0</v>
      </c>
      <c r="F26" s="346">
        <v>0</v>
      </c>
      <c r="G26" s="346">
        <v>-402.2</v>
      </c>
      <c r="H26" s="346">
        <v>-1520.23</v>
      </c>
      <c r="I26" s="346">
        <v>269.69</v>
      </c>
      <c r="J26" s="346">
        <v>-170.11</v>
      </c>
      <c r="K26" s="346">
        <v>296.08999999999997</v>
      </c>
      <c r="L26" s="346">
        <v>296.08999999999997</v>
      </c>
      <c r="M26" s="346">
        <v>296.08999999999997</v>
      </c>
      <c r="N26" s="122">
        <f t="shared" si="0"/>
        <v>-1602.1371428571429</v>
      </c>
      <c r="O26" s="123">
        <f t="shared" si="1"/>
        <v>-1064.7600000000007</v>
      </c>
      <c r="P26" s="123">
        <f t="shared" si="2"/>
        <v>3553.08</v>
      </c>
    </row>
    <row r="27" spans="1:16" ht="15" customHeight="1">
      <c r="A27" s="344" t="s">
        <v>16</v>
      </c>
      <c r="B27" s="346">
        <v>0</v>
      </c>
      <c r="C27" s="346">
        <v>0</v>
      </c>
      <c r="D27" s="346">
        <v>0</v>
      </c>
      <c r="E27" s="346">
        <v>0</v>
      </c>
      <c r="F27" s="346">
        <v>0</v>
      </c>
      <c r="G27" s="346">
        <v>-2315.1999999999998</v>
      </c>
      <c r="H27" s="346">
        <v>-3655.58</v>
      </c>
      <c r="I27" s="346">
        <v>-3655.58</v>
      </c>
      <c r="J27" s="346">
        <v>-3655.58</v>
      </c>
      <c r="K27" s="346">
        <v>0</v>
      </c>
      <c r="L27" s="346">
        <v>5810.92</v>
      </c>
      <c r="M27" s="346">
        <v>2905.46</v>
      </c>
      <c r="N27" s="122">
        <f t="shared" si="0"/>
        <v>-7826.6742857142854</v>
      </c>
      <c r="O27" s="123">
        <f t="shared" si="1"/>
        <v>-4500.7199999999993</v>
      </c>
      <c r="P27" s="123">
        <f t="shared" si="2"/>
        <v>34865.520000000004</v>
      </c>
    </row>
    <row r="28" spans="1:16" ht="15" customHeight="1">
      <c r="A28" s="343" t="s">
        <v>17</v>
      </c>
      <c r="B28" s="346">
        <v>0</v>
      </c>
      <c r="C28" s="346">
        <v>0</v>
      </c>
      <c r="D28" s="346">
        <v>0</v>
      </c>
      <c r="E28" s="346">
        <v>0</v>
      </c>
      <c r="F28" s="346">
        <v>0</v>
      </c>
      <c r="G28" s="346">
        <v>-7625.33</v>
      </c>
      <c r="H28" s="346">
        <v>-13177.29</v>
      </c>
      <c r="I28" s="346">
        <v>-9563.5499999999993</v>
      </c>
      <c r="J28" s="346">
        <v>1785.38</v>
      </c>
      <c r="K28" s="346">
        <v>-3762.02</v>
      </c>
      <c r="L28" s="346">
        <v>-673.91</v>
      </c>
      <c r="M28" s="346">
        <v>5035.1899999999996</v>
      </c>
      <c r="N28" s="122">
        <f t="shared" si="0"/>
        <v>-47968.337142857148</v>
      </c>
      <c r="O28" s="123">
        <f t="shared" si="1"/>
        <v>-40712.400000000001</v>
      </c>
      <c r="P28" s="123">
        <f t="shared" si="2"/>
        <v>2397.0399999999972</v>
      </c>
    </row>
    <row r="29" spans="1:16" ht="15" customHeight="1">
      <c r="A29" s="343" t="s">
        <v>18</v>
      </c>
      <c r="B29" s="346">
        <v>0</v>
      </c>
      <c r="C29" s="346">
        <v>0</v>
      </c>
      <c r="D29" s="346">
        <v>0</v>
      </c>
      <c r="E29" s="346">
        <v>0</v>
      </c>
      <c r="F29" s="346">
        <v>0</v>
      </c>
      <c r="G29" s="346">
        <v>6161.32</v>
      </c>
      <c r="H29" s="346">
        <v>8591.1</v>
      </c>
      <c r="I29" s="346">
        <v>12204.84</v>
      </c>
      <c r="J29" s="346">
        <v>23553.77</v>
      </c>
      <c r="K29" s="346">
        <v>15639.66</v>
      </c>
      <c r="L29" s="346">
        <v>18727.77</v>
      </c>
      <c r="M29" s="346">
        <v>24436.87</v>
      </c>
      <c r="N29" s="122">
        <f t="shared" si="0"/>
        <v>187397.70857142858</v>
      </c>
      <c r="O29" s="123">
        <f t="shared" si="1"/>
        <v>206308.02000000002</v>
      </c>
      <c r="P29" s="123">
        <f t="shared" si="2"/>
        <v>235217.2</v>
      </c>
    </row>
    <row r="30" spans="1:16" ht="15" customHeight="1">
      <c r="A30" s="343" t="s">
        <v>19</v>
      </c>
      <c r="B30" s="346">
        <v>0</v>
      </c>
      <c r="C30" s="346">
        <v>0</v>
      </c>
      <c r="D30" s="346">
        <v>0</v>
      </c>
      <c r="E30" s="346">
        <v>0</v>
      </c>
      <c r="F30" s="346">
        <v>0</v>
      </c>
      <c r="G30" s="346">
        <v>49126.32</v>
      </c>
      <c r="H30" s="346">
        <v>76430.63</v>
      </c>
      <c r="I30" s="346">
        <v>80044.37</v>
      </c>
      <c r="J30" s="346">
        <v>91393.3</v>
      </c>
      <c r="K30" s="346">
        <v>83479.19</v>
      </c>
      <c r="L30" s="346">
        <v>86567.3</v>
      </c>
      <c r="M30" s="346">
        <v>92276.4</v>
      </c>
      <c r="N30" s="122">
        <f t="shared" si="0"/>
        <v>958830.01714285719</v>
      </c>
      <c r="O30" s="123">
        <f t="shared" si="1"/>
        <v>1020382.3799999999</v>
      </c>
      <c r="P30" s="123">
        <f t="shared" si="2"/>
        <v>1049291.56</v>
      </c>
    </row>
    <row r="31" spans="1:16" ht="15" customHeight="1">
      <c r="A31" s="344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122" t="e">
        <f t="shared" si="0"/>
        <v>#VALUE!</v>
      </c>
      <c r="O31" s="28" t="e">
        <f t="shared" si="1"/>
        <v>#VALUE!</v>
      </c>
      <c r="P31" s="28" t="e">
        <f t="shared" si="2"/>
        <v>#VALUE!</v>
      </c>
    </row>
    <row r="32" spans="1:16" ht="15" customHeight="1">
      <c r="A32" s="343" t="s">
        <v>20</v>
      </c>
      <c r="B32" s="348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122" t="e">
        <f t="shared" si="0"/>
        <v>#VALUE!</v>
      </c>
      <c r="O32" s="28" t="e">
        <f t="shared" si="1"/>
        <v>#VALUE!</v>
      </c>
      <c r="P32" s="28" t="e">
        <f t="shared" si="2"/>
        <v>#VALUE!</v>
      </c>
    </row>
    <row r="33" spans="1:16" ht="15" customHeight="1">
      <c r="A33" s="344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122" t="e">
        <f t="shared" si="0"/>
        <v>#VALUE!</v>
      </c>
      <c r="O33" s="28" t="e">
        <f t="shared" si="1"/>
        <v>#VALUE!</v>
      </c>
      <c r="P33" s="28" t="e">
        <f t="shared" si="2"/>
        <v>#VALUE!</v>
      </c>
    </row>
    <row r="34" spans="1:16" ht="15" customHeight="1">
      <c r="A34" s="343" t="s">
        <v>21</v>
      </c>
      <c r="B34" s="348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122" t="e">
        <f t="shared" si="0"/>
        <v>#VALUE!</v>
      </c>
      <c r="O34" s="28" t="e">
        <f t="shared" si="1"/>
        <v>#VALUE!</v>
      </c>
      <c r="P34" s="28" t="e">
        <f t="shared" si="2"/>
        <v>#VALUE!</v>
      </c>
    </row>
    <row r="35" spans="1:16" ht="15" customHeight="1">
      <c r="A35" s="344" t="s">
        <v>22</v>
      </c>
      <c r="B35" s="346">
        <v>0</v>
      </c>
      <c r="C35" s="346">
        <v>0</v>
      </c>
      <c r="D35" s="346">
        <v>0</v>
      </c>
      <c r="E35" s="346">
        <v>0</v>
      </c>
      <c r="F35" s="346">
        <v>0</v>
      </c>
      <c r="G35" s="346">
        <v>5322.75</v>
      </c>
      <c r="H35" s="346">
        <v>8591.1</v>
      </c>
      <c r="I35" s="346">
        <v>8591.11</v>
      </c>
      <c r="J35" s="346">
        <v>8591.1</v>
      </c>
      <c r="K35" s="346">
        <v>9134.93</v>
      </c>
      <c r="L35" s="346">
        <v>9134.92</v>
      </c>
      <c r="M35" s="346">
        <v>9134.92</v>
      </c>
      <c r="N35" s="122">
        <f t="shared" si="0"/>
        <v>100287.13714285713</v>
      </c>
      <c r="O35" s="123">
        <f t="shared" si="1"/>
        <v>106356.15999999999</v>
      </c>
      <c r="P35" s="123">
        <f t="shared" si="2"/>
        <v>109619.07999999999</v>
      </c>
    </row>
    <row r="36" spans="1:16" ht="15" customHeight="1">
      <c r="A36" s="343" t="s">
        <v>23</v>
      </c>
      <c r="B36" s="346">
        <v>0</v>
      </c>
      <c r="C36" s="346">
        <v>0</v>
      </c>
      <c r="D36" s="346">
        <v>0</v>
      </c>
      <c r="E36" s="346">
        <v>0</v>
      </c>
      <c r="F36" s="346">
        <v>0</v>
      </c>
      <c r="G36" s="346">
        <v>5322.75</v>
      </c>
      <c r="H36" s="346">
        <v>8591.1</v>
      </c>
      <c r="I36" s="346">
        <v>8591.11</v>
      </c>
      <c r="J36" s="346">
        <v>8591.1</v>
      </c>
      <c r="K36" s="346">
        <v>9134.93</v>
      </c>
      <c r="L36" s="346">
        <v>9134.92</v>
      </c>
      <c r="M36" s="346">
        <v>9134.92</v>
      </c>
      <c r="N36" s="122">
        <f t="shared" si="0"/>
        <v>100287.13714285713</v>
      </c>
      <c r="O36" s="123">
        <f t="shared" si="1"/>
        <v>106356.15999999999</v>
      </c>
      <c r="P36" s="123">
        <f t="shared" si="2"/>
        <v>109619.07999999999</v>
      </c>
    </row>
    <row r="37" spans="1:16" ht="15" customHeight="1">
      <c r="A37" s="344"/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  <c r="M37" s="345"/>
      <c r="N37" s="122" t="e">
        <f t="shared" si="0"/>
        <v>#VALUE!</v>
      </c>
      <c r="O37" s="123" t="e">
        <f t="shared" si="1"/>
        <v>#VALUE!</v>
      </c>
      <c r="P37" s="123" t="e">
        <f t="shared" si="2"/>
        <v>#VALUE!</v>
      </c>
    </row>
    <row r="38" spans="1:16" ht="15" customHeight="1">
      <c r="A38" s="343" t="s">
        <v>24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122" t="e">
        <f t="shared" si="0"/>
        <v>#VALUE!</v>
      </c>
      <c r="O38" s="123" t="e">
        <f t="shared" si="1"/>
        <v>#VALUE!</v>
      </c>
      <c r="P38" s="123" t="e">
        <f t="shared" si="2"/>
        <v>#VALUE!</v>
      </c>
    </row>
    <row r="39" spans="1:16" ht="15" customHeight="1">
      <c r="A39" s="344" t="s">
        <v>25</v>
      </c>
      <c r="B39" s="346">
        <v>0</v>
      </c>
      <c r="C39" s="346">
        <v>0</v>
      </c>
      <c r="D39" s="346">
        <v>0</v>
      </c>
      <c r="E39" s="346">
        <v>0</v>
      </c>
      <c r="F39" s="346">
        <v>0</v>
      </c>
      <c r="G39" s="346">
        <v>504.08</v>
      </c>
      <c r="H39" s="346">
        <v>0</v>
      </c>
      <c r="I39" s="346">
        <v>1609.52</v>
      </c>
      <c r="J39" s="346">
        <v>1225.8</v>
      </c>
      <c r="K39" s="346">
        <v>1225.8</v>
      </c>
      <c r="L39" s="346">
        <v>1225.8</v>
      </c>
      <c r="M39" s="346">
        <v>1225.8</v>
      </c>
      <c r="N39" s="122">
        <f t="shared" si="0"/>
        <v>12028.8</v>
      </c>
      <c r="O39" s="28">
        <f t="shared" si="1"/>
        <v>13025.44</v>
      </c>
      <c r="P39" s="28">
        <f t="shared" si="2"/>
        <v>14709.599999999999</v>
      </c>
    </row>
    <row r="40" spans="1:16" ht="15" customHeight="1">
      <c r="A40" s="344" t="s">
        <v>26</v>
      </c>
      <c r="B40" s="346">
        <v>0</v>
      </c>
      <c r="C40" s="346">
        <v>0</v>
      </c>
      <c r="D40" s="346">
        <v>0</v>
      </c>
      <c r="E40" s="346">
        <v>0</v>
      </c>
      <c r="F40" s="346">
        <v>0</v>
      </c>
      <c r="G40" s="346">
        <v>45.52</v>
      </c>
      <c r="H40" s="346">
        <v>0</v>
      </c>
      <c r="I40" s="346">
        <v>145.34</v>
      </c>
      <c r="J40" s="346">
        <v>100.14</v>
      </c>
      <c r="K40" s="346">
        <v>100.14</v>
      </c>
      <c r="L40" s="346">
        <v>100.14</v>
      </c>
      <c r="M40" s="346">
        <v>100.14</v>
      </c>
      <c r="N40" s="122">
        <f t="shared" si="0"/>
        <v>1013.862857142857</v>
      </c>
      <c r="O40" s="28">
        <f t="shared" si="1"/>
        <v>1091.8</v>
      </c>
      <c r="P40" s="28">
        <f t="shared" si="2"/>
        <v>1201.68</v>
      </c>
    </row>
    <row r="41" spans="1:16" ht="15" customHeight="1">
      <c r="A41" s="344" t="s">
        <v>27</v>
      </c>
      <c r="B41" s="346">
        <v>0</v>
      </c>
      <c r="C41" s="346">
        <v>0</v>
      </c>
      <c r="D41" s="346">
        <v>0</v>
      </c>
      <c r="E41" s="346">
        <v>0</v>
      </c>
      <c r="F41" s="346">
        <v>0</v>
      </c>
      <c r="G41" s="346">
        <v>11.01</v>
      </c>
      <c r="H41" s="346">
        <v>0</v>
      </c>
      <c r="I41" s="346">
        <v>35.06</v>
      </c>
      <c r="J41" s="346">
        <v>24.18</v>
      </c>
      <c r="K41" s="346">
        <v>24.18</v>
      </c>
      <c r="L41" s="346">
        <v>24.18</v>
      </c>
      <c r="M41" s="346">
        <v>24.18</v>
      </c>
      <c r="N41" s="122">
        <f t="shared" si="0"/>
        <v>244.78285714285721</v>
      </c>
      <c r="O41" s="123">
        <f t="shared" si="1"/>
        <v>263.56</v>
      </c>
      <c r="P41" s="123">
        <f t="shared" si="2"/>
        <v>290.15999999999997</v>
      </c>
    </row>
    <row r="42" spans="1:16" ht="15" customHeight="1">
      <c r="A42" s="343" t="s">
        <v>28</v>
      </c>
      <c r="B42" s="346">
        <v>0</v>
      </c>
      <c r="C42" s="346">
        <v>0</v>
      </c>
      <c r="D42" s="346">
        <v>0</v>
      </c>
      <c r="E42" s="346">
        <v>0</v>
      </c>
      <c r="F42" s="346">
        <v>0</v>
      </c>
      <c r="G42" s="346">
        <v>560.61</v>
      </c>
      <c r="H42" s="346">
        <v>0</v>
      </c>
      <c r="I42" s="346">
        <v>1789.92</v>
      </c>
      <c r="J42" s="346">
        <v>1350.12</v>
      </c>
      <c r="K42" s="346">
        <v>1350.12</v>
      </c>
      <c r="L42" s="346">
        <v>1350.12</v>
      </c>
      <c r="M42" s="346">
        <v>1350.12</v>
      </c>
      <c r="N42" s="122">
        <f t="shared" si="0"/>
        <v>13287.445714285715</v>
      </c>
      <c r="O42" s="123">
        <f t="shared" si="1"/>
        <v>14380.8</v>
      </c>
      <c r="P42" s="123">
        <f t="shared" si="2"/>
        <v>16201.439999999999</v>
      </c>
    </row>
    <row r="43" spans="1:16" ht="15" customHeight="1">
      <c r="A43" s="344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  <c r="M43" s="345"/>
      <c r="N43" s="122" t="e">
        <f t="shared" si="0"/>
        <v>#VALUE!</v>
      </c>
      <c r="O43" s="123" t="e">
        <f t="shared" si="1"/>
        <v>#VALUE!</v>
      </c>
      <c r="P43" s="123" t="e">
        <f t="shared" si="2"/>
        <v>#VALUE!</v>
      </c>
    </row>
    <row r="44" spans="1:16" ht="15" customHeight="1">
      <c r="A44" s="343" t="s">
        <v>29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122" t="e">
        <f t="shared" si="0"/>
        <v>#VALUE!</v>
      </c>
      <c r="O44" s="123" t="e">
        <f t="shared" si="1"/>
        <v>#VALUE!</v>
      </c>
      <c r="P44" s="123" t="e">
        <f t="shared" si="2"/>
        <v>#VALUE!</v>
      </c>
    </row>
    <row r="45" spans="1:16" ht="15" customHeight="1">
      <c r="A45" s="344" t="s">
        <v>30</v>
      </c>
      <c r="B45" s="346">
        <v>0</v>
      </c>
      <c r="C45" s="346">
        <v>0</v>
      </c>
      <c r="D45" s="346">
        <v>0</v>
      </c>
      <c r="E45" s="346">
        <v>0</v>
      </c>
      <c r="F45" s="346">
        <v>0</v>
      </c>
      <c r="G45" s="346">
        <v>0</v>
      </c>
      <c r="H45" s="346">
        <v>0</v>
      </c>
      <c r="I45" s="346">
        <v>180.81</v>
      </c>
      <c r="J45" s="346">
        <v>144.16999999999999</v>
      </c>
      <c r="K45" s="346">
        <v>271.07</v>
      </c>
      <c r="L45" s="346">
        <v>198.68</v>
      </c>
      <c r="M45" s="346">
        <v>204.64</v>
      </c>
      <c r="N45" s="122">
        <f t="shared" si="0"/>
        <v>1713.2057142857143</v>
      </c>
      <c r="O45" s="28">
        <f t="shared" si="1"/>
        <v>1998.74</v>
      </c>
      <c r="P45" s="28">
        <f t="shared" si="2"/>
        <v>2697.56</v>
      </c>
    </row>
    <row r="46" spans="1:16" ht="15" customHeight="1">
      <c r="A46" s="343" t="s">
        <v>31</v>
      </c>
      <c r="B46" s="346">
        <v>0</v>
      </c>
      <c r="C46" s="346">
        <v>0</v>
      </c>
      <c r="D46" s="346">
        <v>0</v>
      </c>
      <c r="E46" s="346">
        <v>0</v>
      </c>
      <c r="F46" s="346">
        <v>0</v>
      </c>
      <c r="G46" s="346">
        <v>0</v>
      </c>
      <c r="H46" s="346">
        <v>0</v>
      </c>
      <c r="I46" s="346">
        <v>180.81</v>
      </c>
      <c r="J46" s="346">
        <v>144.16999999999999</v>
      </c>
      <c r="K46" s="346">
        <v>271.07</v>
      </c>
      <c r="L46" s="346">
        <v>198.68</v>
      </c>
      <c r="M46" s="346">
        <v>204.64</v>
      </c>
      <c r="N46" s="122">
        <f t="shared" si="0"/>
        <v>1713.2057142857143</v>
      </c>
      <c r="O46" s="28">
        <f t="shared" si="1"/>
        <v>1998.74</v>
      </c>
      <c r="P46" s="28">
        <f t="shared" si="2"/>
        <v>2697.56</v>
      </c>
    </row>
    <row r="47" spans="1:16" ht="15" customHeight="1">
      <c r="A47" s="344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122" t="e">
        <f t="shared" si="0"/>
        <v>#VALUE!</v>
      </c>
      <c r="O47" s="123" t="e">
        <f t="shared" si="1"/>
        <v>#VALUE!</v>
      </c>
      <c r="P47" s="123" t="e">
        <f t="shared" si="2"/>
        <v>#VALUE!</v>
      </c>
    </row>
    <row r="48" spans="1:16" ht="15" customHeight="1">
      <c r="A48" s="343" t="s">
        <v>32</v>
      </c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122" t="e">
        <f t="shared" si="0"/>
        <v>#VALUE!</v>
      </c>
      <c r="O48" s="123" t="e">
        <f t="shared" si="1"/>
        <v>#VALUE!</v>
      </c>
      <c r="P48" s="123" t="e">
        <f t="shared" si="2"/>
        <v>#VALUE!</v>
      </c>
    </row>
    <row r="49" spans="1:16" ht="15" customHeight="1">
      <c r="A49" s="344" t="s">
        <v>299</v>
      </c>
      <c r="B49" s="346">
        <v>0</v>
      </c>
      <c r="C49" s="346">
        <v>0</v>
      </c>
      <c r="D49" s="346">
        <v>0</v>
      </c>
      <c r="E49" s="346">
        <v>0</v>
      </c>
      <c r="F49" s="346">
        <v>0</v>
      </c>
      <c r="G49" s="346">
        <v>53.83</v>
      </c>
      <c r="H49" s="346">
        <v>0</v>
      </c>
      <c r="I49" s="346">
        <v>70</v>
      </c>
      <c r="J49" s="346">
        <v>170</v>
      </c>
      <c r="K49" s="346">
        <v>0</v>
      </c>
      <c r="L49" s="346">
        <v>180</v>
      </c>
      <c r="M49" s="346">
        <v>90</v>
      </c>
      <c r="N49" s="122">
        <f t="shared" si="0"/>
        <v>966.56571428571419</v>
      </c>
      <c r="O49" s="28">
        <f t="shared" si="1"/>
        <v>1020</v>
      </c>
      <c r="P49" s="28">
        <f t="shared" si="2"/>
        <v>1080</v>
      </c>
    </row>
    <row r="50" spans="1:16" ht="15" customHeight="1">
      <c r="A50" s="344" t="s">
        <v>33</v>
      </c>
      <c r="B50" s="346">
        <v>0</v>
      </c>
      <c r="C50" s="346">
        <v>0</v>
      </c>
      <c r="D50" s="346">
        <v>0</v>
      </c>
      <c r="E50" s="346">
        <v>0</v>
      </c>
      <c r="F50" s="346">
        <v>0</v>
      </c>
      <c r="G50" s="346">
        <v>0</v>
      </c>
      <c r="H50" s="346">
        <v>0</v>
      </c>
      <c r="I50" s="346">
        <v>1418</v>
      </c>
      <c r="J50" s="346">
        <v>709</v>
      </c>
      <c r="K50" s="346">
        <v>820</v>
      </c>
      <c r="L50" s="346">
        <v>982.33</v>
      </c>
      <c r="M50" s="346">
        <v>657.67</v>
      </c>
      <c r="N50" s="122">
        <f t="shared" si="0"/>
        <v>7863.4285714285725</v>
      </c>
      <c r="O50" s="28">
        <f t="shared" si="1"/>
        <v>9174</v>
      </c>
      <c r="P50" s="28">
        <f t="shared" si="2"/>
        <v>9840</v>
      </c>
    </row>
    <row r="51" spans="1:16" ht="15" customHeight="1">
      <c r="A51" s="344" t="s">
        <v>34</v>
      </c>
      <c r="B51" s="346">
        <v>0</v>
      </c>
      <c r="C51" s="346">
        <v>0</v>
      </c>
      <c r="D51" s="346">
        <v>0</v>
      </c>
      <c r="E51" s="346">
        <v>0</v>
      </c>
      <c r="F51" s="346">
        <v>0</v>
      </c>
      <c r="G51" s="346">
        <v>0</v>
      </c>
      <c r="H51" s="346">
        <v>0</v>
      </c>
      <c r="I51" s="346">
        <v>0</v>
      </c>
      <c r="J51" s="346">
        <v>1650</v>
      </c>
      <c r="K51" s="346">
        <v>-1650</v>
      </c>
      <c r="L51" s="346">
        <v>0</v>
      </c>
      <c r="M51" s="346">
        <v>2850</v>
      </c>
      <c r="N51" s="122">
        <f t="shared" si="0"/>
        <v>4885.7142857142862</v>
      </c>
      <c r="O51" s="123">
        <f t="shared" si="1"/>
        <v>5700</v>
      </c>
      <c r="P51" s="123">
        <f t="shared" si="2"/>
        <v>4800</v>
      </c>
    </row>
    <row r="52" spans="1:16" ht="15" customHeight="1">
      <c r="A52" s="344" t="s">
        <v>35</v>
      </c>
      <c r="B52" s="346">
        <v>0</v>
      </c>
      <c r="C52" s="346">
        <v>0</v>
      </c>
      <c r="D52" s="346">
        <v>0</v>
      </c>
      <c r="E52" s="346">
        <v>0</v>
      </c>
      <c r="F52" s="346">
        <v>0</v>
      </c>
      <c r="G52" s="346">
        <v>47.5</v>
      </c>
      <c r="H52" s="346">
        <v>0</v>
      </c>
      <c r="I52" s="346">
        <v>75</v>
      </c>
      <c r="J52" s="346">
        <v>150</v>
      </c>
      <c r="K52" s="346">
        <v>0</v>
      </c>
      <c r="L52" s="346">
        <v>75</v>
      </c>
      <c r="M52" s="346">
        <v>0</v>
      </c>
      <c r="N52" s="122">
        <f t="shared" si="0"/>
        <v>595.71428571428578</v>
      </c>
      <c r="O52" s="123">
        <f t="shared" si="1"/>
        <v>600</v>
      </c>
      <c r="P52" s="123">
        <f t="shared" si="2"/>
        <v>300</v>
      </c>
    </row>
    <row r="53" spans="1:16" ht="15" customHeight="1">
      <c r="A53" s="344" t="s">
        <v>321</v>
      </c>
      <c r="B53" s="346">
        <v>0</v>
      </c>
      <c r="C53" s="346">
        <v>0</v>
      </c>
      <c r="D53" s="346">
        <v>0</v>
      </c>
      <c r="E53" s="346">
        <v>0</v>
      </c>
      <c r="F53" s="346">
        <v>0</v>
      </c>
      <c r="G53" s="346">
        <v>0</v>
      </c>
      <c r="H53" s="346">
        <v>0</v>
      </c>
      <c r="I53" s="346">
        <v>0</v>
      </c>
      <c r="J53" s="346">
        <v>0</v>
      </c>
      <c r="K53" s="346">
        <v>2400</v>
      </c>
      <c r="L53" s="346">
        <v>-2400</v>
      </c>
      <c r="M53" s="346">
        <v>1200</v>
      </c>
      <c r="N53" s="122">
        <f t="shared" si="0"/>
        <v>2057.1428571428569</v>
      </c>
      <c r="O53" s="123">
        <f t="shared" si="1"/>
        <v>2400</v>
      </c>
      <c r="P53" s="123">
        <f t="shared" si="2"/>
        <v>4800</v>
      </c>
    </row>
    <row r="54" spans="1:16" ht="15" customHeight="1">
      <c r="A54" s="344" t="s">
        <v>36</v>
      </c>
      <c r="B54" s="346">
        <v>0</v>
      </c>
      <c r="C54" s="346">
        <v>0</v>
      </c>
      <c r="D54" s="346">
        <v>0</v>
      </c>
      <c r="E54" s="346">
        <v>0</v>
      </c>
      <c r="F54" s="346">
        <v>0</v>
      </c>
      <c r="G54" s="346">
        <v>0</v>
      </c>
      <c r="H54" s="346">
        <v>0</v>
      </c>
      <c r="I54" s="346">
        <v>80</v>
      </c>
      <c r="J54" s="346">
        <v>160</v>
      </c>
      <c r="K54" s="346">
        <v>0</v>
      </c>
      <c r="L54" s="346">
        <v>168</v>
      </c>
      <c r="M54" s="346">
        <v>0</v>
      </c>
      <c r="N54" s="122">
        <f t="shared" si="0"/>
        <v>699.42857142857144</v>
      </c>
      <c r="O54" s="123">
        <f t="shared" si="1"/>
        <v>816</v>
      </c>
      <c r="P54" s="123">
        <f t="shared" si="2"/>
        <v>672</v>
      </c>
    </row>
    <row r="55" spans="1:16" ht="15" customHeight="1">
      <c r="A55" s="344" t="s">
        <v>300</v>
      </c>
      <c r="B55" s="346">
        <v>0</v>
      </c>
      <c r="C55" s="346">
        <v>0</v>
      </c>
      <c r="D55" s="346">
        <v>0</v>
      </c>
      <c r="E55" s="346">
        <v>0</v>
      </c>
      <c r="F55" s="346">
        <v>0</v>
      </c>
      <c r="G55" s="346">
        <v>0</v>
      </c>
      <c r="H55" s="346">
        <v>0</v>
      </c>
      <c r="I55" s="346">
        <v>0</v>
      </c>
      <c r="J55" s="346">
        <v>168.3</v>
      </c>
      <c r="K55" s="346">
        <v>1001.72</v>
      </c>
      <c r="L55" s="346">
        <v>102</v>
      </c>
      <c r="M55" s="346">
        <v>0</v>
      </c>
      <c r="N55" s="122">
        <f t="shared" si="0"/>
        <v>2180.6057142857144</v>
      </c>
      <c r="O55" s="123">
        <f t="shared" si="1"/>
        <v>2544.04</v>
      </c>
      <c r="P55" s="123">
        <f t="shared" si="2"/>
        <v>4414.88</v>
      </c>
    </row>
    <row r="56" spans="1:16" ht="15" customHeight="1">
      <c r="A56" s="344" t="s">
        <v>322</v>
      </c>
      <c r="B56" s="346">
        <v>0</v>
      </c>
      <c r="C56" s="346">
        <v>0</v>
      </c>
      <c r="D56" s="346">
        <v>0</v>
      </c>
      <c r="E56" s="346">
        <v>0</v>
      </c>
      <c r="F56" s="346">
        <v>0</v>
      </c>
      <c r="G56" s="346">
        <v>0</v>
      </c>
      <c r="H56" s="346">
        <v>0</v>
      </c>
      <c r="I56" s="346">
        <v>0</v>
      </c>
      <c r="J56" s="346">
        <v>0</v>
      </c>
      <c r="K56" s="346">
        <v>0</v>
      </c>
      <c r="L56" s="346">
        <v>0</v>
      </c>
      <c r="M56" s="346">
        <v>1500</v>
      </c>
      <c r="N56" s="122">
        <f t="shared" si="0"/>
        <v>2571.4285714285716</v>
      </c>
      <c r="O56" s="123">
        <f t="shared" si="1"/>
        <v>3000</v>
      </c>
      <c r="P56" s="123">
        <f t="shared" si="2"/>
        <v>6000</v>
      </c>
    </row>
    <row r="57" spans="1:16" ht="15" customHeight="1">
      <c r="A57" s="344" t="s">
        <v>37</v>
      </c>
      <c r="B57" s="346">
        <v>0</v>
      </c>
      <c r="C57" s="346">
        <v>0</v>
      </c>
      <c r="D57" s="346">
        <v>0</v>
      </c>
      <c r="E57" s="346">
        <v>0</v>
      </c>
      <c r="F57" s="346">
        <v>0</v>
      </c>
      <c r="G57" s="346">
        <v>176.63</v>
      </c>
      <c r="H57" s="346">
        <v>0</v>
      </c>
      <c r="I57" s="346">
        <v>0</v>
      </c>
      <c r="J57" s="346">
        <v>495</v>
      </c>
      <c r="K57" s="346">
        <v>0</v>
      </c>
      <c r="L57" s="346">
        <v>390</v>
      </c>
      <c r="M57" s="346">
        <v>1971</v>
      </c>
      <c r="N57" s="122">
        <f t="shared" si="0"/>
        <v>5198.7942857142862</v>
      </c>
      <c r="O57" s="123">
        <f t="shared" si="1"/>
        <v>5712</v>
      </c>
      <c r="P57" s="123">
        <f t="shared" si="2"/>
        <v>9444</v>
      </c>
    </row>
    <row r="58" spans="1:16" ht="15" customHeight="1">
      <c r="A58" s="343" t="s">
        <v>38</v>
      </c>
      <c r="B58" s="346">
        <v>0</v>
      </c>
      <c r="C58" s="346">
        <v>0</v>
      </c>
      <c r="D58" s="346">
        <v>0</v>
      </c>
      <c r="E58" s="346">
        <v>0</v>
      </c>
      <c r="F58" s="346">
        <v>0</v>
      </c>
      <c r="G58" s="346">
        <v>277.95999999999998</v>
      </c>
      <c r="H58" s="346">
        <v>0</v>
      </c>
      <c r="I58" s="346">
        <v>1643</v>
      </c>
      <c r="J58" s="346">
        <v>3502.3</v>
      </c>
      <c r="K58" s="346">
        <v>2571.7199999999998</v>
      </c>
      <c r="L58" s="346">
        <v>-502.67</v>
      </c>
      <c r="M58" s="346">
        <v>8268.67</v>
      </c>
      <c r="N58" s="122">
        <f t="shared" si="0"/>
        <v>27018.822857142855</v>
      </c>
      <c r="O58" s="123">
        <f t="shared" si="1"/>
        <v>30966.04</v>
      </c>
      <c r="P58" s="123">
        <f t="shared" si="2"/>
        <v>41350.879999999997</v>
      </c>
    </row>
    <row r="59" spans="1:16" ht="15" customHeight="1">
      <c r="A59" s="344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122" t="e">
        <f t="shared" si="0"/>
        <v>#VALUE!</v>
      </c>
      <c r="O59" s="123" t="e">
        <f t="shared" si="1"/>
        <v>#VALUE!</v>
      </c>
      <c r="P59" s="123" t="e">
        <f t="shared" si="2"/>
        <v>#VALUE!</v>
      </c>
    </row>
    <row r="60" spans="1:16" ht="15" customHeight="1">
      <c r="A60" s="343" t="s">
        <v>39</v>
      </c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122" t="e">
        <f t="shared" si="0"/>
        <v>#VALUE!</v>
      </c>
      <c r="O60" s="28" t="e">
        <f t="shared" si="1"/>
        <v>#VALUE!</v>
      </c>
      <c r="P60" s="28" t="e">
        <f t="shared" si="2"/>
        <v>#VALUE!</v>
      </c>
    </row>
    <row r="61" spans="1:16" ht="15" customHeight="1">
      <c r="A61" s="344" t="s">
        <v>40</v>
      </c>
      <c r="B61" s="346">
        <v>0</v>
      </c>
      <c r="C61" s="346">
        <v>0</v>
      </c>
      <c r="D61" s="346">
        <v>0</v>
      </c>
      <c r="E61" s="346">
        <v>0</v>
      </c>
      <c r="F61" s="346">
        <v>0</v>
      </c>
      <c r="G61" s="346">
        <v>0</v>
      </c>
      <c r="H61" s="346">
        <v>0</v>
      </c>
      <c r="I61" s="346">
        <v>0</v>
      </c>
      <c r="J61" s="346">
        <v>359.33</v>
      </c>
      <c r="K61" s="346">
        <v>-98.5</v>
      </c>
      <c r="L61" s="346">
        <v>0</v>
      </c>
      <c r="M61" s="346">
        <v>73.61</v>
      </c>
      <c r="N61" s="122">
        <f t="shared" si="0"/>
        <v>573.3257142857143</v>
      </c>
      <c r="O61" s="28">
        <f t="shared" si="1"/>
        <v>668.88</v>
      </c>
      <c r="P61" s="28">
        <f t="shared" si="2"/>
        <v>-99.56</v>
      </c>
    </row>
    <row r="62" spans="1:16" ht="15" customHeight="1">
      <c r="A62" s="343" t="s">
        <v>41</v>
      </c>
      <c r="B62" s="346">
        <v>0</v>
      </c>
      <c r="C62" s="346">
        <v>0</v>
      </c>
      <c r="D62" s="346">
        <v>0</v>
      </c>
      <c r="E62" s="346">
        <v>0</v>
      </c>
      <c r="F62" s="346">
        <v>0</v>
      </c>
      <c r="G62" s="346">
        <v>0</v>
      </c>
      <c r="H62" s="346">
        <v>0</v>
      </c>
      <c r="I62" s="346">
        <v>0</v>
      </c>
      <c r="J62" s="346">
        <v>359.33</v>
      </c>
      <c r="K62" s="346">
        <v>-98.5</v>
      </c>
      <c r="L62" s="346">
        <v>0</v>
      </c>
      <c r="M62" s="346">
        <v>73.61</v>
      </c>
      <c r="N62" s="122">
        <f t="shared" si="0"/>
        <v>573.3257142857143</v>
      </c>
      <c r="O62" s="123">
        <f t="shared" si="1"/>
        <v>668.88</v>
      </c>
      <c r="P62" s="123">
        <f t="shared" si="2"/>
        <v>-99.56</v>
      </c>
    </row>
    <row r="63" spans="1:16" ht="15" customHeight="1">
      <c r="A63" s="344"/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122" t="e">
        <f t="shared" si="0"/>
        <v>#VALUE!</v>
      </c>
      <c r="O63" s="123" t="e">
        <f t="shared" si="1"/>
        <v>#VALUE!</v>
      </c>
      <c r="P63" s="123" t="e">
        <f t="shared" si="2"/>
        <v>#VALUE!</v>
      </c>
    </row>
    <row r="64" spans="1:16" ht="15" customHeight="1">
      <c r="A64" s="343" t="s">
        <v>42</v>
      </c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122" t="e">
        <f t="shared" si="0"/>
        <v>#VALUE!</v>
      </c>
      <c r="O64" s="28" t="e">
        <f t="shared" si="1"/>
        <v>#VALUE!</v>
      </c>
      <c r="P64" s="28" t="e">
        <f t="shared" si="2"/>
        <v>#VALUE!</v>
      </c>
    </row>
    <row r="65" spans="1:16" ht="15" customHeight="1">
      <c r="A65" s="344" t="s">
        <v>43</v>
      </c>
      <c r="B65" s="346">
        <v>0</v>
      </c>
      <c r="C65" s="346">
        <v>0</v>
      </c>
      <c r="D65" s="346">
        <v>0</v>
      </c>
      <c r="E65" s="346">
        <v>0</v>
      </c>
      <c r="F65" s="346">
        <v>0</v>
      </c>
      <c r="G65" s="346">
        <v>0</v>
      </c>
      <c r="H65" s="346">
        <v>1674.57</v>
      </c>
      <c r="I65" s="346">
        <v>5288.12</v>
      </c>
      <c r="J65" s="346">
        <v>2644.06</v>
      </c>
      <c r="K65" s="346">
        <v>2573.06</v>
      </c>
      <c r="L65" s="346">
        <v>2573.06</v>
      </c>
      <c r="M65" s="346">
        <v>2573.06</v>
      </c>
      <c r="N65" s="122">
        <f t="shared" si="0"/>
        <v>29701.594285714287</v>
      </c>
      <c r="O65" s="28">
        <f t="shared" si="1"/>
        <v>34651.86</v>
      </c>
      <c r="P65" s="28">
        <f t="shared" si="2"/>
        <v>30876.720000000001</v>
      </c>
    </row>
    <row r="66" spans="1:16" ht="15" customHeight="1">
      <c r="A66" s="343" t="s">
        <v>44</v>
      </c>
      <c r="B66" s="346">
        <v>0</v>
      </c>
      <c r="C66" s="346">
        <v>0</v>
      </c>
      <c r="D66" s="346">
        <v>0</v>
      </c>
      <c r="E66" s="346">
        <v>0</v>
      </c>
      <c r="F66" s="346">
        <v>0</v>
      </c>
      <c r="G66" s="346">
        <v>0</v>
      </c>
      <c r="H66" s="346">
        <v>1674.57</v>
      </c>
      <c r="I66" s="346">
        <v>5288.12</v>
      </c>
      <c r="J66" s="346">
        <v>2644.06</v>
      </c>
      <c r="K66" s="346">
        <v>2573.06</v>
      </c>
      <c r="L66" s="346">
        <v>2573.06</v>
      </c>
      <c r="M66" s="346">
        <v>2573.06</v>
      </c>
      <c r="N66" s="122">
        <f t="shared" si="0"/>
        <v>29701.594285714287</v>
      </c>
      <c r="O66" s="123">
        <f t="shared" si="1"/>
        <v>34651.86</v>
      </c>
      <c r="P66" s="123">
        <f t="shared" si="2"/>
        <v>30876.720000000001</v>
      </c>
    </row>
    <row r="67" spans="1:16" ht="15" customHeight="1">
      <c r="A67" s="343" t="s">
        <v>45</v>
      </c>
      <c r="B67" s="346">
        <v>0</v>
      </c>
      <c r="C67" s="346">
        <v>0</v>
      </c>
      <c r="D67" s="346">
        <v>0</v>
      </c>
      <c r="E67" s="346">
        <v>0</v>
      </c>
      <c r="F67" s="346">
        <v>0</v>
      </c>
      <c r="G67" s="346">
        <v>6161.32</v>
      </c>
      <c r="H67" s="346">
        <v>10265.67</v>
      </c>
      <c r="I67" s="346">
        <v>17492.96</v>
      </c>
      <c r="J67" s="346">
        <v>16591.080000000002</v>
      </c>
      <c r="K67" s="346">
        <v>15802.4</v>
      </c>
      <c r="L67" s="346">
        <v>12754.11</v>
      </c>
      <c r="M67" s="346">
        <v>21605.02</v>
      </c>
      <c r="N67" s="122">
        <f t="shared" si="0"/>
        <v>172581.53142857144</v>
      </c>
      <c r="O67" s="123">
        <f t="shared" si="1"/>
        <v>189022.48</v>
      </c>
      <c r="P67" s="123">
        <f t="shared" si="2"/>
        <v>200646.12</v>
      </c>
    </row>
    <row r="68" spans="1:16" ht="15" customHeight="1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122" t="e">
        <f t="shared" si="0"/>
        <v>#VALUE!</v>
      </c>
      <c r="O68" s="123" t="e">
        <f t="shared" si="1"/>
        <v>#VALUE!</v>
      </c>
      <c r="P68" s="123" t="e">
        <f t="shared" si="2"/>
        <v>#VALUE!</v>
      </c>
    </row>
    <row r="69" spans="1:16" ht="15" customHeight="1">
      <c r="A69" s="343" t="s">
        <v>46</v>
      </c>
      <c r="B69" s="348"/>
      <c r="C69" s="348"/>
      <c r="D69" s="348"/>
      <c r="E69" s="348"/>
      <c r="F69" s="348"/>
      <c r="G69" s="348"/>
      <c r="H69" s="348"/>
      <c r="I69" s="348"/>
      <c r="J69" s="348"/>
      <c r="K69" s="348"/>
      <c r="L69" s="348"/>
      <c r="M69" s="348"/>
      <c r="N69" s="122" t="e">
        <f t="shared" si="0"/>
        <v>#VALUE!</v>
      </c>
      <c r="O69" s="28" t="e">
        <f t="shared" si="1"/>
        <v>#VALUE!</v>
      </c>
      <c r="P69" s="28" t="e">
        <f t="shared" si="2"/>
        <v>#VALUE!</v>
      </c>
    </row>
    <row r="70" spans="1:16" ht="15" customHeight="1">
      <c r="A70" s="344"/>
      <c r="B70" s="345"/>
      <c r="C70" s="345"/>
      <c r="D70" s="345"/>
      <c r="E70" s="345"/>
      <c r="F70" s="345"/>
      <c r="G70" s="345"/>
      <c r="H70" s="345"/>
      <c r="I70" s="345"/>
      <c r="J70" s="345"/>
      <c r="K70" s="345"/>
      <c r="L70" s="345"/>
      <c r="M70" s="345"/>
      <c r="N70" s="122" t="e">
        <f t="shared" si="0"/>
        <v>#VALUE!</v>
      </c>
      <c r="O70" s="123" t="e">
        <f t="shared" si="1"/>
        <v>#VALUE!</v>
      </c>
      <c r="P70" s="123" t="e">
        <f t="shared" si="2"/>
        <v>#VALUE!</v>
      </c>
    </row>
    <row r="71" spans="1:16" ht="15" customHeight="1">
      <c r="A71" s="343" t="s">
        <v>47</v>
      </c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122" t="e">
        <f t="shared" si="0"/>
        <v>#VALUE!</v>
      </c>
      <c r="O71" s="28" t="e">
        <f t="shared" si="1"/>
        <v>#VALUE!</v>
      </c>
      <c r="P71" s="28" t="e">
        <f t="shared" si="2"/>
        <v>#VALUE!</v>
      </c>
    </row>
    <row r="72" spans="1:16" ht="15" customHeight="1">
      <c r="A72" s="344" t="s">
        <v>48</v>
      </c>
      <c r="B72" s="346">
        <v>0</v>
      </c>
      <c r="C72" s="346">
        <v>0</v>
      </c>
      <c r="D72" s="346">
        <v>0</v>
      </c>
      <c r="E72" s="346">
        <v>0</v>
      </c>
      <c r="F72" s="346">
        <v>0</v>
      </c>
      <c r="G72" s="346">
        <v>0</v>
      </c>
      <c r="H72" s="346">
        <v>0</v>
      </c>
      <c r="I72" s="346">
        <v>0</v>
      </c>
      <c r="J72" s="346">
        <v>0</v>
      </c>
      <c r="K72" s="346">
        <v>0</v>
      </c>
      <c r="L72" s="346">
        <v>1200</v>
      </c>
      <c r="M72" s="346">
        <v>78.819999999999993</v>
      </c>
      <c r="N72" s="122">
        <f t="shared" si="0"/>
        <v>2192.2628571428568</v>
      </c>
      <c r="O72" s="28">
        <f t="shared" si="1"/>
        <v>2557.64</v>
      </c>
      <c r="P72" s="28">
        <f t="shared" si="2"/>
        <v>5115.28</v>
      </c>
    </row>
    <row r="73" spans="1:16" ht="15" customHeight="1">
      <c r="A73" s="344" t="s">
        <v>51</v>
      </c>
      <c r="B73" s="346">
        <v>0</v>
      </c>
      <c r="C73" s="346">
        <v>0</v>
      </c>
      <c r="D73" s="346">
        <v>0</v>
      </c>
      <c r="E73" s="346">
        <v>0</v>
      </c>
      <c r="F73" s="346">
        <v>0</v>
      </c>
      <c r="G73" s="346">
        <v>0</v>
      </c>
      <c r="H73" s="346">
        <v>0</v>
      </c>
      <c r="I73" s="346">
        <v>398.23</v>
      </c>
      <c r="J73" s="346">
        <v>5124.92</v>
      </c>
      <c r="K73" s="346">
        <v>1762.4</v>
      </c>
      <c r="L73" s="346">
        <v>1755.2</v>
      </c>
      <c r="M73" s="346">
        <v>1797.19</v>
      </c>
      <c r="N73" s="122">
        <f t="shared" si="0"/>
        <v>18579.325714285715</v>
      </c>
      <c r="O73" s="123">
        <f t="shared" si="1"/>
        <v>21675.88</v>
      </c>
      <c r="P73" s="123">
        <f t="shared" si="2"/>
        <v>21259.160000000003</v>
      </c>
    </row>
    <row r="74" spans="1:16" ht="15" customHeight="1">
      <c r="A74" s="343" t="s">
        <v>52</v>
      </c>
      <c r="B74" s="346">
        <v>0</v>
      </c>
      <c r="C74" s="346">
        <v>0</v>
      </c>
      <c r="D74" s="346">
        <v>0</v>
      </c>
      <c r="E74" s="346">
        <v>0</v>
      </c>
      <c r="F74" s="346">
        <v>0</v>
      </c>
      <c r="G74" s="346">
        <v>0</v>
      </c>
      <c r="H74" s="346">
        <v>0</v>
      </c>
      <c r="I74" s="346">
        <v>398.23</v>
      </c>
      <c r="J74" s="346">
        <v>5124.92</v>
      </c>
      <c r="K74" s="346">
        <v>1762.4</v>
      </c>
      <c r="L74" s="346">
        <v>2955.2</v>
      </c>
      <c r="M74" s="346">
        <v>1876.01</v>
      </c>
      <c r="N74" s="122">
        <f t="shared" si="0"/>
        <v>20771.588571428572</v>
      </c>
      <c r="O74" s="123">
        <f t="shared" si="1"/>
        <v>24233.52</v>
      </c>
      <c r="P74" s="123">
        <f t="shared" si="2"/>
        <v>26374.440000000002</v>
      </c>
    </row>
    <row r="75" spans="1:16" ht="15" customHeight="1">
      <c r="A75" s="343" t="s">
        <v>53</v>
      </c>
      <c r="B75" s="346">
        <v>0</v>
      </c>
      <c r="C75" s="346">
        <v>0</v>
      </c>
      <c r="D75" s="346">
        <v>0</v>
      </c>
      <c r="E75" s="346">
        <v>0</v>
      </c>
      <c r="F75" s="346">
        <v>0</v>
      </c>
      <c r="G75" s="346">
        <v>0</v>
      </c>
      <c r="H75" s="346">
        <v>0</v>
      </c>
      <c r="I75" s="346">
        <v>398.23</v>
      </c>
      <c r="J75" s="346">
        <v>5124.92</v>
      </c>
      <c r="K75" s="346">
        <v>1762.4</v>
      </c>
      <c r="L75" s="346">
        <v>2955.2</v>
      </c>
      <c r="M75" s="346">
        <v>1876.01</v>
      </c>
      <c r="N75" s="122">
        <f t="shared" ref="N75:N90" si="3">IF(SUM(B75:M75)=0,"",SUM(B75:M75))/$N$3*12</f>
        <v>20771.588571428572</v>
      </c>
      <c r="O75" s="123">
        <f t="shared" ref="O75:O90" si="4">IF(N75="","",SUM(H75:M75)*2)</f>
        <v>24233.52</v>
      </c>
      <c r="P75" s="123">
        <f t="shared" ref="P75:P90" si="5">IF(O75="","",SUM(K75:M75)*4)</f>
        <v>26374.440000000002</v>
      </c>
    </row>
    <row r="76" spans="1:16" ht="15" customHeight="1">
      <c r="A76" s="343" t="s">
        <v>54</v>
      </c>
      <c r="B76" s="346">
        <v>0</v>
      </c>
      <c r="C76" s="346">
        <v>0</v>
      </c>
      <c r="D76" s="346">
        <v>0</v>
      </c>
      <c r="E76" s="346">
        <v>0</v>
      </c>
      <c r="F76" s="346">
        <v>0</v>
      </c>
      <c r="G76" s="346">
        <v>42965</v>
      </c>
      <c r="H76" s="346">
        <v>66164.960000000006</v>
      </c>
      <c r="I76" s="346">
        <v>62153.18</v>
      </c>
      <c r="J76" s="346">
        <v>69677.3</v>
      </c>
      <c r="K76" s="346">
        <v>65914.39</v>
      </c>
      <c r="L76" s="346">
        <v>70857.990000000005</v>
      </c>
      <c r="M76" s="346">
        <v>68795.37</v>
      </c>
      <c r="N76" s="122">
        <f t="shared" si="3"/>
        <v>765476.89714285708</v>
      </c>
      <c r="O76" s="123">
        <f t="shared" si="4"/>
        <v>807126.38</v>
      </c>
      <c r="P76" s="123">
        <f t="shared" si="5"/>
        <v>822271</v>
      </c>
    </row>
    <row r="77" spans="1:16" ht="15" customHeight="1">
      <c r="A77" s="343" t="s">
        <v>107</v>
      </c>
      <c r="B77" s="346">
        <v>0</v>
      </c>
      <c r="C77" s="346">
        <v>0</v>
      </c>
      <c r="D77" s="346">
        <v>0</v>
      </c>
      <c r="E77" s="346">
        <v>0</v>
      </c>
      <c r="F77" s="346">
        <v>0</v>
      </c>
      <c r="G77" s="346">
        <v>42965</v>
      </c>
      <c r="H77" s="346">
        <v>66164.960000000006</v>
      </c>
      <c r="I77" s="346">
        <v>62153.18</v>
      </c>
      <c r="J77" s="346">
        <v>69677.3</v>
      </c>
      <c r="K77" s="346">
        <v>65914.39</v>
      </c>
      <c r="L77" s="346">
        <v>70857.990000000005</v>
      </c>
      <c r="M77" s="346">
        <v>68795.37</v>
      </c>
      <c r="N77" s="122">
        <f t="shared" si="3"/>
        <v>765476.89714285708</v>
      </c>
      <c r="O77" s="123">
        <f t="shared" si="4"/>
        <v>807126.38</v>
      </c>
      <c r="P77" s="123">
        <f t="shared" si="5"/>
        <v>822271</v>
      </c>
    </row>
    <row r="78" spans="1:16" ht="15" customHeight="1">
      <c r="A78" s="344"/>
      <c r="B78" s="345"/>
      <c r="C78" s="345"/>
      <c r="D78" s="345"/>
      <c r="E78" s="345"/>
      <c r="F78" s="345"/>
      <c r="G78" s="345"/>
      <c r="H78" s="345"/>
      <c r="I78" s="345"/>
      <c r="J78" s="345"/>
      <c r="K78" s="345"/>
      <c r="L78" s="345"/>
      <c r="M78" s="345"/>
      <c r="N78" s="122" t="e">
        <f t="shared" si="3"/>
        <v>#VALUE!</v>
      </c>
      <c r="O78" s="123" t="e">
        <f t="shared" si="4"/>
        <v>#VALUE!</v>
      </c>
      <c r="P78" s="123" t="e">
        <f t="shared" si="5"/>
        <v>#VALUE!</v>
      </c>
    </row>
    <row r="79" spans="1:16" ht="15" customHeight="1">
      <c r="A79" s="343" t="s">
        <v>108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122" t="e">
        <f t="shared" si="3"/>
        <v>#VALUE!</v>
      </c>
      <c r="O79" s="123" t="e">
        <f t="shared" si="4"/>
        <v>#VALUE!</v>
      </c>
      <c r="P79" s="123" t="e">
        <f t="shared" si="5"/>
        <v>#VALUE!</v>
      </c>
    </row>
    <row r="80" spans="1:16" ht="15" customHeight="1">
      <c r="A80" s="344"/>
      <c r="B80" s="345"/>
      <c r="C80" s="345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122" t="e">
        <f t="shared" si="3"/>
        <v>#VALUE!</v>
      </c>
      <c r="O80" s="123" t="e">
        <f t="shared" si="4"/>
        <v>#VALUE!</v>
      </c>
      <c r="P80" s="123" t="e">
        <f t="shared" si="5"/>
        <v>#VALUE!</v>
      </c>
    </row>
    <row r="81" spans="1:16" ht="15" customHeight="1">
      <c r="A81" s="343" t="s">
        <v>109</v>
      </c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122" t="e">
        <f t="shared" si="3"/>
        <v>#VALUE!</v>
      </c>
      <c r="O81" s="28" t="e">
        <f t="shared" si="4"/>
        <v>#VALUE!</v>
      </c>
      <c r="P81" s="28" t="e">
        <f t="shared" si="5"/>
        <v>#VALUE!</v>
      </c>
    </row>
    <row r="82" spans="1:16" ht="15" customHeight="1">
      <c r="A82" s="344" t="s">
        <v>110</v>
      </c>
      <c r="B82" s="346">
        <v>0</v>
      </c>
      <c r="C82" s="346">
        <v>0</v>
      </c>
      <c r="D82" s="346">
        <v>0</v>
      </c>
      <c r="E82" s="346">
        <v>0</v>
      </c>
      <c r="F82" s="346">
        <v>0</v>
      </c>
      <c r="G82" s="346">
        <v>0</v>
      </c>
      <c r="H82" s="346">
        <v>56488.79</v>
      </c>
      <c r="I82" s="346">
        <v>55011.839999999997</v>
      </c>
      <c r="J82" s="346">
        <v>74622.899999999994</v>
      </c>
      <c r="K82" s="346">
        <v>59052.160000000003</v>
      </c>
      <c r="L82" s="346">
        <v>48385.279999999999</v>
      </c>
      <c r="M82" s="346">
        <v>56199.360000000001</v>
      </c>
      <c r="N82" s="122">
        <f t="shared" si="3"/>
        <v>599589.13714285707</v>
      </c>
      <c r="O82" s="28">
        <f t="shared" si="4"/>
        <v>699520.65999999992</v>
      </c>
      <c r="P82" s="28">
        <f t="shared" si="5"/>
        <v>654547.19999999995</v>
      </c>
    </row>
    <row r="83" spans="1:16" ht="15" customHeight="1">
      <c r="A83" s="343" t="s">
        <v>111</v>
      </c>
      <c r="B83" s="346">
        <v>0</v>
      </c>
      <c r="C83" s="346">
        <v>0</v>
      </c>
      <c r="D83" s="346">
        <v>0</v>
      </c>
      <c r="E83" s="346">
        <v>0</v>
      </c>
      <c r="F83" s="346">
        <v>0</v>
      </c>
      <c r="G83" s="346">
        <v>0</v>
      </c>
      <c r="H83" s="346">
        <v>56488.79</v>
      </c>
      <c r="I83" s="346">
        <v>55011.839999999997</v>
      </c>
      <c r="J83" s="346">
        <v>74622.899999999994</v>
      </c>
      <c r="K83" s="346">
        <v>59052.160000000003</v>
      </c>
      <c r="L83" s="346">
        <v>48385.279999999999</v>
      </c>
      <c r="M83" s="346">
        <v>56199.360000000001</v>
      </c>
      <c r="N83" s="122">
        <f t="shared" si="3"/>
        <v>599589.13714285707</v>
      </c>
      <c r="O83" s="28">
        <f t="shared" si="4"/>
        <v>699520.65999999992</v>
      </c>
      <c r="P83" s="28">
        <f t="shared" si="5"/>
        <v>654547.19999999995</v>
      </c>
    </row>
    <row r="84" spans="1:16" ht="15" customHeight="1">
      <c r="A84" s="343" t="s">
        <v>112</v>
      </c>
      <c r="B84" s="346">
        <v>0</v>
      </c>
      <c r="C84" s="346">
        <v>0</v>
      </c>
      <c r="D84" s="346">
        <v>0</v>
      </c>
      <c r="E84" s="346">
        <v>0</v>
      </c>
      <c r="F84" s="346">
        <v>0</v>
      </c>
      <c r="G84" s="346">
        <v>0</v>
      </c>
      <c r="H84" s="346">
        <v>56488.79</v>
      </c>
      <c r="I84" s="346">
        <v>55011.839999999997</v>
      </c>
      <c r="J84" s="346">
        <v>74622.899999999994</v>
      </c>
      <c r="K84" s="346">
        <v>59052.160000000003</v>
      </c>
      <c r="L84" s="346">
        <v>48385.279999999999</v>
      </c>
      <c r="M84" s="346">
        <v>56199.360000000001</v>
      </c>
      <c r="N84" s="122">
        <f t="shared" si="3"/>
        <v>599589.13714285707</v>
      </c>
      <c r="O84" s="28">
        <f t="shared" si="4"/>
        <v>699520.65999999992</v>
      </c>
      <c r="P84" s="28">
        <f t="shared" si="5"/>
        <v>654547.19999999995</v>
      </c>
    </row>
    <row r="85" spans="1:16" ht="15" customHeight="1">
      <c r="A85" s="343" t="s">
        <v>113</v>
      </c>
      <c r="B85" s="346">
        <v>0</v>
      </c>
      <c r="C85" s="346">
        <v>0</v>
      </c>
      <c r="D85" s="346">
        <v>0</v>
      </c>
      <c r="E85" s="346">
        <v>0</v>
      </c>
      <c r="F85" s="346">
        <v>0</v>
      </c>
      <c r="G85" s="346">
        <v>42965</v>
      </c>
      <c r="H85" s="346">
        <v>9676.17</v>
      </c>
      <c r="I85" s="346">
        <v>7141.34</v>
      </c>
      <c r="J85" s="346">
        <v>-4945.6000000000004</v>
      </c>
      <c r="K85" s="346">
        <v>6862.23</v>
      </c>
      <c r="L85" s="346">
        <v>22472.71</v>
      </c>
      <c r="M85" s="346">
        <v>12596.01</v>
      </c>
      <c r="N85" s="122">
        <f t="shared" si="3"/>
        <v>165887.76</v>
      </c>
      <c r="O85" s="123">
        <f t="shared" si="4"/>
        <v>107605.72</v>
      </c>
      <c r="P85" s="123">
        <f t="shared" si="5"/>
        <v>167723.79999999999</v>
      </c>
    </row>
    <row r="86" spans="1:16" ht="1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 s="122" t="e">
        <f t="shared" si="3"/>
        <v>#VALUE!</v>
      </c>
      <c r="O86" s="123" t="e">
        <f t="shared" si="4"/>
        <v>#VALUE!</v>
      </c>
      <c r="P86" s="123" t="e">
        <f t="shared" si="5"/>
        <v>#VALUE!</v>
      </c>
    </row>
    <row r="87" spans="1:16" ht="1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 s="122" t="e">
        <f t="shared" si="3"/>
        <v>#VALUE!</v>
      </c>
      <c r="O87" s="123" t="e">
        <f t="shared" si="4"/>
        <v>#VALUE!</v>
      </c>
      <c r="P87" s="123" t="e">
        <f t="shared" si="5"/>
        <v>#VALUE!</v>
      </c>
    </row>
    <row r="88" spans="1:16" ht="1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 s="122" t="e">
        <f t="shared" si="3"/>
        <v>#VALUE!</v>
      </c>
      <c r="O88" s="123" t="e">
        <f t="shared" si="4"/>
        <v>#VALUE!</v>
      </c>
      <c r="P88" s="123" t="e">
        <f t="shared" si="5"/>
        <v>#VALUE!</v>
      </c>
    </row>
    <row r="89" spans="1:16" ht="1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 s="122" t="e">
        <f t="shared" si="3"/>
        <v>#VALUE!</v>
      </c>
      <c r="O89" s="123" t="e">
        <f t="shared" si="4"/>
        <v>#VALUE!</v>
      </c>
      <c r="P89" s="123" t="e">
        <f t="shared" si="5"/>
        <v>#VALUE!</v>
      </c>
    </row>
    <row r="90" spans="1:16" ht="1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 s="122" t="e">
        <f t="shared" si="3"/>
        <v>#VALUE!</v>
      </c>
      <c r="O90" s="123" t="e">
        <f t="shared" si="4"/>
        <v>#VALUE!</v>
      </c>
      <c r="P90" s="123" t="e">
        <f t="shared" si="5"/>
        <v>#VALUE!</v>
      </c>
    </row>
  </sheetData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46F6-1E9A-4613-ADFF-2585FEF16324}">
  <dimension ref="B1:AS14"/>
  <sheetViews>
    <sheetView showGridLines="0" workbookViewId="0">
      <selection activeCell="D7" sqref="D7"/>
    </sheetView>
  </sheetViews>
  <sheetFormatPr defaultColWidth="9" defaultRowHeight="12.75"/>
  <cols>
    <col min="1" max="1" width="9" style="16"/>
    <col min="2" max="2" width="22" style="16" bestFit="1" customWidth="1"/>
    <col min="3" max="3" width="3.28515625" style="16" bestFit="1" customWidth="1"/>
    <col min="4" max="4" width="29.85546875" style="16" bestFit="1" customWidth="1"/>
    <col min="5" max="5" width="8.28515625" style="16" bestFit="1" customWidth="1"/>
    <col min="6" max="6" width="7.5703125" style="16" bestFit="1" customWidth="1"/>
    <col min="7" max="7" width="4.5703125" style="16" bestFit="1" customWidth="1"/>
    <col min="8" max="8" width="3.85546875" style="16" bestFit="1" customWidth="1"/>
    <col min="9" max="10" width="8.28515625" style="16" bestFit="1" customWidth="1"/>
    <col min="11" max="11" width="3.85546875" style="16" bestFit="1" customWidth="1"/>
    <col min="12" max="12" width="10.42578125" style="16" bestFit="1" customWidth="1"/>
    <col min="13" max="13" width="3.85546875" style="16" bestFit="1" customWidth="1"/>
    <col min="14" max="14" width="9.85546875" style="16" bestFit="1" customWidth="1"/>
    <col min="15" max="15" width="7" style="16" bestFit="1" customWidth="1"/>
    <col min="16" max="16" width="8.28515625" style="16" bestFit="1" customWidth="1"/>
    <col min="17" max="17" width="7.5703125" style="16" bestFit="1" customWidth="1"/>
    <col min="18" max="18" width="8.28515625" style="16" bestFit="1" customWidth="1"/>
    <col min="19" max="20" width="9.28515625" style="16" bestFit="1" customWidth="1"/>
    <col min="21" max="21" width="4.5703125" style="16" bestFit="1" customWidth="1"/>
    <col min="22" max="22" width="8.28515625" style="16" bestFit="1" customWidth="1"/>
    <col min="23" max="23" width="9.85546875" style="16" bestFit="1" customWidth="1"/>
    <col min="24" max="24" width="6.28515625" style="16" bestFit="1" customWidth="1"/>
    <col min="25" max="25" width="2.7109375" style="16" bestFit="1" customWidth="1"/>
    <col min="26" max="26" width="6.7109375" style="16" bestFit="1" customWidth="1"/>
    <col min="27" max="27" width="3.28515625" style="16" bestFit="1" customWidth="1"/>
    <col min="28" max="28" width="10" style="16" bestFit="1" customWidth="1"/>
    <col min="29" max="29" width="8.28515625" style="16" bestFit="1" customWidth="1"/>
    <col min="30" max="30" width="7.5703125" style="16" bestFit="1" customWidth="1"/>
    <col min="31" max="31" width="3.85546875" style="16" bestFit="1" customWidth="1"/>
    <col min="32" max="32" width="8.28515625" style="16" bestFit="1" customWidth="1"/>
    <col min="33" max="34" width="3.85546875" style="16" bestFit="1" customWidth="1"/>
    <col min="35" max="35" width="8.28515625" style="16" bestFit="1" customWidth="1"/>
    <col min="36" max="36" width="6.7109375" style="16" bestFit="1" customWidth="1"/>
    <col min="37" max="37" width="4.5703125" style="16" bestFit="1" customWidth="1"/>
    <col min="38" max="38" width="7.5703125" style="16" bestFit="1" customWidth="1"/>
    <col min="39" max="39" width="9.7109375" style="16" bestFit="1" customWidth="1"/>
    <col min="40" max="40" width="1.7109375" style="16" bestFit="1" customWidth="1"/>
    <col min="41" max="41" width="5.28515625" style="16" bestFit="1" customWidth="1"/>
    <col min="42" max="42" width="16.28515625" style="16" bestFit="1" customWidth="1"/>
    <col min="43" max="43" width="3.28515625" style="16" bestFit="1" customWidth="1"/>
    <col min="44" max="44" width="17.140625" style="16" bestFit="1" customWidth="1"/>
    <col min="45" max="45" width="17.42578125" style="16" bestFit="1" customWidth="1"/>
    <col min="46" max="16384" width="9" style="16"/>
  </cols>
  <sheetData>
    <row r="1" spans="2:45">
      <c r="B1" s="16" t="s">
        <v>317</v>
      </c>
    </row>
    <row r="3" spans="2:45" ht="15" customHeight="1">
      <c r="B3" s="20" t="s">
        <v>114</v>
      </c>
      <c r="C3" s="20" t="s">
        <v>115</v>
      </c>
      <c r="D3" s="20" t="s">
        <v>116</v>
      </c>
      <c r="E3" s="20" t="s">
        <v>117</v>
      </c>
      <c r="F3" s="20" t="s">
        <v>118</v>
      </c>
      <c r="G3" s="20" t="s">
        <v>119</v>
      </c>
      <c r="H3" s="20" t="s">
        <v>120</v>
      </c>
      <c r="I3" s="20" t="s">
        <v>121</v>
      </c>
      <c r="J3" s="20" t="s">
        <v>122</v>
      </c>
      <c r="K3" s="20" t="s">
        <v>123</v>
      </c>
      <c r="L3" s="20" t="s">
        <v>124</v>
      </c>
      <c r="M3" s="20" t="s">
        <v>125</v>
      </c>
      <c r="N3" s="20" t="s">
        <v>126</v>
      </c>
      <c r="O3" s="20" t="s">
        <v>127</v>
      </c>
      <c r="P3" s="20" t="s">
        <v>128</v>
      </c>
      <c r="Q3" s="20" t="s">
        <v>129</v>
      </c>
      <c r="R3" s="20" t="s">
        <v>130</v>
      </c>
      <c r="S3" s="20" t="s">
        <v>131</v>
      </c>
      <c r="T3" s="20" t="s">
        <v>131</v>
      </c>
      <c r="U3" s="20" t="s">
        <v>119</v>
      </c>
      <c r="V3" s="20" t="s">
        <v>132</v>
      </c>
      <c r="W3" s="20" t="s">
        <v>133</v>
      </c>
      <c r="X3" s="20" t="s">
        <v>134</v>
      </c>
      <c r="Y3" s="20" t="s">
        <v>135</v>
      </c>
      <c r="Z3" s="20" t="s">
        <v>136</v>
      </c>
      <c r="AA3" s="20" t="s">
        <v>137</v>
      </c>
      <c r="AB3" s="20" t="s">
        <v>138</v>
      </c>
      <c r="AC3" s="20" t="s">
        <v>132</v>
      </c>
      <c r="AD3" s="20" t="s">
        <v>139</v>
      </c>
      <c r="AE3" s="20" t="s">
        <v>140</v>
      </c>
      <c r="AF3" s="20" t="s">
        <v>139</v>
      </c>
      <c r="AG3" s="20" t="s">
        <v>123</v>
      </c>
      <c r="AH3" s="20" t="s">
        <v>141</v>
      </c>
      <c r="AI3" s="20" t="s">
        <v>142</v>
      </c>
      <c r="AJ3" s="20" t="s">
        <v>143</v>
      </c>
      <c r="AK3" s="20" t="s">
        <v>144</v>
      </c>
      <c r="AL3" s="20" t="s">
        <v>145</v>
      </c>
      <c r="AM3" s="20" t="s">
        <v>146</v>
      </c>
      <c r="AN3" s="20" t="s">
        <v>147</v>
      </c>
      <c r="AO3" s="20" t="s">
        <v>148</v>
      </c>
      <c r="AP3" s="20" t="s">
        <v>149</v>
      </c>
      <c r="AQ3" s="20" t="s">
        <v>150</v>
      </c>
      <c r="AR3" s="20" t="s">
        <v>151</v>
      </c>
      <c r="AS3" s="20" t="s">
        <v>152</v>
      </c>
    </row>
    <row r="4" spans="2:45" ht="15" customHeight="1">
      <c r="B4" s="31"/>
      <c r="C4" s="31"/>
      <c r="D4" s="31"/>
      <c r="E4" s="31"/>
      <c r="F4" s="31"/>
      <c r="G4" s="31"/>
      <c r="H4" s="31" t="s">
        <v>153</v>
      </c>
      <c r="I4" s="31"/>
      <c r="J4" s="31"/>
      <c r="K4" s="31" t="s">
        <v>154</v>
      </c>
      <c r="L4" s="31"/>
      <c r="M4" s="31" t="s">
        <v>155</v>
      </c>
      <c r="N4" s="31" t="s">
        <v>156</v>
      </c>
      <c r="O4" s="31"/>
      <c r="P4" s="31"/>
      <c r="Q4" s="31"/>
      <c r="R4" s="31"/>
      <c r="S4" s="31"/>
      <c r="T4" s="31" t="s">
        <v>157</v>
      </c>
      <c r="U4" s="31"/>
      <c r="V4" s="31"/>
      <c r="W4" s="31"/>
      <c r="X4" s="31"/>
      <c r="Y4" s="31" t="s">
        <v>158</v>
      </c>
      <c r="Z4" s="31"/>
      <c r="AA4" s="31"/>
      <c r="AB4" s="31"/>
      <c r="AC4" s="31"/>
      <c r="AD4" s="31" t="s">
        <v>140</v>
      </c>
      <c r="AE4" s="31" t="s">
        <v>154</v>
      </c>
      <c r="AF4" s="31" t="s">
        <v>123</v>
      </c>
      <c r="AG4" s="31" t="s">
        <v>154</v>
      </c>
      <c r="AH4" s="31" t="s">
        <v>159</v>
      </c>
      <c r="AI4" s="31" t="s">
        <v>160</v>
      </c>
      <c r="AJ4" s="31" t="s">
        <v>161</v>
      </c>
      <c r="AK4" s="31"/>
      <c r="AL4" s="31"/>
      <c r="AM4" s="31"/>
      <c r="AN4" s="31"/>
      <c r="AO4" s="31"/>
      <c r="AP4" s="31"/>
      <c r="AQ4" s="31"/>
      <c r="AR4" s="31"/>
      <c r="AS4" s="31"/>
    </row>
    <row r="5" spans="2:45" ht="15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 t="s">
        <v>160</v>
      </c>
      <c r="AE5" s="31" t="s">
        <v>160</v>
      </c>
      <c r="AF5" s="31" t="s">
        <v>160</v>
      </c>
      <c r="AG5" s="31" t="s">
        <v>160</v>
      </c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</row>
    <row r="7" spans="2:45" s="34" customFormat="1" ht="15" customHeight="1"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</row>
    <row r="8" spans="2:45" s="34" customFormat="1" ht="15" customHeight="1">
      <c r="B8" s="33" t="s">
        <v>301</v>
      </c>
      <c r="C8" s="35" t="s">
        <v>162</v>
      </c>
      <c r="D8" s="33" t="s">
        <v>303</v>
      </c>
      <c r="E8" s="36">
        <v>44545</v>
      </c>
      <c r="F8" s="36">
        <v>46568</v>
      </c>
      <c r="G8" s="37">
        <v>67</v>
      </c>
      <c r="H8" s="38">
        <v>4.08</v>
      </c>
      <c r="I8" s="37">
        <v>100000</v>
      </c>
      <c r="J8" s="39">
        <v>796403.76</v>
      </c>
      <c r="K8" s="37">
        <v>7.96</v>
      </c>
      <c r="L8" s="33" t="s">
        <v>163</v>
      </c>
      <c r="M8" s="37">
        <v>0</v>
      </c>
      <c r="N8" s="33" t="s">
        <v>164</v>
      </c>
      <c r="O8" s="33" t="s">
        <v>165</v>
      </c>
      <c r="P8" s="36">
        <v>44545</v>
      </c>
      <c r="Q8" s="36">
        <v>46568</v>
      </c>
      <c r="R8" s="36">
        <v>44545</v>
      </c>
      <c r="S8" s="35"/>
      <c r="T8" s="35"/>
      <c r="U8" s="38">
        <v>67</v>
      </c>
      <c r="V8" s="37">
        <v>100000</v>
      </c>
      <c r="W8" s="33" t="s">
        <v>164</v>
      </c>
      <c r="X8" s="33"/>
      <c r="Y8" s="33" t="s">
        <v>166</v>
      </c>
      <c r="Z8" s="36">
        <v>44743</v>
      </c>
      <c r="AA8" s="35" t="s">
        <v>162</v>
      </c>
      <c r="AB8" s="33" t="s">
        <v>167</v>
      </c>
      <c r="AC8" s="37">
        <v>100000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6">
        <v>1057624.44</v>
      </c>
      <c r="AK8" s="33">
        <v>10.57</v>
      </c>
      <c r="AL8" s="37">
        <v>44743</v>
      </c>
      <c r="AM8" s="33" t="s">
        <v>168</v>
      </c>
      <c r="AN8" s="40">
        <v>0</v>
      </c>
      <c r="AO8" s="33"/>
      <c r="AP8" s="33"/>
      <c r="AQ8" s="40" t="s">
        <v>169</v>
      </c>
      <c r="AR8" s="33"/>
      <c r="AS8" s="40"/>
    </row>
    <row r="9" spans="2:45" s="34" customFormat="1" ht="15" customHeight="1">
      <c r="B9" s="33"/>
      <c r="C9" s="33"/>
      <c r="D9" s="35"/>
      <c r="E9" s="35"/>
      <c r="F9" s="40"/>
      <c r="G9" s="40"/>
      <c r="H9" s="40"/>
      <c r="I9" s="40"/>
      <c r="J9" s="40"/>
      <c r="K9" s="33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33" t="s">
        <v>170</v>
      </c>
      <c r="Z9" s="36">
        <v>45839</v>
      </c>
      <c r="AA9" s="35" t="s">
        <v>162</v>
      </c>
      <c r="AB9" s="33" t="s">
        <v>167</v>
      </c>
      <c r="AC9" s="37">
        <v>100000</v>
      </c>
      <c r="AD9" s="37">
        <v>66366.98</v>
      </c>
      <c r="AE9" s="37">
        <v>0.66400000000000003</v>
      </c>
      <c r="AF9" s="37">
        <v>796403.76</v>
      </c>
      <c r="AG9" s="37">
        <v>7.9640000000000004</v>
      </c>
      <c r="AH9" s="37">
        <v>0</v>
      </c>
      <c r="AI9" s="37">
        <v>796403.76</v>
      </c>
      <c r="AJ9" s="36"/>
      <c r="AK9" s="33"/>
      <c r="AL9" s="37">
        <v>45839</v>
      </c>
      <c r="AM9" s="33" t="s">
        <v>168</v>
      </c>
      <c r="AN9" s="40">
        <v>0</v>
      </c>
      <c r="AO9" s="33"/>
      <c r="AP9" s="33"/>
      <c r="AQ9" s="40" t="s">
        <v>169</v>
      </c>
      <c r="AR9" s="33"/>
      <c r="AS9" s="40"/>
    </row>
    <row r="10" spans="2:45" s="34" customFormat="1" ht="15" customHeight="1">
      <c r="B10" s="33"/>
      <c r="C10" s="33"/>
      <c r="D10" s="35"/>
      <c r="E10" s="35"/>
      <c r="F10" s="40"/>
      <c r="G10" s="40"/>
      <c r="H10" s="40"/>
      <c r="I10" s="40"/>
      <c r="J10" s="40"/>
      <c r="K10" s="33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33" t="s">
        <v>170</v>
      </c>
      <c r="Z10" s="36">
        <v>46204</v>
      </c>
      <c r="AA10" s="35" t="s">
        <v>162</v>
      </c>
      <c r="AB10" s="33" t="s">
        <v>167</v>
      </c>
      <c r="AC10" s="37">
        <v>100000</v>
      </c>
      <c r="AD10" s="37">
        <v>69021.66</v>
      </c>
      <c r="AE10" s="37">
        <v>0.69</v>
      </c>
      <c r="AF10" s="37">
        <v>828259.92</v>
      </c>
      <c r="AG10" s="37">
        <v>8.2829999999999995</v>
      </c>
      <c r="AH10" s="37">
        <v>0</v>
      </c>
      <c r="AI10" s="37">
        <v>828259.92</v>
      </c>
      <c r="AJ10" s="36"/>
      <c r="AK10" s="33"/>
      <c r="AL10" s="37">
        <v>46204</v>
      </c>
      <c r="AM10" s="33" t="s">
        <v>168</v>
      </c>
      <c r="AN10" s="40">
        <v>0</v>
      </c>
      <c r="AO10" s="33"/>
      <c r="AP10" s="33"/>
      <c r="AQ10" s="40" t="s">
        <v>169</v>
      </c>
      <c r="AR10" s="33"/>
      <c r="AS10" s="40"/>
    </row>
    <row r="11" spans="2:45" s="34" customFormat="1" ht="15" customHeight="1">
      <c r="B11" s="33"/>
      <c r="C11" s="33"/>
      <c r="D11" s="35"/>
      <c r="E11" s="35"/>
      <c r="F11" s="40"/>
      <c r="G11" s="40"/>
      <c r="H11" s="40"/>
      <c r="I11" s="40"/>
      <c r="J11" s="40"/>
      <c r="K11" s="33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33"/>
      <c r="Z11" s="36"/>
      <c r="AA11" s="35"/>
      <c r="AB11" s="33"/>
      <c r="AC11" s="37"/>
      <c r="AD11" s="37"/>
      <c r="AE11" s="37"/>
      <c r="AF11" s="37"/>
      <c r="AG11" s="37"/>
      <c r="AH11" s="37"/>
      <c r="AI11" s="37"/>
      <c r="AJ11" s="36"/>
      <c r="AK11" s="33"/>
      <c r="AL11" s="37"/>
      <c r="AM11" s="33"/>
      <c r="AN11" s="40"/>
      <c r="AO11" s="33"/>
      <c r="AP11" s="33"/>
      <c r="AQ11" s="40"/>
      <c r="AR11" s="33"/>
      <c r="AS11" s="40"/>
    </row>
    <row r="12" spans="2:45" s="34" customFormat="1" ht="15" customHeight="1">
      <c r="B12" s="33"/>
      <c r="C12" s="33"/>
      <c r="D12" s="35"/>
      <c r="E12" s="35"/>
      <c r="F12" s="40"/>
      <c r="G12" s="40"/>
      <c r="H12" s="40"/>
      <c r="I12" s="40"/>
      <c r="J12" s="40"/>
      <c r="K12" s="33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33"/>
      <c r="Z12" s="36"/>
      <c r="AA12" s="35"/>
      <c r="AB12" s="33"/>
      <c r="AC12" s="37"/>
      <c r="AD12" s="37"/>
      <c r="AE12" s="37"/>
      <c r="AF12" s="37"/>
      <c r="AG12" s="37"/>
      <c r="AH12" s="37"/>
      <c r="AI12" s="37"/>
      <c r="AJ12" s="36"/>
      <c r="AK12" s="33"/>
      <c r="AL12" s="37"/>
      <c r="AM12" s="33"/>
      <c r="AN12" s="40"/>
      <c r="AO12" s="33"/>
      <c r="AP12" s="33"/>
      <c r="AQ12" s="40"/>
      <c r="AR12" s="33"/>
      <c r="AS12" s="40"/>
    </row>
    <row r="13" spans="2:45" s="34" customFormat="1" ht="15" customHeight="1">
      <c r="B13" s="33"/>
      <c r="C13" s="33"/>
      <c r="D13" s="35"/>
      <c r="E13" s="35"/>
      <c r="F13" s="40"/>
      <c r="G13" s="40"/>
      <c r="H13" s="40"/>
      <c r="I13" s="40"/>
      <c r="J13" s="40"/>
      <c r="K13" s="33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33"/>
      <c r="Z13" s="36"/>
      <c r="AA13" s="35"/>
      <c r="AB13" s="33"/>
      <c r="AC13" s="37"/>
      <c r="AD13" s="37"/>
      <c r="AE13" s="37"/>
      <c r="AF13" s="37"/>
      <c r="AG13" s="37"/>
      <c r="AH13" s="37"/>
      <c r="AI13" s="37"/>
      <c r="AJ13" s="36"/>
      <c r="AK13" s="33"/>
      <c r="AL13" s="37"/>
      <c r="AM13" s="33"/>
      <c r="AN13" s="40"/>
      <c r="AO13" s="33"/>
      <c r="AP13" s="33"/>
      <c r="AQ13" s="40"/>
      <c r="AR13" s="33"/>
      <c r="AS13" s="40"/>
    </row>
    <row r="14" spans="2:45" s="34" customFormat="1" ht="15" customHeight="1">
      <c r="B14" s="33"/>
      <c r="C14" s="35"/>
      <c r="D14" s="33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0760-DBD4-4581-BD99-A38D687B3CBE}">
  <dimension ref="B2:O32"/>
  <sheetViews>
    <sheetView showGridLines="0" workbookViewId="0">
      <selection activeCell="D8" sqref="D8"/>
    </sheetView>
  </sheetViews>
  <sheetFormatPr defaultRowHeight="15"/>
  <cols>
    <col min="2" max="2" width="30.28515625" bestFit="1" customWidth="1"/>
    <col min="3" max="3" width="12.42578125" bestFit="1" customWidth="1"/>
    <col min="5" max="5" width="8.85546875" bestFit="1" customWidth="1"/>
  </cols>
  <sheetData>
    <row r="2" spans="2:15">
      <c r="B2" s="86" t="s">
        <v>184</v>
      </c>
      <c r="C2" s="87"/>
    </row>
    <row r="3" spans="2:15" ht="5.0999999999999996" customHeight="1">
      <c r="B3" s="44"/>
      <c r="C3" s="70"/>
    </row>
    <row r="4" spans="2:15">
      <c r="B4" s="71" t="s">
        <v>177</v>
      </c>
      <c r="C4" s="72">
        <v>10409000</v>
      </c>
    </row>
    <row r="5" spans="2:15">
      <c r="B5" s="73" t="s">
        <v>176</v>
      </c>
      <c r="C5" s="74">
        <f>'Comm OSAR'!I62</f>
        <v>737825.9577142857</v>
      </c>
    </row>
    <row r="6" spans="2:15">
      <c r="B6" s="71" t="s">
        <v>178</v>
      </c>
      <c r="C6" s="75">
        <v>2.5499999999999998E-2</v>
      </c>
    </row>
    <row r="7" spans="2:15">
      <c r="B7" s="71" t="s">
        <v>179</v>
      </c>
      <c r="C7" s="75">
        <v>0.05</v>
      </c>
      <c r="E7" s="98"/>
    </row>
    <row r="8" spans="2:15">
      <c r="B8" s="73" t="s">
        <v>180</v>
      </c>
      <c r="C8" s="76">
        <v>3.6799999999999999E-2</v>
      </c>
    </row>
    <row r="9" spans="2:15">
      <c r="B9" s="71" t="s">
        <v>181</v>
      </c>
      <c r="C9" s="77">
        <f>SUM(C6,MIN(C7,C8))</f>
        <v>6.2299999999999994E-2</v>
      </c>
    </row>
    <row r="10" spans="2:15">
      <c r="B10" s="71"/>
      <c r="C10" s="78"/>
      <c r="O10" s="98"/>
    </row>
    <row r="11" spans="2:15">
      <c r="B11" s="79" t="s">
        <v>193</v>
      </c>
      <c r="C11" s="80">
        <f>((C6+C8)*C4*(365/360))</f>
        <v>657487.37638888881</v>
      </c>
    </row>
    <row r="12" spans="2:15">
      <c r="B12" s="79" t="s">
        <v>194</v>
      </c>
      <c r="C12" s="80">
        <f>(C9)*C4*(365/360)</f>
        <v>657487.37638888881</v>
      </c>
    </row>
    <row r="13" spans="2:15">
      <c r="B13" s="79"/>
      <c r="C13" s="80"/>
    </row>
    <row r="14" spans="2:15">
      <c r="B14" s="79" t="s">
        <v>182</v>
      </c>
      <c r="C14" s="81">
        <v>6.5000000000000002E-2</v>
      </c>
    </row>
    <row r="15" spans="2:15">
      <c r="B15" s="79" t="s">
        <v>183</v>
      </c>
      <c r="C15" s="82">
        <v>1</v>
      </c>
    </row>
    <row r="16" spans="2:15">
      <c r="B16" s="79"/>
      <c r="C16" s="82"/>
    </row>
    <row r="17" spans="2:4">
      <c r="B17" s="79" t="s">
        <v>195</v>
      </c>
      <c r="C17" s="83">
        <f>+C5/C12</f>
        <v>1.1221903023699704</v>
      </c>
    </row>
    <row r="18" spans="2:4">
      <c r="B18" s="84" t="s">
        <v>196</v>
      </c>
      <c r="C18" s="85">
        <f>+C5/C11</f>
        <v>1.1221903023699704</v>
      </c>
    </row>
    <row r="20" spans="2:4">
      <c r="B20" s="86" t="s">
        <v>185</v>
      </c>
      <c r="C20" s="87"/>
    </row>
    <row r="21" spans="2:4">
      <c r="B21" s="88" t="s">
        <v>186</v>
      </c>
      <c r="C21" s="124">
        <f>C17</f>
        <v>1.1221903023699704</v>
      </c>
    </row>
    <row r="22" spans="2:4">
      <c r="B22" s="88" t="s">
        <v>187</v>
      </c>
      <c r="C22" s="89">
        <v>1.05</v>
      </c>
    </row>
    <row r="23" spans="2:4">
      <c r="B23" s="88"/>
      <c r="C23" s="90"/>
    </row>
    <row r="24" spans="2:4">
      <c r="B24" s="88" t="s">
        <v>179</v>
      </c>
      <c r="C24" s="91"/>
    </row>
    <row r="25" spans="2:4">
      <c r="B25" s="92" t="s">
        <v>188</v>
      </c>
      <c r="C25" s="125">
        <f>C6</f>
        <v>2.5499999999999998E-2</v>
      </c>
    </row>
    <row r="26" spans="2:4">
      <c r="B26" s="93" t="s">
        <v>189</v>
      </c>
      <c r="C26" s="94">
        <f>SUM(C24:C25)</f>
        <v>2.5499999999999998E-2</v>
      </c>
    </row>
    <row r="27" spans="2:4">
      <c r="B27" s="88"/>
      <c r="C27" s="90"/>
    </row>
    <row r="28" spans="2:4">
      <c r="B28" s="88" t="s">
        <v>177</v>
      </c>
      <c r="C28" s="95"/>
    </row>
    <row r="29" spans="2:4">
      <c r="B29" s="88" t="s">
        <v>190</v>
      </c>
      <c r="C29" s="126">
        <f>(C28*C26)*(365/360)</f>
        <v>0</v>
      </c>
      <c r="D29" s="60"/>
    </row>
    <row r="30" spans="2:4">
      <c r="B30" s="88" t="s">
        <v>191</v>
      </c>
      <c r="C30" s="96"/>
    </row>
    <row r="31" spans="2:4">
      <c r="B31" s="60"/>
      <c r="C31" s="51"/>
    </row>
    <row r="32" spans="2:4">
      <c r="B32" s="97" t="s">
        <v>192</v>
      </c>
      <c r="C32" s="127" t="e">
        <f>C30/C29</f>
        <v>#DIV/0!</v>
      </c>
    </row>
  </sheetData>
  <conditionalFormatting sqref="B25:C25">
    <cfRule type="expression" dxfId="0" priority="1">
      <formula>#REF!=1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90AA-1949-46F9-B03B-AAFA81F66A75}">
  <dimension ref="B2:CW5"/>
  <sheetViews>
    <sheetView showGridLines="0" zoomScale="61" workbookViewId="0">
      <selection activeCell="T5" sqref="T5"/>
    </sheetView>
  </sheetViews>
  <sheetFormatPr defaultColWidth="9" defaultRowHeight="12.75"/>
  <cols>
    <col min="1" max="1" width="9" style="16"/>
    <col min="2" max="2" width="12.28515625" style="16" bestFit="1" customWidth="1"/>
    <col min="3" max="3" width="10.7109375" style="16" bestFit="1" customWidth="1"/>
    <col min="4" max="4" width="10" style="16" bestFit="1" customWidth="1"/>
    <col min="5" max="19" width="9" style="16"/>
    <col min="20" max="20" width="12.5703125" style="16" bestFit="1" customWidth="1"/>
    <col min="21" max="29" width="9" style="16"/>
    <col min="30" max="30" width="11.5703125" style="16" bestFit="1" customWidth="1"/>
    <col min="31" max="46" width="9" style="16"/>
    <col min="47" max="47" width="13.28515625" style="16" bestFit="1" customWidth="1"/>
    <col min="48" max="64" width="9" style="16"/>
    <col min="65" max="65" width="10.140625" style="16" bestFit="1" customWidth="1"/>
    <col min="66" max="82" width="9" style="16"/>
    <col min="83" max="83" width="10.42578125" style="16" bestFit="1" customWidth="1"/>
    <col min="84" max="100" width="9" style="16"/>
    <col min="101" max="101" width="10.85546875" style="16" bestFit="1" customWidth="1"/>
    <col min="102" max="16384" width="9" style="16"/>
  </cols>
  <sheetData>
    <row r="2" spans="2:101">
      <c r="B2" s="16" t="s">
        <v>294</v>
      </c>
      <c r="C2" s="304">
        <v>45717</v>
      </c>
      <c r="D2" s="304">
        <v>46082</v>
      </c>
    </row>
    <row r="3" spans="2:101">
      <c r="B3" s="16" t="s">
        <v>295</v>
      </c>
      <c r="C3" s="306">
        <f>(T5)/C4</f>
        <v>0.10309333999999999</v>
      </c>
      <c r="S3" s="313" t="s">
        <v>307</v>
      </c>
      <c r="T3" s="16" t="s">
        <v>308</v>
      </c>
    </row>
    <row r="4" spans="2:101" ht="15">
      <c r="B4" s="16" t="s">
        <v>296</v>
      </c>
      <c r="C4" s="305">
        <v>1000000</v>
      </c>
      <c r="S4" s="313" t="s">
        <v>305</v>
      </c>
      <c r="T4" s="314" t="s">
        <v>306</v>
      </c>
    </row>
    <row r="5" spans="2:101" s="42" customFormat="1" ht="15">
      <c r="B5" s="41"/>
      <c r="S5" s="307" t="s">
        <v>297</v>
      </c>
      <c r="T5" s="41">
        <f>13748.26+89345.08</f>
        <v>103093.34</v>
      </c>
      <c r="AD5" s="43"/>
      <c r="AU5" s="43"/>
      <c r="BM5" s="43"/>
      <c r="CE5" s="43"/>
      <c r="CW5" s="43"/>
    </row>
  </sheetData>
  <hyperlinks>
    <hyperlink ref="T4" r:id="rId1" xr:uid="{2C02D922-7C9F-4FCF-AA32-03D927D57275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DBA5-76E2-4549-8614-A07B1B77A60A}">
  <dimension ref="B2:Y99"/>
  <sheetViews>
    <sheetView showGridLines="0" zoomScale="51" workbookViewId="0">
      <selection activeCell="D2" sqref="D2"/>
    </sheetView>
  </sheetViews>
  <sheetFormatPr defaultRowHeight="15"/>
  <cols>
    <col min="2" max="2" width="19" bestFit="1" customWidth="1"/>
    <col min="3" max="3" width="13.140625" bestFit="1" customWidth="1"/>
    <col min="4" max="4" width="8.85546875" bestFit="1" customWidth="1"/>
    <col min="16" max="16" width="11" bestFit="1" customWidth="1"/>
    <col min="25" max="25" width="9" style="3"/>
  </cols>
  <sheetData>
    <row r="2" spans="2:25">
      <c r="B2" s="16" t="s">
        <v>313</v>
      </c>
      <c r="C2" s="304">
        <v>46113</v>
      </c>
      <c r="D2" s="304">
        <v>46478</v>
      </c>
    </row>
    <row r="3" spans="2:25">
      <c r="B3" s="16" t="s">
        <v>314</v>
      </c>
      <c r="C3" s="306">
        <f>Y41/C4</f>
        <v>9.1758199999999995E-3</v>
      </c>
      <c r="D3" s="16"/>
      <c r="Y3" s="100"/>
    </row>
    <row r="4" spans="2:25">
      <c r="B4" s="16" t="s">
        <v>296</v>
      </c>
      <c r="C4" s="305">
        <v>1000000</v>
      </c>
      <c r="D4" s="16"/>
    </row>
    <row r="15" spans="2:25">
      <c r="P15" s="308"/>
    </row>
    <row r="16" spans="2:25">
      <c r="P16" s="308"/>
    </row>
    <row r="17" spans="16:16">
      <c r="P17" s="118"/>
    </row>
    <row r="18" spans="16:16">
      <c r="P18" s="117"/>
    </row>
    <row r="41" spans="25:25">
      <c r="Y41" s="308">
        <v>9175.82</v>
      </c>
    </row>
    <row r="99" spans="25:25">
      <c r="Y99" s="308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Comm OSAR</vt:lpstr>
      <vt:lpstr>Variance Analysis</vt:lpstr>
      <vt:lpstr>Historicals&gt;&gt;&gt;</vt:lpstr>
      <vt:lpstr>Actuals (T12)</vt:lpstr>
      <vt:lpstr>Lender Calc</vt:lpstr>
      <vt:lpstr>Support&gt;&gt;&gt;</vt:lpstr>
      <vt:lpstr>T12</vt:lpstr>
      <vt:lpstr>RR</vt:lpstr>
      <vt:lpstr>Debt Service</vt:lpstr>
      <vt:lpstr>RE Taxes</vt:lpstr>
      <vt:lpstr>Insurance</vt:lpstr>
      <vt:lpstr>'Comm OSAR'!Print_Area</vt:lpstr>
      <vt:lpstr>'T12'!Print_Titles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Lim</dc:creator>
  <cp:lastModifiedBy>Ben Stamp</cp:lastModifiedBy>
  <dcterms:created xsi:type="dcterms:W3CDTF">2026-03-24T22:20:46Z</dcterms:created>
  <dcterms:modified xsi:type="dcterms:W3CDTF">2026-08-10T22:33:43Z</dcterms:modified>
</cp:coreProperties>
</file>