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bellwetheram-my.sharepoint.com/personal/bstamp_bellwetherco_com/Documents/Desktop/Projects/DebtYieldFiles/Input DY Tests/"/>
    </mc:Choice>
  </mc:AlternateContent>
  <xr:revisionPtr revIDLastSave="0" documentId="8_{2EF94DCA-6A32-44A9-9EA2-B75DC061F368}" xr6:coauthVersionLast="47" xr6:coauthVersionMax="47" xr10:uidLastSave="{00000000-0000-0000-0000-000000000000}"/>
  <bookViews>
    <workbookView xWindow="-120" yWindow="-120" windowWidth="38640" windowHeight="15720" xr2:uid="{017B56D8-D628-4D5F-8F07-E72C5AD6D711}"/>
  </bookViews>
  <sheets>
    <sheet name="MF OSAR" sheetId="38" r:id="rId1"/>
    <sheet name="Old OSAR" sheetId="11" state="hidden" r:id="rId2"/>
    <sheet name="DSCR Calc" sheetId="26" r:id="rId3"/>
    <sheet name="QoQ Variance" sheetId="22" r:id="rId4"/>
    <sheet name="Operating Statement" sheetId="18" r:id="rId5"/>
    <sheet name="Rent Roll" sheetId="17" r:id="rId6"/>
    <sheet name="Paydown Analysis" sheetId="28" state="hidden" r:id="rId7"/>
    <sheet name="Aged Receivables" sheetId="21" r:id="rId8"/>
    <sheet name="Market Rate" sheetId="27" state="hidden" r:id="rId9"/>
    <sheet name="Coding" sheetId="36" r:id="rId10"/>
    <sheet name="RE Tax" sheetId="20" r:id="rId11"/>
    <sheet name="Insurance" sheetId="23" r:id="rId12"/>
    <sheet name="NOI Projection" sheetId="16" state="hidden" r:id="rId13"/>
    <sheet name="UW Comparison" sheetId="24" r:id="rId14"/>
    <sheet name="UW Pro Forma CF" sheetId="34" r:id="rId15"/>
    <sheet name="Stab. Appraisal CF" sheetId="35" state="hidden" r:id="rId16"/>
    <sheet name="Lease Tradeout" sheetId="33" state="hidden" r:id="rId17"/>
    <sheet name="redIQ" sheetId="31" r:id="rId18"/>
    <sheet name="1" sheetId="37" state="hidden" r:id="rId19"/>
    <sheet name="2025 Budget" sheetId="25" state="hidden" r:id="rId20"/>
    <sheet name="Portfolio Review Notes" sheetId="29" state="hidden" r:id="rId21"/>
    <sheet name="Mod Discussions" sheetId="32" state="hidden" r:id="rId22"/>
    <sheet name="Argus Comm Rollover Schedule" sheetId="5" state="hidden" r:id="rId23"/>
  </sheets>
  <externalReferences>
    <externalReference r:id="rId24"/>
    <externalReference r:id="rId25"/>
    <externalReference r:id="rId26"/>
    <externalReference r:id="rId27"/>
  </externalReferences>
  <definedNames>
    <definedName name="Benchmark" localSheetId="18">'1'!#REF!</definedName>
    <definedName name="Benchmark" localSheetId="13">[1]UPB!$C$8</definedName>
    <definedName name="Benchmark" localSheetId="14">[1]UPB!$C$8</definedName>
    <definedName name="Benchmark">'Old OSAR'!#REF!</definedName>
    <definedName name="Capped_Benchmark" localSheetId="18">'1'!#REF!</definedName>
    <definedName name="Capped_Benchmark" localSheetId="7">'[2]Debt Service'!$C$10</definedName>
    <definedName name="Capped_Benchmark" localSheetId="13">[1]UPB!$C$10</definedName>
    <definedName name="Capped_Benchmark" localSheetId="14">[1]UPB!$C$10</definedName>
    <definedName name="Capped_Benchmark">'Old OSAR'!#REF!</definedName>
    <definedName name="CMNOTES" localSheetId="7">#REF!</definedName>
    <definedName name="CMNOTES" localSheetId="13">#REF!</definedName>
    <definedName name="CMNOTES" localSheetId="14">#REF!</definedName>
    <definedName name="CMNOTES">#REF!</definedName>
    <definedName name="CMNOTES." localSheetId="13">#REF!</definedName>
    <definedName name="CMNOTES." localSheetId="14">#REF!</definedName>
    <definedName name="CMNOTES.">#REF!</definedName>
    <definedName name="CMNOTES.." localSheetId="13">#REF!</definedName>
    <definedName name="CMNOTES.." localSheetId="14">#REF!</definedName>
    <definedName name="CMNOTES..">#REF!</definedName>
    <definedName name="_xlnm.Print_Area" localSheetId="18">'1'!$B$1:$L$73</definedName>
    <definedName name="_xlnm.Print_Area" localSheetId="2">'DSCR Calc'!$B$1:$H$23</definedName>
    <definedName name="_xlnm.Print_Area" localSheetId="0">'MF OSAR'!$A$1:$L$75</definedName>
    <definedName name="_xlnm.Print_Area" localSheetId="1">'Old OSAR'!$B$1:$L$73</definedName>
    <definedName name="_xlnm.Print_Area" localSheetId="3">'QoQ Variance'!$A$1:$R$12</definedName>
    <definedName name="_xlnm.Print_Titles" localSheetId="19">'2025 Budget'!$1:$5</definedName>
    <definedName name="_xlnm.Print_Titles" localSheetId="7">'Aged Receivables'!$1:$6</definedName>
    <definedName name="_xlnm.Print_Titles" localSheetId="4">'Operating Statement'!$1:$10</definedName>
    <definedName name="_xlnm.Print_Titles" localSheetId="5">'Rent Roll'!$1:$6</definedName>
    <definedName name="RESULTS" localSheetId="7">#REF!</definedName>
    <definedName name="RESULTS" localSheetId="13">#REF!</definedName>
    <definedName name="RESULTS" localSheetId="14">#REF!</definedName>
    <definedName name="RESULTS">#REF!</definedName>
    <definedName name="wrn.surveillance." localSheetId="18" hidden="1">{#N/A,#N/A,FALSE,"DELQ";#N/A,#N/A,FALSE,"REO";#N/A,#N/A,FALSE,"WATCHDSC";#N/A,#N/A,FALSE,"2LOSSMOD";#N/A,#N/A,FALSE,"2LOSS";#N/A,#N/A,FALSE,"DSC";#N/A,#N/A,FALSE,"OPERAT";#N/A,#N/A,FALSE,"ADJUST";#N/A,#N/A,FALSE,"PAIDOFF";#N/A,#N/A,FALSE,"TENANT";#N/A,#N/A,FALSE,"LEASE EXPIRE"}</definedName>
    <definedName name="wrn.surveillance." localSheetId="7" hidden="1">{#N/A,#N/A,FALSE,"DELQ";#N/A,#N/A,FALSE,"REO";#N/A,#N/A,FALSE,"WATCHDSC";#N/A,#N/A,FALSE,"2LOSSMOD";#N/A,#N/A,FALSE,"2LOSS";#N/A,#N/A,FALSE,"DSC";#N/A,#N/A,FALSE,"OPERAT";#N/A,#N/A,FALSE,"ADJUST";#N/A,#N/A,FALSE,"PAIDOFF";#N/A,#N/A,FALSE,"TENANT";#N/A,#N/A,FALSE,"LEASE EXPIRE"}</definedName>
    <definedName name="wrn.surveillance." localSheetId="0" hidden="1">{#N/A,#N/A,FALSE,"DELQ";#N/A,#N/A,FALSE,"REO";#N/A,#N/A,FALSE,"WATCHDSC";#N/A,#N/A,FALSE,"2LOSSMOD";#N/A,#N/A,FALSE,"2LOSS";#N/A,#N/A,FALSE,"DSC";#N/A,#N/A,FALSE,"OPERAT";#N/A,#N/A,FALSE,"ADJUST";#N/A,#N/A,FALSE,"PAIDOFF";#N/A,#N/A,FALSE,"TENANT";#N/A,#N/A,FALSE,"LEASE EXPIRE"}</definedName>
    <definedName name="wrn.surveillance." localSheetId="1" hidden="1">{#N/A,#N/A,FALSE,"DELQ";#N/A,#N/A,FALSE,"REO";#N/A,#N/A,FALSE,"WATCHDSC";#N/A,#N/A,FALSE,"2LOSSMOD";#N/A,#N/A,FALSE,"2LOSS";#N/A,#N/A,FALSE,"DSC";#N/A,#N/A,FALSE,"OPERAT";#N/A,#N/A,FALSE,"ADJUST";#N/A,#N/A,FALSE,"PAIDOFF";#N/A,#N/A,FALSE,"TENANT";#N/A,#N/A,FALSE,"LEASE EXPIRE"}</definedName>
    <definedName name="wrn.surveillance." localSheetId="13" hidden="1">{#N/A,#N/A,FALSE,"DELQ";#N/A,#N/A,FALSE,"REO";#N/A,#N/A,FALSE,"WATCHDSC";#N/A,#N/A,FALSE,"2LOSSMOD";#N/A,#N/A,FALSE,"2LOSS";#N/A,#N/A,FALSE,"DSC";#N/A,#N/A,FALSE,"OPERAT";#N/A,#N/A,FALSE,"ADJUST";#N/A,#N/A,FALSE,"PAIDOFF";#N/A,#N/A,FALSE,"TENANT";#N/A,#N/A,FALSE,"LEASE EXPIRE"}</definedName>
    <definedName name="wrn.surveillance." localSheetId="14"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surveillance.." localSheetId="13" hidden="1">{#N/A,#N/A,FALSE,"DELQ";#N/A,#N/A,FALSE,"REO";#N/A,#N/A,FALSE,"WATCHDSC";#N/A,#N/A,FALSE,"2LOSSMOD";#N/A,#N/A,FALSE,"2LOSS";#N/A,#N/A,FALSE,"DSC";#N/A,#N/A,FALSE,"OPERAT";#N/A,#N/A,FALSE,"ADJUST";#N/A,#N/A,FALSE,"PAIDOFF";#N/A,#N/A,FALSE,"TENANT";#N/A,#N/A,FALSE,"LEASE EXPIRE"}</definedName>
    <definedName name="wrn.surveillance.." localSheetId="14"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surveillance..." localSheetId="13" hidden="1">{#N/A,#N/A,FALSE,"DELQ";#N/A,#N/A,FALSE,"REO";#N/A,#N/A,FALSE,"WATCHDSC";#N/A,#N/A,FALSE,"2LOSSMOD";#N/A,#N/A,FALSE,"2LOSS";#N/A,#N/A,FALSE,"DSC";#N/A,#N/A,FALSE,"OPERAT";#N/A,#N/A,FALSE,"ADJUST";#N/A,#N/A,FALSE,"PAIDOFF";#N/A,#N/A,FALSE,"TENANT";#N/A,#N/A,FALSE,"LEASE EXPIRE"}</definedName>
    <definedName name="wrn.surveillance..." localSheetId="14"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 name="wrn.surveillance....." localSheetId="13" hidden="1">{#N/A,#N/A,FALSE,"DELQ";#N/A,#N/A,FALSE,"REO";#N/A,#N/A,FALSE,"WATCHDSC";#N/A,#N/A,FALSE,"2LOSSMOD";#N/A,#N/A,FALSE,"2LOSS";#N/A,#N/A,FALSE,"DSC";#N/A,#N/A,FALSE,"OPERAT";#N/A,#N/A,FALSE,"ADJUST";#N/A,#N/A,FALSE,"PAIDOFF";#N/A,#N/A,FALSE,"TENANT";#N/A,#N/A,FALSE,"LEASE EXPIRE"}</definedName>
    <definedName name="wrn.surveillance....." localSheetId="14" hidden="1">{#N/A,#N/A,FALSE,"DELQ";#N/A,#N/A,FALSE,"REO";#N/A,#N/A,FALSE,"WATCHDSC";#N/A,#N/A,FALSE,"2LOSSMOD";#N/A,#N/A,FALSE,"2LOSS";#N/A,#N/A,FALSE,"DSC";#N/A,#N/A,FALSE,"OPERAT";#N/A,#N/A,FALSE,"ADJUST";#N/A,#N/A,FALSE,"PAIDOFF";#N/A,#N/A,FALSE,"TENANT";#N/A,#N/A,FALSE,"LEASE EXPIRE"}</definedName>
    <definedName name="wrn.surveillance....." hidden="1">{#N/A,#N/A,FALSE,"DELQ";#N/A,#N/A,FALSE,"REO";#N/A,#N/A,FALSE,"WATCHDSC";#N/A,#N/A,FALSE,"2LOSSMOD";#N/A,#N/A,FALSE,"2LOSS";#N/A,#N/A,FALSE,"DSC";#N/A,#N/A,FALSE,"OPERAT";#N/A,#N/A,FALSE,"ADJUST";#N/A,#N/A,FALSE,"PAIDOFF";#N/A,#N/A,FALSE,"TENANT";#N/A,#N/A,FALSE,"LEASE EXPIRE"}</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38" l="1"/>
  <c r="H5" i="26"/>
  <c r="L59" i="38"/>
  <c r="H53" i="38"/>
  <c r="H6" i="26"/>
  <c r="H3" i="26"/>
  <c r="L36" i="38"/>
  <c r="V57" i="18"/>
  <c r="W17" i="18"/>
  <c r="G195" i="36"/>
  <c r="G185" i="36"/>
  <c r="G184" i="36"/>
  <c r="G179" i="36"/>
  <c r="G178" i="36"/>
  <c r="G177" i="36"/>
  <c r="G176" i="36"/>
  <c r="G171" i="36"/>
  <c r="G170" i="36"/>
  <c r="G169" i="36"/>
  <c r="G168" i="36"/>
  <c r="G167" i="36"/>
  <c r="G166" i="36"/>
  <c r="G161" i="36"/>
  <c r="G160" i="36"/>
  <c r="G159" i="36"/>
  <c r="G158" i="36"/>
  <c r="G157" i="36"/>
  <c r="G156" i="36"/>
  <c r="G155" i="36"/>
  <c r="G154" i="36"/>
  <c r="G153" i="36"/>
  <c r="G152" i="36"/>
  <c r="G151" i="36"/>
  <c r="G146" i="36"/>
  <c r="G145" i="36"/>
  <c r="G144" i="36"/>
  <c r="G143" i="36"/>
  <c r="G142" i="36"/>
  <c r="G141" i="36"/>
  <c r="G140" i="36"/>
  <c r="G135" i="36"/>
  <c r="G134" i="36"/>
  <c r="G133" i="36"/>
  <c r="G132" i="36"/>
  <c r="G131" i="36"/>
  <c r="G130" i="36"/>
  <c r="G129" i="36"/>
  <c r="G128" i="36"/>
  <c r="G127" i="36"/>
  <c r="G126" i="36"/>
  <c r="G125" i="36"/>
  <c r="G124" i="36"/>
  <c r="G123" i="36"/>
  <c r="G122" i="36"/>
  <c r="G121" i="36"/>
  <c r="G120" i="36"/>
  <c r="G119" i="36"/>
  <c r="G118" i="36"/>
  <c r="G113" i="36"/>
  <c r="G112" i="36"/>
  <c r="G111" i="36"/>
  <c r="G110" i="36"/>
  <c r="G109" i="36"/>
  <c r="G108" i="36"/>
  <c r="G107" i="36"/>
  <c r="G106" i="36"/>
  <c r="G105" i="36"/>
  <c r="I16" i="38" l="1"/>
  <c r="S33" i="18"/>
  <c r="S56" i="18"/>
  <c r="S39" i="18"/>
  <c r="S68" i="18"/>
  <c r="S67" i="18"/>
  <c r="S84" i="18"/>
  <c r="S83" i="18"/>
  <c r="S82" i="18"/>
  <c r="S106" i="18"/>
  <c r="S105" i="18"/>
  <c r="S104" i="18"/>
  <c r="S127" i="18"/>
  <c r="S126" i="18"/>
  <c r="S125" i="18"/>
  <c r="S124" i="18"/>
  <c r="S123" i="18"/>
  <c r="S122" i="18"/>
  <c r="S121" i="18"/>
  <c r="S120" i="18"/>
  <c r="S119" i="18"/>
  <c r="S118" i="18"/>
  <c r="S117" i="18"/>
  <c r="S116" i="18"/>
  <c r="S115" i="18"/>
  <c r="S114" i="18"/>
  <c r="S113" i="18"/>
  <c r="S112" i="18"/>
  <c r="S111" i="18"/>
  <c r="S148" i="18"/>
  <c r="S147" i="18"/>
  <c r="S146" i="18"/>
  <c r="S145" i="18"/>
  <c r="S144" i="18"/>
  <c r="S143" i="18"/>
  <c r="S142" i="18"/>
  <c r="S141" i="18"/>
  <c r="S140" i="18"/>
  <c r="S139" i="18"/>
  <c r="S138" i="18"/>
  <c r="S137" i="18"/>
  <c r="S136" i="18"/>
  <c r="S135" i="18"/>
  <c r="S134" i="18"/>
  <c r="S133" i="18"/>
  <c r="S132" i="18"/>
  <c r="S159" i="18"/>
  <c r="S158" i="18"/>
  <c r="S157" i="18"/>
  <c r="S156" i="18"/>
  <c r="S168" i="18"/>
  <c r="S169" i="18"/>
  <c r="S170" i="18"/>
  <c r="S171" i="18"/>
  <c r="S172" i="18"/>
  <c r="S181" i="18"/>
  <c r="S180" i="18"/>
  <c r="S182" i="18"/>
  <c r="S190" i="18"/>
  <c r="S191" i="18"/>
  <c r="S192" i="18"/>
  <c r="S193" i="18"/>
  <c r="S198" i="18"/>
  <c r="S199" i="18"/>
  <c r="S209" i="18"/>
  <c r="Q261" i="18"/>
  <c r="Q259" i="18"/>
  <c r="Q257" i="18"/>
  <c r="Q256" i="18"/>
  <c r="Q253" i="18"/>
  <c r="Q251" i="18"/>
  <c r="Q249" i="18"/>
  <c r="Q247" i="18"/>
  <c r="Q246" i="18"/>
  <c r="Q245" i="18"/>
  <c r="Q244" i="18"/>
  <c r="Q243" i="18"/>
  <c r="Q242" i="18"/>
  <c r="Q241" i="18"/>
  <c r="Q240" i="18"/>
  <c r="Q239" i="18"/>
  <c r="Q238" i="18"/>
  <c r="Q237" i="18"/>
  <c r="Q236" i="18"/>
  <c r="Q235" i="18"/>
  <c r="Q234" i="18"/>
  <c r="Q233" i="18"/>
  <c r="Q232" i="18"/>
  <c r="Q231" i="18"/>
  <c r="Q230" i="18"/>
  <c r="Q227" i="18"/>
  <c r="Q225" i="18"/>
  <c r="Q224" i="18"/>
  <c r="Q223" i="18"/>
  <c r="Q222" i="18"/>
  <c r="Q221" i="18"/>
  <c r="Q220" i="18"/>
  <c r="Q216" i="18"/>
  <c r="Q214" i="18"/>
  <c r="Q212" i="18"/>
  <c r="Q211" i="18"/>
  <c r="Q210" i="18"/>
  <c r="Q209" i="18"/>
  <c r="Q205" i="18"/>
  <c r="Q203" i="18"/>
  <c r="Q201" i="18"/>
  <c r="Q199" i="18"/>
  <c r="Q198" i="18"/>
  <c r="Q195" i="18"/>
  <c r="Q193" i="18"/>
  <c r="Q192" i="18"/>
  <c r="Q191" i="18"/>
  <c r="Q190" i="18"/>
  <c r="Q187" i="18"/>
  <c r="Q185" i="18"/>
  <c r="Q184" i="18"/>
  <c r="Q183" i="18"/>
  <c r="Q182" i="18"/>
  <c r="Q181" i="18"/>
  <c r="Q180" i="18"/>
  <c r="Q177" i="18"/>
  <c r="Q175" i="18"/>
  <c r="Q174" i="18"/>
  <c r="Q173" i="18"/>
  <c r="Q172" i="18"/>
  <c r="Q171" i="18"/>
  <c r="Q170" i="18"/>
  <c r="Q169" i="18"/>
  <c r="Q168" i="18"/>
  <c r="Q167" i="18"/>
  <c r="Q166" i="18"/>
  <c r="Q165" i="18"/>
  <c r="Q162" i="18"/>
  <c r="Q160" i="18"/>
  <c r="Q159" i="18"/>
  <c r="Q158" i="18"/>
  <c r="Q157" i="18"/>
  <c r="Q156" i="18"/>
  <c r="Q155" i="18"/>
  <c r="Q154" i="18"/>
  <c r="Q151" i="18"/>
  <c r="Q149" i="18"/>
  <c r="Q148" i="18"/>
  <c r="Q147" i="18"/>
  <c r="Q146" i="18"/>
  <c r="Q145" i="18"/>
  <c r="Q144" i="18"/>
  <c r="Q143" i="18"/>
  <c r="Q142" i="18"/>
  <c r="Q141" i="18"/>
  <c r="Q140" i="18"/>
  <c r="Q139" i="18"/>
  <c r="Q138" i="18"/>
  <c r="Q137" i="18"/>
  <c r="Q136" i="18"/>
  <c r="Q135" i="18"/>
  <c r="Q134" i="18"/>
  <c r="Q133" i="18"/>
  <c r="Q132" i="18"/>
  <c r="Q129" i="18"/>
  <c r="Q127" i="18"/>
  <c r="Q126" i="18"/>
  <c r="Q125" i="18"/>
  <c r="Q124" i="18"/>
  <c r="Q123" i="18"/>
  <c r="Q122" i="18"/>
  <c r="Q121" i="18"/>
  <c r="Q120" i="18"/>
  <c r="Q119" i="18"/>
  <c r="Q118" i="18"/>
  <c r="Q117" i="18"/>
  <c r="Q116" i="18"/>
  <c r="Q115" i="18"/>
  <c r="Q114" i="18"/>
  <c r="Q113" i="18"/>
  <c r="Q112" i="18"/>
  <c r="Q111" i="18"/>
  <c r="Q108" i="18"/>
  <c r="Q106" i="18"/>
  <c r="Q105" i="18"/>
  <c r="Q104" i="18"/>
  <c r="Q103" i="18"/>
  <c r="Q102" i="18"/>
  <c r="Q101" i="18"/>
  <c r="Q100" i="18"/>
  <c r="Q99" i="18"/>
  <c r="Q98" i="18"/>
  <c r="Q97" i="18"/>
  <c r="Q96" i="18"/>
  <c r="Q95" i="18"/>
  <c r="Q94" i="18"/>
  <c r="Q93" i="18"/>
  <c r="Q92" i="18"/>
  <c r="Q91" i="18"/>
  <c r="Q90" i="18"/>
  <c r="Q89" i="18"/>
  <c r="Q86" i="18"/>
  <c r="Q84" i="18"/>
  <c r="Q83" i="18"/>
  <c r="Q82" i="18"/>
  <c r="Q81" i="18"/>
  <c r="Q80" i="18"/>
  <c r="Q79" i="18"/>
  <c r="Q78" i="18"/>
  <c r="Q77" i="18"/>
  <c r="Q72" i="18"/>
  <c r="Q70" i="18"/>
  <c r="Q68" i="18"/>
  <c r="Q67" i="18"/>
  <c r="Q66" i="18"/>
  <c r="Q65" i="18"/>
  <c r="Q64" i="18"/>
  <c r="Q63" i="18"/>
  <c r="Q62" i="18"/>
  <c r="Q61" i="18"/>
  <c r="Q60" i="18"/>
  <c r="Q59" i="18"/>
  <c r="Q58" i="18"/>
  <c r="Q57" i="18"/>
  <c r="Q56" i="18"/>
  <c r="Q55" i="18"/>
  <c r="Q54" i="18"/>
  <c r="Q53" i="18"/>
  <c r="Q52" i="18"/>
  <c r="Q51" i="18"/>
  <c r="Q50" i="18"/>
  <c r="Q49" i="18"/>
  <c r="Q48" i="18"/>
  <c r="Q47" i="18"/>
  <c r="Q46" i="18"/>
  <c r="Q43" i="18"/>
  <c r="Q41" i="18"/>
  <c r="Q39" i="18"/>
  <c r="Q37" i="18"/>
  <c r="Q35" i="18"/>
  <c r="Q33" i="18"/>
  <c r="Q32" i="18"/>
  <c r="Q31" i="18"/>
  <c r="Q30" i="18"/>
  <c r="Q29" i="18"/>
  <c r="Q28" i="18"/>
  <c r="Q27" i="18"/>
  <c r="Q24" i="18"/>
  <c r="Q22" i="18"/>
  <c r="Q21" i="18"/>
  <c r="AA370" i="17"/>
  <c r="D423" i="17"/>
  <c r="O31" i="38" l="1"/>
  <c r="N26" i="38"/>
  <c r="O26" i="38" s="1"/>
  <c r="H55" i="38"/>
  <c r="H26" i="38"/>
  <c r="L46" i="38"/>
  <c r="L45" i="38"/>
  <c r="L44" i="38"/>
  <c r="L43" i="38"/>
  <c r="L42" i="38"/>
  <c r="L41" i="38"/>
  <c r="L39" i="38"/>
  <c r="L38" i="38"/>
  <c r="L27" i="38"/>
  <c r="H15" i="38"/>
  <c r="H17" i="38" s="1"/>
  <c r="I37" i="38" l="1"/>
  <c r="N37" i="38" s="1"/>
  <c r="O37" i="38" s="1"/>
  <c r="L37" i="38"/>
  <c r="F3" i="23"/>
  <c r="C4" i="20"/>
  <c r="I53" i="38"/>
  <c r="I55" i="38" s="1"/>
  <c r="L30" i="38"/>
  <c r="L29" i="38"/>
  <c r="L28" i="38"/>
  <c r="L24" i="38"/>
  <c r="G104" i="36"/>
  <c r="S165" i="18"/>
  <c r="S184" i="18"/>
  <c r="G103" i="36"/>
  <c r="S173" i="18"/>
  <c r="G102" i="36"/>
  <c r="G101" i="36"/>
  <c r="G100" i="36"/>
  <c r="G99" i="36"/>
  <c r="G98" i="36"/>
  <c r="G97" i="36"/>
  <c r="G92" i="36"/>
  <c r="G91" i="36"/>
  <c r="G90" i="36"/>
  <c r="G89" i="36"/>
  <c r="G88" i="36"/>
  <c r="G87" i="36"/>
  <c r="G86" i="36"/>
  <c r="G85" i="36"/>
  <c r="G84" i="36"/>
  <c r="G83" i="36"/>
  <c r="G82" i="36"/>
  <c r="G81" i="36"/>
  <c r="G80" i="36"/>
  <c r="G79" i="36"/>
  <c r="G78" i="36"/>
  <c r="G77" i="36"/>
  <c r="G76" i="36"/>
  <c r="G75" i="36"/>
  <c r="G73" i="36"/>
  <c r="G71" i="36"/>
  <c r="G70" i="36"/>
  <c r="G69" i="36"/>
  <c r="G68" i="36"/>
  <c r="G67" i="36"/>
  <c r="G66" i="36"/>
  <c r="G65" i="36"/>
  <c r="G64" i="36"/>
  <c r="G63" i="36"/>
  <c r="G54" i="36"/>
  <c r="G53" i="36"/>
  <c r="S185" i="18"/>
  <c r="S183" i="18"/>
  <c r="S175" i="18"/>
  <c r="S174" i="18"/>
  <c r="S167" i="18"/>
  <c r="S166" i="18"/>
  <c r="S160" i="18"/>
  <c r="S155" i="18"/>
  <c r="S154" i="18"/>
  <c r="S149" i="18"/>
  <c r="S103" i="18"/>
  <c r="S102" i="18"/>
  <c r="S101" i="18"/>
  <c r="S100" i="18"/>
  <c r="S99" i="18"/>
  <c r="S98" i="18"/>
  <c r="S97" i="18"/>
  <c r="S96" i="18"/>
  <c r="S95" i="18"/>
  <c r="S94" i="18"/>
  <c r="S93" i="18"/>
  <c r="S92" i="18"/>
  <c r="S91" i="18"/>
  <c r="S90" i="18"/>
  <c r="S89" i="18"/>
  <c r="S81" i="18"/>
  <c r="S80" i="18"/>
  <c r="S79" i="18"/>
  <c r="S78" i="18"/>
  <c r="S77" i="18"/>
  <c r="S66" i="18"/>
  <c r="S65" i="18"/>
  <c r="S64" i="18"/>
  <c r="S63" i="18"/>
  <c r="S62" i="18"/>
  <c r="S61" i="18"/>
  <c r="S60" i="18"/>
  <c r="S59" i="18"/>
  <c r="S58" i="18"/>
  <c r="S55" i="18"/>
  <c r="S54" i="18"/>
  <c r="S53" i="18"/>
  <c r="S52" i="18"/>
  <c r="S51" i="18"/>
  <c r="S50" i="18"/>
  <c r="S49" i="18"/>
  <c r="S48" i="18"/>
  <c r="S47" i="18"/>
  <c r="S46" i="18"/>
  <c r="S32" i="18"/>
  <c r="S31" i="18"/>
  <c r="S30" i="18"/>
  <c r="S29" i="18"/>
  <c r="S28" i="18"/>
  <c r="S27" i="18"/>
  <c r="S22" i="18"/>
  <c r="S21" i="18"/>
  <c r="I23" i="38"/>
  <c r="K22" i="38"/>
  <c r="J22" i="38"/>
  <c r="E30" i="38"/>
  <c r="E29" i="38"/>
  <c r="I17" i="38"/>
  <c r="C3" i="38"/>
  <c r="H16" i="38" l="1"/>
  <c r="H4" i="22"/>
  <c r="L25" i="38"/>
  <c r="O16" i="38"/>
  <c r="I25" i="38" s="1"/>
  <c r="N25" i="38" l="1"/>
  <c r="O25" i="38" s="1"/>
  <c r="J63" i="38"/>
  <c r="K55" i="38"/>
  <c r="J55" i="38"/>
  <c r="K53" i="38"/>
  <c r="J53" i="38"/>
  <c r="K49" i="38"/>
  <c r="J49" i="38"/>
  <c r="K46" i="38"/>
  <c r="J46" i="38"/>
  <c r="K45" i="38"/>
  <c r="J43" i="38"/>
  <c r="J35" i="38"/>
  <c r="K28" i="38"/>
  <c r="J28" i="38"/>
  <c r="K27" i="38"/>
  <c r="J27" i="38"/>
  <c r="AE16" i="24"/>
  <c r="AP16" i="24"/>
  <c r="AO16" i="24"/>
  <c r="AN16" i="24"/>
  <c r="AM16" i="24"/>
  <c r="AL16" i="24"/>
  <c r="AK16" i="24"/>
  <c r="AJ16" i="24"/>
  <c r="AI16" i="24"/>
  <c r="AH16" i="24"/>
  <c r="AG16" i="24"/>
  <c r="AF16" i="24"/>
  <c r="C12" i="34" l="1"/>
  <c r="K23" i="11" l="1"/>
  <c r="L23" i="11"/>
  <c r="I69" i="11"/>
  <c r="H69" i="11"/>
  <c r="G69" i="11"/>
  <c r="F69" i="11"/>
  <c r="E69" i="11"/>
  <c r="AA371" i="17"/>
  <c r="J15" i="11"/>
  <c r="N24" i="38" l="1"/>
  <c r="O24" i="38" s="1"/>
  <c r="J53" i="37"/>
  <c r="J55" i="37" s="1"/>
  <c r="J59" i="37"/>
  <c r="O46" i="37"/>
  <c r="O45" i="37"/>
  <c r="O31" i="37"/>
  <c r="O26" i="37"/>
  <c r="O25" i="37"/>
  <c r="N46" i="37"/>
  <c r="N45" i="37"/>
  <c r="N31" i="37"/>
  <c r="N26" i="37"/>
  <c r="N25" i="37"/>
  <c r="H67" i="37"/>
  <c r="G67" i="37"/>
  <c r="F67" i="37"/>
  <c r="E67" i="37"/>
  <c r="H65" i="37"/>
  <c r="G65" i="37"/>
  <c r="F65" i="37"/>
  <c r="E65" i="37"/>
  <c r="H63" i="37"/>
  <c r="G63" i="37"/>
  <c r="F63" i="37"/>
  <c r="E63" i="37"/>
  <c r="H61" i="37"/>
  <c r="G61" i="37"/>
  <c r="F61" i="37"/>
  <c r="E61" i="37"/>
  <c r="L59" i="37"/>
  <c r="H59" i="37"/>
  <c r="G59" i="37"/>
  <c r="F59" i="37"/>
  <c r="E59" i="37"/>
  <c r="H57" i="37"/>
  <c r="G57" i="37"/>
  <c r="F57" i="37"/>
  <c r="E57" i="37"/>
  <c r="K55" i="37"/>
  <c r="H55" i="37"/>
  <c r="G55" i="37"/>
  <c r="F55" i="37"/>
  <c r="E55" i="37"/>
  <c r="K53" i="37"/>
  <c r="H53" i="37"/>
  <c r="G53" i="37"/>
  <c r="F53" i="37"/>
  <c r="E53" i="37"/>
  <c r="H51" i="37"/>
  <c r="G51" i="37"/>
  <c r="F51" i="37"/>
  <c r="E51" i="37"/>
  <c r="H49" i="37"/>
  <c r="G49" i="37"/>
  <c r="F49" i="37"/>
  <c r="E49" i="37"/>
  <c r="H47" i="37"/>
  <c r="G47" i="37"/>
  <c r="F47" i="37"/>
  <c r="E47" i="37"/>
  <c r="E45" i="37"/>
  <c r="H44" i="37"/>
  <c r="G44" i="37"/>
  <c r="F44" i="37"/>
  <c r="E44" i="37"/>
  <c r="H43" i="37"/>
  <c r="G43" i="37"/>
  <c r="F43" i="37"/>
  <c r="E43" i="37"/>
  <c r="H42" i="37"/>
  <c r="G42" i="37"/>
  <c r="F42" i="37"/>
  <c r="E42" i="37"/>
  <c r="H41" i="37"/>
  <c r="G41" i="37"/>
  <c r="F41" i="37"/>
  <c r="E41" i="37"/>
  <c r="H40" i="37"/>
  <c r="G40" i="37"/>
  <c r="F40" i="37"/>
  <c r="E40" i="37"/>
  <c r="H39" i="37"/>
  <c r="G39" i="37"/>
  <c r="F39" i="37"/>
  <c r="E39" i="37"/>
  <c r="H38" i="37"/>
  <c r="G38" i="37"/>
  <c r="F38" i="37"/>
  <c r="E38" i="37"/>
  <c r="H37" i="37"/>
  <c r="G37" i="37"/>
  <c r="F37" i="37"/>
  <c r="E37" i="37"/>
  <c r="H36" i="37"/>
  <c r="G36" i="37"/>
  <c r="F36" i="37"/>
  <c r="E36" i="37"/>
  <c r="H32" i="37"/>
  <c r="G32" i="37"/>
  <c r="F32" i="37"/>
  <c r="E32" i="37"/>
  <c r="H30" i="37"/>
  <c r="G30" i="37"/>
  <c r="F30" i="37"/>
  <c r="E30" i="37"/>
  <c r="H29" i="37"/>
  <c r="G29" i="37"/>
  <c r="F29" i="37"/>
  <c r="E29" i="37"/>
  <c r="H27" i="37"/>
  <c r="G27" i="37"/>
  <c r="F27" i="37"/>
  <c r="E27" i="37"/>
  <c r="E26" i="37"/>
  <c r="H24" i="37"/>
  <c r="G24" i="37"/>
  <c r="F24" i="37"/>
  <c r="E24" i="37"/>
  <c r="L23" i="37"/>
  <c r="H23" i="37"/>
  <c r="G23" i="37"/>
  <c r="F23" i="37"/>
  <c r="E23" i="37"/>
  <c r="K22" i="37"/>
  <c r="J22" i="37"/>
  <c r="H22" i="37"/>
  <c r="G22" i="37"/>
  <c r="F22" i="37"/>
  <c r="J21" i="37"/>
  <c r="L27" i="37" s="1"/>
  <c r="K16" i="37"/>
  <c r="J16" i="37"/>
  <c r="I16" i="37"/>
  <c r="H16" i="37"/>
  <c r="G16" i="37"/>
  <c r="F16" i="37"/>
  <c r="J15" i="37"/>
  <c r="K15" i="37" s="1"/>
  <c r="H15" i="37"/>
  <c r="G15" i="37"/>
  <c r="F15" i="37"/>
  <c r="E15" i="37"/>
  <c r="K14" i="37"/>
  <c r="H14" i="37"/>
  <c r="G14" i="37"/>
  <c r="F14" i="37"/>
  <c r="E14" i="37"/>
  <c r="F6" i="37"/>
  <c r="D3" i="37"/>
  <c r="D35" i="24"/>
  <c r="D34" i="24"/>
  <c r="D33" i="24"/>
  <c r="D32" i="24"/>
  <c r="D31" i="24"/>
  <c r="D30" i="24"/>
  <c r="D29" i="24"/>
  <c r="D28" i="24"/>
  <c r="D27" i="24"/>
  <c r="D26" i="24"/>
  <c r="D25" i="24"/>
  <c r="D19" i="24"/>
  <c r="D18" i="24"/>
  <c r="D17" i="24"/>
  <c r="D14" i="24"/>
  <c r="D13" i="24"/>
  <c r="D12" i="24"/>
  <c r="D11" i="24"/>
  <c r="D4" i="24"/>
  <c r="D3" i="24"/>
  <c r="K53" i="11"/>
  <c r="J53" i="11" s="1"/>
  <c r="H12" i="26"/>
  <c r="N16" i="11"/>
  <c r="K24" i="11" s="1"/>
  <c r="J59" i="11" l="1"/>
  <c r="N16" i="37"/>
  <c r="L28" i="37"/>
  <c r="L39" i="37"/>
  <c r="L30" i="37"/>
  <c r="L44" i="37"/>
  <c r="L42" i="37"/>
  <c r="L38" i="37"/>
  <c r="L43" i="37"/>
  <c r="L29" i="37"/>
  <c r="L41" i="37"/>
  <c r="L24" i="37" l="1"/>
  <c r="K24" i="37"/>
  <c r="N24" i="37" s="1"/>
  <c r="O24" i="37" s="1"/>
  <c r="Q15" i="18" l="1"/>
  <c r="K23" i="37" l="1"/>
  <c r="J41" i="37"/>
  <c r="K41" i="37" s="1"/>
  <c r="N41" i="37" s="1"/>
  <c r="O41" i="37" s="1"/>
  <c r="J39" i="37"/>
  <c r="K39" i="37" s="1"/>
  <c r="N39" i="37" s="1"/>
  <c r="O39" i="37" s="1"/>
  <c r="J24" i="37"/>
  <c r="J23" i="37"/>
  <c r="J28" i="37"/>
  <c r="K28" i="37" s="1"/>
  <c r="N28" i="37" s="1"/>
  <c r="O28" i="37" s="1"/>
  <c r="J42" i="37"/>
  <c r="K42" i="37" s="1"/>
  <c r="N42" i="37" s="1"/>
  <c r="O42" i="37" s="1"/>
  <c r="J37" i="37"/>
  <c r="J40" i="37"/>
  <c r="J43" i="37"/>
  <c r="K43" i="37" s="1"/>
  <c r="N43" i="37" s="1"/>
  <c r="O43" i="37" s="1"/>
  <c r="J30" i="37"/>
  <c r="K30" i="37" s="1"/>
  <c r="N30" i="37" s="1"/>
  <c r="O30" i="37" s="1"/>
  <c r="J29" i="37"/>
  <c r="K29" i="37" s="1"/>
  <c r="N29" i="37" s="1"/>
  <c r="O29" i="37" s="1"/>
  <c r="J36" i="37"/>
  <c r="K36" i="37" s="1"/>
  <c r="N36" i="37" s="1"/>
  <c r="O36" i="37" s="1"/>
  <c r="J44" i="37"/>
  <c r="K44" i="37" s="1"/>
  <c r="N44" i="37" s="1"/>
  <c r="O44" i="37" s="1"/>
  <c r="J27" i="37"/>
  <c r="K27" i="37" s="1"/>
  <c r="N27" i="37" s="1"/>
  <c r="O27" i="37" s="1"/>
  <c r="J38" i="37"/>
  <c r="K38" i="37" s="1"/>
  <c r="N38" i="37" s="1"/>
  <c r="O38" i="37" s="1"/>
  <c r="J47" i="37"/>
  <c r="J32" i="37"/>
  <c r="V33" i="18"/>
  <c r="V32" i="18"/>
  <c r="V31" i="18"/>
  <c r="V25" i="18"/>
  <c r="V30" i="18"/>
  <c r="V29" i="18"/>
  <c r="V24" i="18"/>
  <c r="H37" i="38" s="1"/>
  <c r="V28" i="18"/>
  <c r="V23" i="18"/>
  <c r="H36" i="38" s="1"/>
  <c r="V27" i="18"/>
  <c r="H40" i="38" s="1"/>
  <c r="V26" i="18"/>
  <c r="V17" i="18"/>
  <c r="H30" i="38" s="1"/>
  <c r="V14" i="18"/>
  <c r="H27" i="38" s="1"/>
  <c r="I27" i="38" s="1"/>
  <c r="N27" i="38" s="1"/>
  <c r="O27" i="38" s="1"/>
  <c r="V12" i="18"/>
  <c r="H24" i="38" s="1"/>
  <c r="V13" i="18"/>
  <c r="H25" i="38" s="1"/>
  <c r="V15" i="18"/>
  <c r="H28" i="38" s="1"/>
  <c r="I28" i="38" s="1"/>
  <c r="V16" i="18"/>
  <c r="H29" i="38" s="1"/>
  <c r="N28" i="38" l="1"/>
  <c r="O28" i="38" s="1"/>
  <c r="H44" i="38"/>
  <c r="I44" i="38"/>
  <c r="N44" i="38" s="1"/>
  <c r="O44" i="38" s="1"/>
  <c r="H45" i="38"/>
  <c r="J45" i="38" s="1"/>
  <c r="I45" i="38"/>
  <c r="N45" i="38" s="1"/>
  <c r="O45" i="38" s="1"/>
  <c r="I30" i="38"/>
  <c r="N30" i="38" s="1"/>
  <c r="O30" i="38" s="1"/>
  <c r="K30" i="38"/>
  <c r="J30" i="38"/>
  <c r="K25" i="38"/>
  <c r="J25" i="38"/>
  <c r="H39" i="38"/>
  <c r="I39" i="38"/>
  <c r="N39" i="38" s="1"/>
  <c r="O39" i="38" s="1"/>
  <c r="H38" i="38"/>
  <c r="I38" i="38"/>
  <c r="N38" i="38" s="1"/>
  <c r="O38" i="38" s="1"/>
  <c r="I29" i="38"/>
  <c r="N29" i="38" s="1"/>
  <c r="O29" i="38" s="1"/>
  <c r="J29" i="38"/>
  <c r="K29" i="38"/>
  <c r="K40" i="38"/>
  <c r="J40" i="38"/>
  <c r="H32" i="38"/>
  <c r="K24" i="38"/>
  <c r="J24" i="38"/>
  <c r="H41" i="38"/>
  <c r="I41" i="38"/>
  <c r="N41" i="38" s="1"/>
  <c r="O41" i="38" s="1"/>
  <c r="H46" i="38"/>
  <c r="I46" i="38"/>
  <c r="N46" i="38" s="1"/>
  <c r="O46" i="38" s="1"/>
  <c r="J37" i="38"/>
  <c r="K37" i="38"/>
  <c r="I36" i="38"/>
  <c r="K36" i="38"/>
  <c r="J36" i="38"/>
  <c r="H42" i="38"/>
  <c r="I42" i="38"/>
  <c r="N42" i="38" s="1"/>
  <c r="O42" i="38" s="1"/>
  <c r="H43" i="38"/>
  <c r="K43" i="38" s="1"/>
  <c r="I43" i="38"/>
  <c r="N43" i="38" s="1"/>
  <c r="O43" i="38" s="1"/>
  <c r="J51" i="37"/>
  <c r="J49" i="37"/>
  <c r="N23" i="37"/>
  <c r="O23" i="37" s="1"/>
  <c r="K32" i="37"/>
  <c r="N46" i="11"/>
  <c r="O46" i="11" s="1"/>
  <c r="N45" i="11"/>
  <c r="O45" i="11" s="1"/>
  <c r="N31" i="11"/>
  <c r="O31" i="11" s="1"/>
  <c r="N26" i="11"/>
  <c r="O26" i="11" s="1"/>
  <c r="N25" i="11"/>
  <c r="O25" i="11" s="1"/>
  <c r="F6" i="11"/>
  <c r="D3" i="11"/>
  <c r="K22" i="11"/>
  <c r="J22" i="11"/>
  <c r="V10" i="18"/>
  <c r="I32" i="38" l="1"/>
  <c r="I40" i="38" s="1"/>
  <c r="N32" i="38"/>
  <c r="O32" i="38" s="1"/>
  <c r="H47" i="38"/>
  <c r="K47" i="38" s="1"/>
  <c r="J32" i="38"/>
  <c r="K32" i="38"/>
  <c r="J39" i="38"/>
  <c r="K39" i="38"/>
  <c r="K42" i="38"/>
  <c r="J42" i="38"/>
  <c r="N36" i="38"/>
  <c r="O36" i="38" s="1"/>
  <c r="K41" i="38"/>
  <c r="J41" i="38"/>
  <c r="K38" i="38"/>
  <c r="J38" i="38"/>
  <c r="J44" i="38"/>
  <c r="K44" i="38"/>
  <c r="J63" i="37"/>
  <c r="J57" i="37"/>
  <c r="J61" i="37" s="1"/>
  <c r="N32" i="37"/>
  <c r="O32" i="37" s="1"/>
  <c r="K40" i="37"/>
  <c r="N40" i="37" s="1"/>
  <c r="O40" i="37" s="1"/>
  <c r="K15" i="11"/>
  <c r="L59" i="11"/>
  <c r="K14" i="11"/>
  <c r="K16" i="11" s="1"/>
  <c r="J16" i="11"/>
  <c r="J29" i="11"/>
  <c r="C5" i="23"/>
  <c r="K37" i="37" s="1"/>
  <c r="N40" i="38" l="1"/>
  <c r="O40" i="38" s="1"/>
  <c r="I47" i="38"/>
  <c r="H51" i="38"/>
  <c r="J47" i="38"/>
  <c r="I51" i="38"/>
  <c r="N47" i="38"/>
  <c r="O47" i="38" s="1"/>
  <c r="I49" i="38"/>
  <c r="H57" i="38"/>
  <c r="K51" i="38"/>
  <c r="J51" i="38"/>
  <c r="N37" i="37"/>
  <c r="O37" i="37" s="1"/>
  <c r="K47" i="37"/>
  <c r="K37" i="11"/>
  <c r="J37" i="11"/>
  <c r="J38" i="11"/>
  <c r="J39" i="11"/>
  <c r="J40" i="11"/>
  <c r="J41" i="11"/>
  <c r="J42" i="11"/>
  <c r="J43" i="11"/>
  <c r="J44" i="11"/>
  <c r="J23" i="11"/>
  <c r="J24" i="11"/>
  <c r="J30" i="11"/>
  <c r="K30" i="11" s="1"/>
  <c r="J27" i="11"/>
  <c r="K27" i="11" s="1"/>
  <c r="J36" i="11"/>
  <c r="J28" i="11"/>
  <c r="E38" i="11"/>
  <c r="E39" i="11"/>
  <c r="E40" i="11"/>
  <c r="E41" i="11"/>
  <c r="E42" i="11"/>
  <c r="E43" i="11"/>
  <c r="E44" i="11"/>
  <c r="E45" i="11"/>
  <c r="E47" i="11"/>
  <c r="E37" i="11"/>
  <c r="E36" i="11"/>
  <c r="E32" i="11"/>
  <c r="E30" i="11"/>
  <c r="E29" i="11"/>
  <c r="E27" i="11"/>
  <c r="K57" i="38" l="1"/>
  <c r="J57" i="38"/>
  <c r="I57" i="38"/>
  <c r="H14" i="26" s="1"/>
  <c r="N51" i="38"/>
  <c r="O51" i="38" s="1"/>
  <c r="J47" i="11"/>
  <c r="J32" i="11"/>
  <c r="N37" i="11"/>
  <c r="O37" i="11" s="1"/>
  <c r="M37" i="11"/>
  <c r="N47" i="37"/>
  <c r="O47" i="37" s="1"/>
  <c r="K49" i="37"/>
  <c r="K51" i="37"/>
  <c r="N27" i="11"/>
  <c r="O27" i="11" s="1"/>
  <c r="N30" i="11"/>
  <c r="O30" i="11" s="1"/>
  <c r="K55" i="11"/>
  <c r="I4" i="22" l="1"/>
  <c r="J51" i="11"/>
  <c r="N51" i="37"/>
  <c r="O51" i="37" s="1"/>
  <c r="K57" i="37"/>
  <c r="J21" i="11"/>
  <c r="L30" i="11" s="1"/>
  <c r="F37" i="11"/>
  <c r="G37" i="11"/>
  <c r="F38" i="11"/>
  <c r="G38" i="11"/>
  <c r="F39" i="11"/>
  <c r="G39" i="11"/>
  <c r="F40" i="11"/>
  <c r="G40" i="11"/>
  <c r="F41" i="11"/>
  <c r="G41" i="11"/>
  <c r="F42" i="11"/>
  <c r="G42" i="11"/>
  <c r="F43" i="11"/>
  <c r="G43" i="11"/>
  <c r="F44" i="11"/>
  <c r="G44" i="11"/>
  <c r="F47" i="11"/>
  <c r="G47" i="11"/>
  <c r="G36" i="11"/>
  <c r="F36" i="11"/>
  <c r="F32" i="11"/>
  <c r="G32" i="11"/>
  <c r="G29" i="11"/>
  <c r="G30" i="11"/>
  <c r="F30" i="11"/>
  <c r="F29" i="11"/>
  <c r="L44" i="11" l="1"/>
  <c r="L41" i="11"/>
  <c r="L42" i="11"/>
  <c r="L43" i="11"/>
  <c r="L39" i="11"/>
  <c r="L38" i="11"/>
  <c r="L29" i="11"/>
  <c r="L28" i="11"/>
  <c r="L27" i="11"/>
  <c r="N24" i="11"/>
  <c r="O24" i="11" s="1"/>
  <c r="L24" i="11"/>
  <c r="K28" i="11"/>
  <c r="K39" i="11"/>
  <c r="N39" i="11" s="1"/>
  <c r="O39" i="11" s="1"/>
  <c r="K44" i="11"/>
  <c r="N44" i="11" s="1"/>
  <c r="O44" i="11" s="1"/>
  <c r="K42" i="11"/>
  <c r="N42" i="11" s="1"/>
  <c r="O42" i="11" s="1"/>
  <c r="K43" i="11"/>
  <c r="N43" i="11" s="1"/>
  <c r="O43" i="11" s="1"/>
  <c r="V39" i="18"/>
  <c r="V40" i="18"/>
  <c r="K41" i="11"/>
  <c r="N41" i="11" s="1"/>
  <c r="O41" i="11" s="1"/>
  <c r="V41" i="18"/>
  <c r="K38" i="11"/>
  <c r="N38" i="11" s="1"/>
  <c r="O38" i="11" s="1"/>
  <c r="K29" i="11"/>
  <c r="N29" i="11" s="1"/>
  <c r="O29" i="11" s="1"/>
  <c r="K32" i="11" l="1"/>
  <c r="C21" i="24" s="1"/>
  <c r="N28" i="11"/>
  <c r="O28" i="11" s="1"/>
  <c r="K36" i="11"/>
  <c r="N36" i="11" s="1"/>
  <c r="O36" i="11" s="1"/>
  <c r="V35" i="18"/>
  <c r="Y35" i="18" s="1"/>
  <c r="V20" i="18"/>
  <c r="Y20" i="18" s="1"/>
  <c r="V37" i="18" l="1"/>
  <c r="J49" i="11"/>
  <c r="V53" i="18" l="1"/>
  <c r="Y37" i="18"/>
  <c r="N23" i="11"/>
  <c r="O23" i="11" s="1"/>
  <c r="G22" i="11"/>
  <c r="G16" i="11"/>
  <c r="G15" i="11"/>
  <c r="G14" i="11"/>
  <c r="G65" i="11"/>
  <c r="G63" i="11"/>
  <c r="G61" i="11"/>
  <c r="G59" i="11"/>
  <c r="G57" i="11"/>
  <c r="G55" i="11"/>
  <c r="G53" i="11"/>
  <c r="G51" i="11"/>
  <c r="G49" i="11"/>
  <c r="G27" i="11"/>
  <c r="G24" i="11"/>
  <c r="G23" i="11"/>
  <c r="F65" i="11"/>
  <c r="F63" i="11"/>
  <c r="F61" i="11"/>
  <c r="F59" i="11"/>
  <c r="F57" i="11"/>
  <c r="F55" i="11"/>
  <c r="F53" i="11"/>
  <c r="F51" i="11"/>
  <c r="F49" i="11"/>
  <c r="F24" i="11"/>
  <c r="F27" i="11"/>
  <c r="F23" i="11"/>
  <c r="F22" i="11"/>
  <c r="F14" i="11"/>
  <c r="F16" i="11"/>
  <c r="F15" i="11"/>
  <c r="E65" i="11"/>
  <c r="E61" i="11"/>
  <c r="E63" i="11"/>
  <c r="E59" i="11"/>
  <c r="E57" i="11"/>
  <c r="E55" i="11"/>
  <c r="E53" i="11"/>
  <c r="E51" i="11"/>
  <c r="E49" i="11"/>
  <c r="E26" i="11"/>
  <c r="E24" i="11"/>
  <c r="E23" i="11"/>
  <c r="E15" i="11"/>
  <c r="E14" i="11"/>
  <c r="F17" i="34"/>
  <c r="D48" i="24"/>
  <c r="Q89" i="24"/>
  <c r="P89" i="24"/>
  <c r="D42" i="24"/>
  <c r="AF19" i="24"/>
  <c r="AG19" i="24" s="1"/>
  <c r="AH19" i="24" s="1"/>
  <c r="AI19" i="24" s="1"/>
  <c r="AJ19" i="24" s="1"/>
  <c r="AK19" i="24" s="1"/>
  <c r="AL19" i="24" s="1"/>
  <c r="AM19" i="24" s="1"/>
  <c r="AN19" i="24" s="1"/>
  <c r="AO19" i="24" s="1"/>
  <c r="AP19" i="24" s="1"/>
  <c r="AQ19" i="24" s="1"/>
  <c r="AR19" i="24" s="1"/>
  <c r="AS19" i="24" s="1"/>
  <c r="AT19" i="24" s="1"/>
  <c r="AU19" i="24" s="1"/>
  <c r="AV19" i="24" s="1"/>
  <c r="AW19" i="24" s="1"/>
  <c r="AX19" i="24" s="1"/>
  <c r="AY19" i="24" s="1"/>
  <c r="AZ19" i="24" s="1"/>
  <c r="BA19" i="24" s="1"/>
  <c r="BB19" i="24" s="1"/>
  <c r="BC19" i="24" s="1"/>
  <c r="BD19" i="24" s="1"/>
  <c r="BE19" i="24" s="1"/>
  <c r="BF19" i="24" s="1"/>
  <c r="BG19" i="24" s="1"/>
  <c r="BH19" i="24" s="1"/>
  <c r="BI19" i="24" s="1"/>
  <c r="BJ19" i="24" s="1"/>
  <c r="BK19" i="24" s="1"/>
  <c r="BL19" i="24" s="1"/>
  <c r="BM19" i="24" s="1"/>
  <c r="BN19" i="24" s="1"/>
  <c r="BO19" i="24" s="1"/>
  <c r="BP19" i="24" s="1"/>
  <c r="BQ19" i="24" s="1"/>
  <c r="BR19" i="24" s="1"/>
  <c r="BS19" i="24" s="1"/>
  <c r="BT19" i="24" s="1"/>
  <c r="BU19" i="24" s="1"/>
  <c r="BV19" i="24" s="1"/>
  <c r="BW19" i="24" s="1"/>
  <c r="BX19" i="24" s="1"/>
  <c r="BY19" i="24" s="1"/>
  <c r="BZ19" i="24" s="1"/>
  <c r="CA19" i="24" s="1"/>
  <c r="CB19" i="24" s="1"/>
  <c r="CC19" i="24" s="1"/>
  <c r="CD19" i="24" s="1"/>
  <c r="CE19" i="24" s="1"/>
  <c r="CF19" i="24" s="1"/>
  <c r="CG19" i="24" s="1"/>
  <c r="CH19" i="24" s="1"/>
  <c r="CI19" i="24" s="1"/>
  <c r="CJ19" i="24" s="1"/>
  <c r="CK19" i="24" s="1"/>
  <c r="CL19" i="24" s="1"/>
  <c r="CM19" i="24" s="1"/>
  <c r="CN19" i="24" s="1"/>
  <c r="CO19" i="24" s="1"/>
  <c r="CP19" i="24" s="1"/>
  <c r="CQ19" i="24" s="1"/>
  <c r="CR19" i="24" s="1"/>
  <c r="CS19" i="24" s="1"/>
  <c r="CT19" i="24" s="1"/>
  <c r="CU19" i="24" s="1"/>
  <c r="CV19" i="24" s="1"/>
  <c r="CW19" i="24" s="1"/>
  <c r="CX19" i="24" s="1"/>
  <c r="CY19" i="24" s="1"/>
  <c r="CZ19" i="24" s="1"/>
  <c r="DA19" i="24" s="1"/>
  <c r="DB19" i="24" s="1"/>
  <c r="DC19" i="24" s="1"/>
  <c r="DD19" i="24" s="1"/>
  <c r="DE19" i="24" s="1"/>
  <c r="DF19" i="24" s="1"/>
  <c r="DG19" i="24" s="1"/>
  <c r="DH19" i="24" s="1"/>
  <c r="DI19" i="24" s="1"/>
  <c r="DJ19" i="24" s="1"/>
  <c r="DK19" i="24" s="1"/>
  <c r="DL19" i="24" s="1"/>
  <c r="DM19" i="24" s="1"/>
  <c r="DN19" i="24" s="1"/>
  <c r="DO19" i="24" s="1"/>
  <c r="DP19" i="24" s="1"/>
  <c r="DQ19" i="24" s="1"/>
  <c r="DR19" i="24" s="1"/>
  <c r="DS19" i="24" s="1"/>
  <c r="DT19" i="24" s="1"/>
  <c r="DU19" i="24" s="1"/>
  <c r="DV19" i="24" s="1"/>
  <c r="DW19" i="24" s="1"/>
  <c r="DX19" i="24" s="1"/>
  <c r="DY19" i="24" s="1"/>
  <c r="DZ19" i="24" s="1"/>
  <c r="EA19" i="24" s="1"/>
  <c r="EB19" i="24" s="1"/>
  <c r="EC19" i="24" s="1"/>
  <c r="ED19" i="24" s="1"/>
  <c r="EE19" i="24" s="1"/>
  <c r="EF19" i="24" s="1"/>
  <c r="EG19" i="24" s="1"/>
  <c r="EH19" i="24" s="1"/>
  <c r="EI19" i="24" s="1"/>
  <c r="EJ19" i="24" s="1"/>
  <c r="EK19" i="24" s="1"/>
  <c r="EL19" i="24" s="1"/>
  <c r="EM19" i="24" s="1"/>
  <c r="EN19" i="24" s="1"/>
  <c r="EO19" i="24" s="1"/>
  <c r="EP19" i="24" s="1"/>
  <c r="EQ19" i="24" s="1"/>
  <c r="ER19" i="24" s="1"/>
  <c r="ES19" i="24" s="1"/>
  <c r="ET19" i="24" s="1"/>
  <c r="EU19" i="24" s="1"/>
  <c r="EV19" i="24" s="1"/>
  <c r="EW19" i="24" s="1"/>
  <c r="EX19" i="24" s="1"/>
  <c r="EY19" i="24" s="1"/>
  <c r="EZ19" i="24" s="1"/>
  <c r="FA19" i="24" s="1"/>
  <c r="FB19" i="24" s="1"/>
  <c r="FC19" i="24" s="1"/>
  <c r="FD19" i="24" s="1"/>
  <c r="FE19" i="24" s="1"/>
  <c r="FF19" i="24" s="1"/>
  <c r="AF18" i="24"/>
  <c r="AG18" i="24" s="1"/>
  <c r="AH18" i="24" s="1"/>
  <c r="AI18" i="24" s="1"/>
  <c r="AJ18" i="24" s="1"/>
  <c r="AK18" i="24" s="1"/>
  <c r="AL18" i="24" s="1"/>
  <c r="AM18" i="24" s="1"/>
  <c r="AN18" i="24" s="1"/>
  <c r="AO18" i="24" s="1"/>
  <c r="AP18" i="24" s="1"/>
  <c r="AQ18" i="24" s="1"/>
  <c r="AR18" i="24" s="1"/>
  <c r="AS18" i="24" s="1"/>
  <c r="AT18" i="24" s="1"/>
  <c r="AU18" i="24" s="1"/>
  <c r="AV18" i="24" s="1"/>
  <c r="AW18" i="24" s="1"/>
  <c r="AX18" i="24" s="1"/>
  <c r="AY18" i="24" s="1"/>
  <c r="AZ18" i="24" s="1"/>
  <c r="BA18" i="24" s="1"/>
  <c r="BB18" i="24" s="1"/>
  <c r="BC18" i="24" s="1"/>
  <c r="BD18" i="24" s="1"/>
  <c r="BE18" i="24" s="1"/>
  <c r="BF18" i="24" s="1"/>
  <c r="BG18" i="24" s="1"/>
  <c r="BH18" i="24" s="1"/>
  <c r="BI18" i="24" s="1"/>
  <c r="BJ18" i="24" s="1"/>
  <c r="BK18" i="24" s="1"/>
  <c r="BL18" i="24" s="1"/>
  <c r="BM18" i="24" s="1"/>
  <c r="BN18" i="24" s="1"/>
  <c r="BO18" i="24" s="1"/>
  <c r="BP18" i="24" s="1"/>
  <c r="BQ18" i="24" s="1"/>
  <c r="BR18" i="24" s="1"/>
  <c r="BS18" i="24" s="1"/>
  <c r="BT18" i="24" s="1"/>
  <c r="BU18" i="24" s="1"/>
  <c r="BV18" i="24" s="1"/>
  <c r="BW18" i="24" s="1"/>
  <c r="BX18" i="24" s="1"/>
  <c r="BY18" i="24" s="1"/>
  <c r="BZ18" i="24" s="1"/>
  <c r="CA18" i="24" s="1"/>
  <c r="CB18" i="24" s="1"/>
  <c r="CC18" i="24" s="1"/>
  <c r="CD18" i="24" s="1"/>
  <c r="CE18" i="24" s="1"/>
  <c r="CF18" i="24" s="1"/>
  <c r="CG18" i="24" s="1"/>
  <c r="CH18" i="24" s="1"/>
  <c r="CI18" i="24" s="1"/>
  <c r="CJ18" i="24" s="1"/>
  <c r="CK18" i="24" s="1"/>
  <c r="CL18" i="24" s="1"/>
  <c r="CM18" i="24" s="1"/>
  <c r="CN18" i="24" s="1"/>
  <c r="CO18" i="24" s="1"/>
  <c r="CP18" i="24" s="1"/>
  <c r="CQ18" i="24" s="1"/>
  <c r="CR18" i="24" s="1"/>
  <c r="CS18" i="24" s="1"/>
  <c r="CT18" i="24" s="1"/>
  <c r="CU18" i="24" s="1"/>
  <c r="CV18" i="24" s="1"/>
  <c r="CW18" i="24" s="1"/>
  <c r="CX18" i="24" s="1"/>
  <c r="CY18" i="24" s="1"/>
  <c r="CZ18" i="24" s="1"/>
  <c r="DA18" i="24" s="1"/>
  <c r="DB18" i="24" s="1"/>
  <c r="DC18" i="24" s="1"/>
  <c r="DD18" i="24" s="1"/>
  <c r="DE18" i="24" s="1"/>
  <c r="DF18" i="24" s="1"/>
  <c r="DG18" i="24" s="1"/>
  <c r="DH18" i="24" s="1"/>
  <c r="DI18" i="24" s="1"/>
  <c r="DJ18" i="24" s="1"/>
  <c r="DK18" i="24" s="1"/>
  <c r="DL18" i="24" s="1"/>
  <c r="DM18" i="24" s="1"/>
  <c r="DN18" i="24" s="1"/>
  <c r="DO18" i="24" s="1"/>
  <c r="DP18" i="24" s="1"/>
  <c r="DQ18" i="24" s="1"/>
  <c r="DR18" i="24" s="1"/>
  <c r="DS18" i="24" s="1"/>
  <c r="DT18" i="24" s="1"/>
  <c r="DU18" i="24" s="1"/>
  <c r="DV18" i="24" s="1"/>
  <c r="DW18" i="24" s="1"/>
  <c r="DX18" i="24" s="1"/>
  <c r="DY18" i="24" s="1"/>
  <c r="DZ18" i="24" s="1"/>
  <c r="EA18" i="24" s="1"/>
  <c r="EB18" i="24" s="1"/>
  <c r="EC18" i="24" s="1"/>
  <c r="ED18" i="24" s="1"/>
  <c r="EE18" i="24" s="1"/>
  <c r="EF18" i="24" s="1"/>
  <c r="EG18" i="24" s="1"/>
  <c r="EH18" i="24" s="1"/>
  <c r="EI18" i="24" s="1"/>
  <c r="EJ18" i="24" s="1"/>
  <c r="EK18" i="24" s="1"/>
  <c r="EL18" i="24" s="1"/>
  <c r="EM18" i="24" s="1"/>
  <c r="EN18" i="24" s="1"/>
  <c r="EO18" i="24" s="1"/>
  <c r="EP18" i="24" s="1"/>
  <c r="EQ18" i="24" s="1"/>
  <c r="ER18" i="24" s="1"/>
  <c r="ES18" i="24" s="1"/>
  <c r="ET18" i="24" s="1"/>
  <c r="EU18" i="24" s="1"/>
  <c r="EV18" i="24" s="1"/>
  <c r="EW18" i="24" s="1"/>
  <c r="EX18" i="24" s="1"/>
  <c r="EY18" i="24" s="1"/>
  <c r="EZ18" i="24" s="1"/>
  <c r="FA18" i="24" s="1"/>
  <c r="FB18" i="24" s="1"/>
  <c r="FC18" i="24" s="1"/>
  <c r="FD18" i="24" s="1"/>
  <c r="FE18" i="24" s="1"/>
  <c r="FF18" i="24" s="1"/>
  <c r="D50" i="34"/>
  <c r="D48" i="34"/>
  <c r="D11" i="34"/>
  <c r="D12" i="34"/>
  <c r="D6" i="34"/>
  <c r="B13" i="35"/>
  <c r="B8" i="35" s="1"/>
  <c r="B12" i="35"/>
  <c r="B4" i="35"/>
  <c r="D4" i="34"/>
  <c r="D42" i="34"/>
  <c r="D44" i="34" s="1"/>
  <c r="D35" i="34"/>
  <c r="D34" i="34"/>
  <c r="D33" i="34"/>
  <c r="D32" i="34"/>
  <c r="D31" i="34"/>
  <c r="D30" i="34"/>
  <c r="D29" i="34"/>
  <c r="D28" i="34"/>
  <c r="D27" i="34"/>
  <c r="D26" i="34"/>
  <c r="D25" i="34"/>
  <c r="D19" i="34"/>
  <c r="D14" i="34"/>
  <c r="B42" i="35"/>
  <c r="B44" i="35" s="1"/>
  <c r="B35" i="35"/>
  <c r="B34" i="35"/>
  <c r="B33" i="35"/>
  <c r="B32" i="35"/>
  <c r="B31" i="35"/>
  <c r="B30" i="35"/>
  <c r="B29" i="35"/>
  <c r="B28" i="35"/>
  <c r="B27" i="35"/>
  <c r="B26" i="35"/>
  <c r="B25" i="35"/>
  <c r="B19" i="35"/>
  <c r="B18" i="35"/>
  <c r="B17" i="35"/>
  <c r="B14" i="35"/>
  <c r="I6" i="35"/>
  <c r="J6" i="35" s="1"/>
  <c r="K6" i="35" s="1"/>
  <c r="L6" i="35" s="1"/>
  <c r="M6" i="35" s="1"/>
  <c r="N6" i="35" s="1"/>
  <c r="O6" i="35" s="1"/>
  <c r="P6" i="35" s="1"/>
  <c r="Q6" i="35" s="1"/>
  <c r="H6" i="35"/>
  <c r="B11" i="35"/>
  <c r="E13" i="34"/>
  <c r="Q4" i="34"/>
  <c r="F12" i="34" s="1"/>
  <c r="R4" i="34"/>
  <c r="G12" i="34" s="1"/>
  <c r="S4" i="34"/>
  <c r="H12" i="34" s="1"/>
  <c r="T4" i="34"/>
  <c r="I12" i="34" s="1"/>
  <c r="U4" i="34"/>
  <c r="V4" i="34"/>
  <c r="W4" i="34"/>
  <c r="X4" i="34"/>
  <c r="Y4" i="34"/>
  <c r="Z4" i="34"/>
  <c r="C4" i="34"/>
  <c r="N32" i="11" l="1"/>
  <c r="O32" i="11" s="1"/>
  <c r="D36" i="34"/>
  <c r="D13" i="34"/>
  <c r="B21" i="35"/>
  <c r="B36" i="35"/>
  <c r="I27" i="34"/>
  <c r="H27" i="34"/>
  <c r="G27" i="34"/>
  <c r="F11" i="34"/>
  <c r="G11" i="34"/>
  <c r="H11" i="34"/>
  <c r="I11" i="34"/>
  <c r="F13" i="34"/>
  <c r="G13" i="34"/>
  <c r="H13" i="34"/>
  <c r="I13" i="34"/>
  <c r="F14" i="34"/>
  <c r="G14" i="34"/>
  <c r="H14" i="34"/>
  <c r="I14" i="34"/>
  <c r="G17" i="34"/>
  <c r="H17" i="34"/>
  <c r="I17" i="34"/>
  <c r="F18" i="34"/>
  <c r="G18" i="34"/>
  <c r="H18" i="34"/>
  <c r="I18" i="34"/>
  <c r="F19" i="34"/>
  <c r="G19" i="34"/>
  <c r="H19" i="34"/>
  <c r="I19" i="34"/>
  <c r="F25" i="34"/>
  <c r="G25" i="34"/>
  <c r="H25" i="34"/>
  <c r="I25" i="34"/>
  <c r="F26" i="34"/>
  <c r="G26" i="34"/>
  <c r="H26" i="34"/>
  <c r="I26" i="34"/>
  <c r="F27" i="34"/>
  <c r="F28" i="34"/>
  <c r="G28" i="34"/>
  <c r="H28" i="34"/>
  <c r="I28" i="34"/>
  <c r="F29" i="34"/>
  <c r="G29" i="34"/>
  <c r="H29" i="34"/>
  <c r="I29" i="34"/>
  <c r="F30" i="34"/>
  <c r="G30" i="34"/>
  <c r="H30" i="34"/>
  <c r="I30" i="34"/>
  <c r="F31" i="34"/>
  <c r="G31" i="34"/>
  <c r="H31" i="34"/>
  <c r="I31" i="34"/>
  <c r="F32" i="34"/>
  <c r="G32" i="34"/>
  <c r="H32" i="34"/>
  <c r="I32" i="34"/>
  <c r="F33" i="34"/>
  <c r="G33" i="34"/>
  <c r="H33" i="34"/>
  <c r="I33" i="34"/>
  <c r="F34" i="34"/>
  <c r="G34" i="34"/>
  <c r="H34" i="34"/>
  <c r="I34" i="34"/>
  <c r="F35" i="34"/>
  <c r="G35" i="34"/>
  <c r="H35" i="34"/>
  <c r="I35" i="34"/>
  <c r="F42" i="34"/>
  <c r="F44" i="34" s="1"/>
  <c r="G42" i="34"/>
  <c r="G44" i="34" s="1"/>
  <c r="H42" i="34"/>
  <c r="H44" i="34" s="1"/>
  <c r="I42" i="34"/>
  <c r="I44" i="34" s="1"/>
  <c r="E42" i="34"/>
  <c r="E44" i="34" s="1"/>
  <c r="E35" i="34"/>
  <c r="E34" i="34"/>
  <c r="E33" i="34"/>
  <c r="E32" i="34"/>
  <c r="E31" i="34"/>
  <c r="E30" i="34"/>
  <c r="E29" i="34"/>
  <c r="E28" i="34"/>
  <c r="E27" i="34"/>
  <c r="E26" i="34"/>
  <c r="E25" i="34"/>
  <c r="E19" i="34"/>
  <c r="E18" i="34"/>
  <c r="E17" i="34"/>
  <c r="E14" i="34"/>
  <c r="E11" i="34"/>
  <c r="C11" i="34"/>
  <c r="C14" i="34"/>
  <c r="C42" i="34"/>
  <c r="C44" i="34" s="1"/>
  <c r="C35" i="34"/>
  <c r="C34" i="34"/>
  <c r="C33" i="34"/>
  <c r="C32" i="34"/>
  <c r="C31" i="34"/>
  <c r="C30" i="34"/>
  <c r="C29" i="34"/>
  <c r="C28" i="34"/>
  <c r="C27" i="34"/>
  <c r="C26" i="34"/>
  <c r="C25" i="34"/>
  <c r="C19" i="34"/>
  <c r="C18" i="34"/>
  <c r="C17" i="34"/>
  <c r="C13" i="34"/>
  <c r="F4" i="34"/>
  <c r="G4" i="34"/>
  <c r="H4" i="34"/>
  <c r="I4" i="34"/>
  <c r="E4" i="34"/>
  <c r="F3" i="34"/>
  <c r="G3" i="34"/>
  <c r="H3" i="34"/>
  <c r="I3" i="34"/>
  <c r="E3" i="34"/>
  <c r="P4" i="34"/>
  <c r="N4" i="34"/>
  <c r="Q4" i="24"/>
  <c r="R4" i="24" s="1"/>
  <c r="P4" i="24"/>
  <c r="T4" i="24"/>
  <c r="K40" i="11" l="1"/>
  <c r="N40" i="11" s="1"/>
  <c r="O40" i="11" s="1"/>
  <c r="E36" i="34"/>
  <c r="D8" i="34"/>
  <c r="D21" i="34"/>
  <c r="B38" i="35"/>
  <c r="B40" i="35"/>
  <c r="B46" i="35" s="1"/>
  <c r="I21" i="34"/>
  <c r="F21" i="34"/>
  <c r="E21" i="34"/>
  <c r="F36" i="34"/>
  <c r="F38" i="34" s="1"/>
  <c r="I36" i="34"/>
  <c r="I38" i="34" s="1"/>
  <c r="C36" i="34"/>
  <c r="C21" i="34"/>
  <c r="E12" i="34"/>
  <c r="H21" i="34"/>
  <c r="G21" i="34"/>
  <c r="H36" i="34"/>
  <c r="G36" i="34"/>
  <c r="C29" i="24" l="1"/>
  <c r="E29" i="24" s="1"/>
  <c r="K47" i="11"/>
  <c r="N47" i="11" s="1"/>
  <c r="O47" i="11" s="1"/>
  <c r="H38" i="34"/>
  <c r="F40" i="34"/>
  <c r="F46" i="34" s="1"/>
  <c r="F52" i="34" s="1"/>
  <c r="I40" i="34"/>
  <c r="I46" i="34" s="1"/>
  <c r="C38" i="34"/>
  <c r="D38" i="34"/>
  <c r="D40" i="34"/>
  <c r="D46" i="34" s="1"/>
  <c r="B58" i="35"/>
  <c r="B56" i="35"/>
  <c r="B52" i="35"/>
  <c r="B54" i="35"/>
  <c r="I52" i="34"/>
  <c r="I58" i="34"/>
  <c r="I54" i="34"/>
  <c r="I56" i="34"/>
  <c r="G38" i="34"/>
  <c r="C40" i="34"/>
  <c r="C46" i="34" s="1"/>
  <c r="C56" i="34" s="1"/>
  <c r="G40" i="34"/>
  <c r="G46" i="34" s="1"/>
  <c r="G58" i="34" s="1"/>
  <c r="C54" i="34"/>
  <c r="C58" i="34"/>
  <c r="C52" i="34"/>
  <c r="H40" i="34"/>
  <c r="H46" i="34" s="1"/>
  <c r="H56" i="34" s="1"/>
  <c r="E40" i="34"/>
  <c r="E46" i="34" s="1"/>
  <c r="E56" i="34" s="1"/>
  <c r="E38" i="34"/>
  <c r="K51" i="11" l="1"/>
  <c r="N51" i="11" s="1"/>
  <c r="O51" i="11" s="1"/>
  <c r="K49" i="11"/>
  <c r="F56" i="34"/>
  <c r="F54" i="34"/>
  <c r="F58" i="34"/>
  <c r="D56" i="34"/>
  <c r="D52" i="34"/>
  <c r="D58" i="34"/>
  <c r="D54" i="34"/>
  <c r="G52" i="34"/>
  <c r="G54" i="34"/>
  <c r="G56" i="34"/>
  <c r="E52" i="34"/>
  <c r="E54" i="34"/>
  <c r="H52" i="34"/>
  <c r="H54" i="34"/>
  <c r="H58" i="34"/>
  <c r="E58" i="34"/>
  <c r="K57" i="11" l="1"/>
  <c r="D422" i="17"/>
  <c r="H401" i="17"/>
  <c r="H400" i="17"/>
  <c r="E413" i="17" l="1"/>
  <c r="F404" i="17"/>
  <c r="H402" i="17" l="1"/>
  <c r="S413" i="17" l="1"/>
  <c r="D421" i="17"/>
  <c r="G421" i="17" s="1"/>
  <c r="F423" i="17"/>
  <c r="F422" i="17"/>
  <c r="F421" i="17"/>
  <c r="E423" i="17"/>
  <c r="E422" i="17"/>
  <c r="E421" i="17"/>
  <c r="H421" i="17" l="1"/>
  <c r="S400" i="17" s="1"/>
  <c r="I400" i="17"/>
  <c r="I401" i="17"/>
  <c r="C402" i="17"/>
  <c r="D402" i="17"/>
  <c r="C404" i="17"/>
  <c r="D404" i="17"/>
  <c r="E404" i="17"/>
  <c r="G404" i="17"/>
  <c r="C406" i="17"/>
  <c r="D406" i="17"/>
  <c r="I407" i="17"/>
  <c r="C408" i="17"/>
  <c r="D408" i="17"/>
  <c r="E414" i="17"/>
  <c r="M413" i="17"/>
  <c r="N413" i="17"/>
  <c r="M415" i="17"/>
  <c r="M416" i="17" s="1"/>
  <c r="N415" i="17"/>
  <c r="N416" i="17" s="1"/>
  <c r="G422" i="17"/>
  <c r="M423" i="17"/>
  <c r="N423" i="17"/>
  <c r="G423" i="17"/>
  <c r="C424" i="17"/>
  <c r="N427" i="17"/>
  <c r="N430" i="17"/>
  <c r="N429" i="17" s="1"/>
  <c r="E416" i="17" l="1"/>
  <c r="H403" i="17" s="1"/>
  <c r="D424" i="17"/>
  <c r="E424" i="17" s="1"/>
  <c r="H405" i="17" s="1"/>
  <c r="G424" i="17"/>
  <c r="F424" i="17" s="1"/>
  <c r="H423" i="17"/>
  <c r="S402" i="17" s="1"/>
  <c r="H422" i="17"/>
  <c r="S401" i="17" s="1"/>
  <c r="H404" i="17" l="1"/>
  <c r="H406" i="17"/>
  <c r="H408" i="17"/>
  <c r="I405" i="17"/>
  <c r="H424" i="17"/>
  <c r="S426" i="17"/>
  <c r="S419" i="17"/>
  <c r="S408" i="17"/>
  <c r="I403" i="17" l="1"/>
  <c r="P403" i="17"/>
  <c r="R433" i="17"/>
  <c r="R430" i="17"/>
  <c r="R437" i="17" s="1"/>
  <c r="R427" i="17"/>
  <c r="R431" i="17" s="1"/>
  <c r="R423" i="17"/>
  <c r="R415" i="17"/>
  <c r="R416" i="17" s="1"/>
  <c r="R413" i="17"/>
  <c r="R405" i="17"/>
  <c r="R429" i="17" l="1"/>
  <c r="R438" i="17"/>
  <c r="R436" i="17"/>
  <c r="R434" i="17"/>
  <c r="U51" i="25"/>
  <c r="U38" i="25"/>
  <c r="U37" i="25"/>
  <c r="U36" i="25"/>
  <c r="U35" i="25"/>
  <c r="U34" i="25"/>
  <c r="U33" i="25"/>
  <c r="U32" i="25"/>
  <c r="U31" i="25"/>
  <c r="U30" i="25"/>
  <c r="U29" i="25"/>
  <c r="U28" i="25"/>
  <c r="U39" i="25" s="1"/>
  <c r="U22" i="25"/>
  <c r="U21" i="25"/>
  <c r="U20" i="25"/>
  <c r="U17" i="25"/>
  <c r="U16" i="25"/>
  <c r="U11" i="25"/>
  <c r="D450" i="17"/>
  <c r="S410" i="17" s="1"/>
  <c r="U24" i="25" l="1"/>
  <c r="U43" i="25" s="1"/>
  <c r="S433" i="17"/>
  <c r="S434" i="17" l="1"/>
  <c r="H17" i="27" l="1"/>
  <c r="H16" i="27"/>
  <c r="H15" i="27" s="1"/>
  <c r="H11" i="27"/>
  <c r="H14" i="27"/>
  <c r="H12" i="27"/>
  <c r="G19" i="27"/>
  <c r="F19" i="27"/>
  <c r="G13" i="27"/>
  <c r="F13" i="27"/>
  <c r="F6" i="27"/>
  <c r="S427" i="17"/>
  <c r="S423" i="17"/>
  <c r="O427" i="17"/>
  <c r="P427" i="17"/>
  <c r="Q427" i="17"/>
  <c r="P415" i="17"/>
  <c r="P416" i="17" s="1"/>
  <c r="Q413" i="17"/>
  <c r="P413" i="17"/>
  <c r="H13" i="27" l="1"/>
  <c r="H2" i="22"/>
  <c r="I18" i="27"/>
  <c r="I17" i="27"/>
  <c r="I16" i="27"/>
  <c r="I15" i="27"/>
  <c r="I14" i="27"/>
  <c r="I12" i="27"/>
  <c r="I11" i="27"/>
  <c r="H19" i="27"/>
  <c r="Q423" i="17" l="1"/>
  <c r="S431" i="17" l="1"/>
  <c r="S436" i="17" s="1"/>
  <c r="S430" i="17"/>
  <c r="S429" i="17" l="1"/>
  <c r="S437" i="17"/>
  <c r="S438" i="17" s="1"/>
  <c r="N434" i="17" l="1"/>
  <c r="P434" i="17"/>
  <c r="O434" i="17"/>
  <c r="O431" i="17"/>
  <c r="P431" i="17"/>
  <c r="N431" i="17"/>
  <c r="P405" i="17" l="1"/>
  <c r="Q415" i="17"/>
  <c r="Q416" i="17" s="1"/>
  <c r="S403" i="17" l="1"/>
  <c r="Q403" i="17"/>
  <c r="Q405" i="17" l="1"/>
  <c r="S414" i="17"/>
  <c r="S415" i="17" s="1"/>
  <c r="S416" i="17" s="1"/>
  <c r="S405" i="17"/>
  <c r="E19" i="27" l="1"/>
  <c r="E13" i="27"/>
  <c r="H48" i="24" l="1"/>
  <c r="H35" i="24"/>
  <c r="H12" i="24"/>
  <c r="H11" i="24"/>
  <c r="H36" i="24"/>
  <c r="H34" i="24"/>
  <c r="H33" i="24"/>
  <c r="H32" i="24"/>
  <c r="H31" i="24"/>
  <c r="H30" i="24"/>
  <c r="H29" i="24"/>
  <c r="H28" i="24"/>
  <c r="H27" i="24"/>
  <c r="H26" i="24"/>
  <c r="H25" i="24"/>
  <c r="H21" i="24"/>
  <c r="H18" i="24"/>
  <c r="H19" i="24"/>
  <c r="H17" i="24"/>
  <c r="H14" i="24"/>
  <c r="H13" i="24"/>
  <c r="H8" i="24"/>
  <c r="C35" i="24"/>
  <c r="C11" i="24"/>
  <c r="C4" i="24"/>
  <c r="C3" i="24"/>
  <c r="I35" i="24" l="1"/>
  <c r="H40" i="24"/>
  <c r="U41" i="25"/>
  <c r="H38" i="24" s="1"/>
  <c r="E35" i="24"/>
  <c r="O413" i="17" l="1"/>
  <c r="O415" i="17"/>
  <c r="O416" i="17" s="1"/>
  <c r="O423" i="17"/>
  <c r="P423" i="17"/>
  <c r="I13" i="27" l="1"/>
  <c r="I4" i="27" l="1"/>
  <c r="I3" i="27"/>
  <c r="P436" i="17" l="1"/>
  <c r="P430" i="17"/>
  <c r="P429" i="17" s="1"/>
  <c r="P437" i="17" l="1"/>
  <c r="P438" i="17" s="1"/>
  <c r="C13" i="24" l="1"/>
  <c r="C8" i="24" l="1"/>
  <c r="C25" i="24"/>
  <c r="C12" i="24"/>
  <c r="I25" i="24" l="1"/>
  <c r="J25" i="24"/>
  <c r="D44" i="24"/>
  <c r="D36" i="24" l="1"/>
  <c r="F25" i="24"/>
  <c r="E25" i="24"/>
  <c r="D21" i="24"/>
  <c r="D40" i="24" l="1"/>
  <c r="D38" i="24"/>
  <c r="E6" i="27"/>
  <c r="D46" i="24" l="1"/>
  <c r="D50" i="24" s="1"/>
  <c r="O430" i="17"/>
  <c r="O429" i="17" s="1"/>
  <c r="O437" i="17" l="1"/>
  <c r="O438" i="17" s="1"/>
  <c r="O436" i="17"/>
  <c r="N436" i="17" l="1"/>
  <c r="N437" i="17" l="1"/>
  <c r="N438" i="17" s="1"/>
  <c r="D6" i="27" l="1"/>
  <c r="I6" i="27" s="1"/>
  <c r="D3" i="28" l="1"/>
  <c r="H11" i="26" l="1"/>
  <c r="Q4" i="22" l="1"/>
  <c r="C19" i="24"/>
  <c r="I19" i="24" l="1"/>
  <c r="J19" i="24"/>
  <c r="C31" i="24"/>
  <c r="E31" i="24" s="1"/>
  <c r="C18" i="24"/>
  <c r="C27" i="24"/>
  <c r="C28" i="24"/>
  <c r="C30" i="24"/>
  <c r="C32" i="24"/>
  <c r="C33" i="24"/>
  <c r="C34" i="24"/>
  <c r="I34" i="24" s="1"/>
  <c r="E19" i="24"/>
  <c r="F19" i="24"/>
  <c r="C38" i="24"/>
  <c r="L4" i="22"/>
  <c r="J55" i="11"/>
  <c r="J57" i="11" s="1"/>
  <c r="J61" i="11" l="1"/>
  <c r="I38" i="24"/>
  <c r="J38" i="24"/>
  <c r="C42" i="24"/>
  <c r="E42" i="24" s="1"/>
  <c r="U45" i="25"/>
  <c r="F31" i="24"/>
  <c r="E32" i="24"/>
  <c r="I32" i="24"/>
  <c r="J32" i="24"/>
  <c r="I30" i="24"/>
  <c r="J30" i="24"/>
  <c r="I28" i="24"/>
  <c r="J28" i="24"/>
  <c r="I27" i="24"/>
  <c r="J27" i="24"/>
  <c r="J18" i="24"/>
  <c r="I18" i="24"/>
  <c r="J31" i="24"/>
  <c r="I31" i="24"/>
  <c r="J33" i="24"/>
  <c r="I33" i="24"/>
  <c r="F30" i="24"/>
  <c r="F28" i="24"/>
  <c r="E30" i="24"/>
  <c r="E28" i="24"/>
  <c r="E18" i="24"/>
  <c r="E34" i="24"/>
  <c r="F27" i="24"/>
  <c r="E27" i="24"/>
  <c r="C26" i="24"/>
  <c r="E33" i="24"/>
  <c r="F33" i="24"/>
  <c r="F32" i="24"/>
  <c r="C40" i="24"/>
  <c r="E38" i="24"/>
  <c r="F38" i="24"/>
  <c r="C44" i="24"/>
  <c r="F42" i="24" l="1"/>
  <c r="J40" i="24"/>
  <c r="I40" i="24"/>
  <c r="U47" i="25"/>
  <c r="H42" i="24"/>
  <c r="I26" i="24"/>
  <c r="J26" i="24"/>
  <c r="E26" i="24"/>
  <c r="F26" i="24"/>
  <c r="F40" i="24"/>
  <c r="E40" i="24"/>
  <c r="F44" i="24"/>
  <c r="E44" i="24"/>
  <c r="J63" i="11"/>
  <c r="I42" i="24" l="1"/>
  <c r="J42" i="24"/>
  <c r="U49" i="25"/>
  <c r="H44" i="24"/>
  <c r="J44" i="24" l="1"/>
  <c r="I44" i="24"/>
  <c r="U55" i="25"/>
  <c r="H46" i="24"/>
  <c r="U53" i="25"/>
  <c r="H50" i="24" s="1"/>
  <c r="C17" i="24" l="1"/>
  <c r="I17" i="24" s="1"/>
  <c r="E17" i="24" l="1"/>
  <c r="F17" i="24"/>
  <c r="F21" i="24" l="1"/>
  <c r="J21" i="24"/>
  <c r="I21" i="24"/>
  <c r="E21" i="24"/>
  <c r="J29" i="24" l="1"/>
  <c r="I29" i="24"/>
  <c r="F29" i="24"/>
  <c r="C36" i="24"/>
  <c r="J36" i="24" l="1"/>
  <c r="I36" i="24"/>
  <c r="E36" i="24"/>
  <c r="F36" i="24"/>
  <c r="D20" i="16" l="1"/>
  <c r="D22" i="16" s="1"/>
  <c r="C21" i="16" s="1"/>
  <c r="D7" i="16"/>
  <c r="D9" i="16" s="1"/>
  <c r="C46" i="24"/>
  <c r="M4" i="22" l="1"/>
  <c r="I46" i="24"/>
  <c r="J46" i="24"/>
  <c r="C8" i="16"/>
  <c r="F46" i="24"/>
  <c r="E46" i="24"/>
  <c r="D11" i="28" l="1"/>
  <c r="C52" i="24" l="1"/>
  <c r="K63" i="11"/>
  <c r="D9" i="28"/>
  <c r="D13" i="28" s="1"/>
  <c r="D7" i="28"/>
  <c r="D18" i="16"/>
  <c r="D24" i="16"/>
  <c r="D25" i="16" s="1"/>
  <c r="H6" i="24"/>
  <c r="P93" i="24"/>
  <c r="C6" i="24"/>
  <c r="I63" i="38"/>
  <c r="I65" i="38"/>
  <c r="U9" i="25"/>
  <c r="U59" i="25"/>
  <c r="H56" i="24" s="1"/>
  <c r="I59" i="38"/>
  <c r="H59" i="38" s="1"/>
  <c r="H22" i="26"/>
  <c r="D4" i="28" s="1"/>
  <c r="E6" i="37"/>
  <c r="J67" i="37" s="1"/>
  <c r="K67" i="37"/>
  <c r="I73" i="38"/>
  <c r="J4" i="22" s="1"/>
  <c r="N4" i="22" s="1"/>
  <c r="E6" i="11"/>
  <c r="D5" i="16" s="1"/>
  <c r="D11" i="16" s="1"/>
  <c r="D12" i="16" s="1"/>
  <c r="J69" i="11"/>
  <c r="H17" i="26"/>
  <c r="U57" i="25" s="1"/>
  <c r="H54" i="24" s="1"/>
  <c r="H20" i="26"/>
  <c r="K65" i="11" s="1"/>
  <c r="C54" i="24" s="1"/>
  <c r="K65" i="37"/>
  <c r="E6" i="38"/>
  <c r="H16" i="26"/>
  <c r="K59" i="37" s="1"/>
  <c r="K59" i="11"/>
  <c r="K61" i="11" s="1"/>
  <c r="C50" i="24" s="1"/>
  <c r="C48" i="24"/>
  <c r="K63" i="37" l="1"/>
  <c r="K61" i="37"/>
  <c r="H65" i="38"/>
  <c r="K65" i="38" s="1"/>
  <c r="H69" i="38"/>
  <c r="K69" i="38" s="1"/>
  <c r="H63" i="38"/>
  <c r="K63" i="38" s="1"/>
  <c r="I69" i="38"/>
  <c r="K4" i="22" s="1"/>
  <c r="O4" i="22" s="1"/>
  <c r="H19" i="26"/>
  <c r="K69" i="11"/>
  <c r="C56" i="24" s="1"/>
  <c r="J65" i="11"/>
  <c r="J65" i="37"/>
  <c r="J67" i="11"/>
  <c r="K67" i="11" s="1"/>
  <c r="N67" i="11" s="1"/>
  <c r="O6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Gray, Amanda</author>
  </authors>
  <commentList>
    <comment ref="G6" authorId="0" shapeId="0" xr:uid="{F34EDC1A-ABD3-471C-99D0-0A1681A7FED5}">
      <text>
        <r>
          <rPr>
            <b/>
            <sz val="9"/>
            <color indexed="81"/>
            <rFont val="Tahoma"/>
            <family val="2"/>
          </rPr>
          <t>Gray, Amanda:</t>
        </r>
        <r>
          <rPr>
            <sz val="9"/>
            <color indexed="81"/>
            <rFont val="Tahoma"/>
            <family val="2"/>
          </rPr>
          <t xml:space="preserve">
This should always be blank
</t>
        </r>
      </text>
    </comment>
    <comment ref="G7" authorId="0" shapeId="0" xr:uid="{44C4A5DF-3C70-4C19-A6DA-2B90FCBE78A4}">
      <text>
        <r>
          <rPr>
            <b/>
            <sz val="9"/>
            <color indexed="81"/>
            <rFont val="Tahoma"/>
            <family val="2"/>
          </rPr>
          <t>Gray, Amanda:</t>
        </r>
        <r>
          <rPr>
            <sz val="9"/>
            <color indexed="81"/>
            <rFont val="Tahoma"/>
            <family val="2"/>
          </rPr>
          <t xml:space="preserve">
This should always be blank</t>
        </r>
      </text>
    </comment>
    <comment ref="E21" authorId="0" shapeId="0" xr:uid="{9144A627-9F8C-444E-B8F9-0B73AE1896FB}">
      <text>
        <r>
          <rPr>
            <b/>
            <sz val="9"/>
            <color indexed="81"/>
            <rFont val="Tahoma"/>
            <family val="2"/>
          </rPr>
          <t>Gray, Amanda:</t>
        </r>
        <r>
          <rPr>
            <sz val="9"/>
            <color indexed="81"/>
            <rFont val="Tahoma"/>
            <family val="2"/>
          </rPr>
          <t xml:space="preserve">
This will be in-place UW at close</t>
        </r>
      </text>
    </comment>
    <comment ref="J21" authorId="0" shapeId="0" xr:uid="{8C4A0AB7-6BF1-420E-85B8-8E40D17F563A}">
      <text>
        <r>
          <rPr>
            <b/>
            <sz val="9"/>
            <color indexed="81"/>
            <rFont val="Tahoma"/>
            <family val="2"/>
          </rPr>
          <t>Gray, Amanda:</t>
        </r>
        <r>
          <rPr>
            <sz val="9"/>
            <color indexed="81"/>
            <rFont val="Tahoma"/>
            <family val="2"/>
          </rPr>
          <t xml:space="preserve">
If we do not have T-12 then use T-6 or T-3 annualized and note what you are using in the header </t>
        </r>
      </text>
    </comment>
    <comment ref="K21" authorId="0" shapeId="0" xr:uid="{1B8ABF85-6611-432E-970F-DBA4032D5363}">
      <text>
        <r>
          <rPr>
            <b/>
            <sz val="9"/>
            <color indexed="81"/>
            <rFont val="Tahoma"/>
            <family val="2"/>
          </rPr>
          <t>Gray, Amanda:</t>
        </r>
        <r>
          <rPr>
            <sz val="9"/>
            <color indexed="81"/>
            <rFont val="Tahoma"/>
            <family val="2"/>
          </rPr>
          <t xml:space="preserve">
Per the NOI definition in the loans to be snipped and pasted on this sheet for reference </t>
        </r>
      </text>
    </comment>
    <comment ref="L21" authorId="0" shapeId="0" xr:uid="{B4C3AF50-D703-48F5-BEBD-FE5AC72A16F1}">
      <text>
        <r>
          <rPr>
            <b/>
            <sz val="9"/>
            <color indexed="81"/>
            <rFont val="Tahoma"/>
            <family val="2"/>
          </rPr>
          <t>Gray, Amanda:</t>
        </r>
        <r>
          <rPr>
            <sz val="9"/>
            <color indexed="81"/>
            <rFont val="Tahoma"/>
            <family val="2"/>
          </rPr>
          <t xml:space="preserve">
If any assumptions are different from the NOI definition for any reason please note them here.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Carlon</author>
  </authors>
  <commentList>
    <comment ref="E8" authorId="0" shapeId="0" xr:uid="{E519B961-C5F6-47C9-8972-649393B8A2FB}">
      <text>
        <r>
          <rPr>
            <b/>
            <sz val="9"/>
            <color indexed="81"/>
            <rFont val="Tahoma"/>
            <family val="2"/>
          </rPr>
          <t>Alex Carlon:</t>
        </r>
        <r>
          <rPr>
            <sz val="9"/>
            <color indexed="81"/>
            <rFont val="Tahoma"/>
            <family val="2"/>
          </rPr>
          <t xml:space="preserve">
Data tab –&gt; What-If Analysis –&gt; Goal Seek (inputs below):
 - Set cell: link to 'Resulting DY'
 - To value: enter 'Target DY'
 - By changinging cell: link to 'Additional Net Cash Flow'</t>
        </r>
      </text>
    </comment>
    <comment ref="E21" authorId="0" shapeId="0" xr:uid="{C8D2EF41-FB65-44B8-9AD0-2FF5306E20CD}">
      <text>
        <r>
          <rPr>
            <b/>
            <sz val="9"/>
            <color indexed="81"/>
            <rFont val="Tahoma"/>
            <family val="2"/>
          </rPr>
          <t>Alex Carlon:</t>
        </r>
        <r>
          <rPr>
            <sz val="9"/>
            <color indexed="81"/>
            <rFont val="Tahoma"/>
            <family val="2"/>
          </rPr>
          <t xml:space="preserve">
Data tab –&gt; What-If Analysis –&gt; Goal Seek (inputs below):
 - Set cell: link to 'Resulting DSCR' 
 - To value: link to 'Target DSCR' 
 - By changinging cell: link to 'Additional Net Cash Flow'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Gray, Amanda</author>
  </authors>
  <commentList>
    <comment ref="G6" authorId="0" shapeId="0" xr:uid="{C7184BE0-6CAB-489A-A097-C6046CA217F0}">
      <text>
        <r>
          <rPr>
            <b/>
            <sz val="9"/>
            <color indexed="81"/>
            <rFont val="Tahoma"/>
            <family val="2"/>
          </rPr>
          <t>Gray, Amanda:</t>
        </r>
        <r>
          <rPr>
            <sz val="9"/>
            <color indexed="81"/>
            <rFont val="Tahoma"/>
            <family val="2"/>
          </rPr>
          <t xml:space="preserve">
This should always be blank
</t>
        </r>
      </text>
    </comment>
    <comment ref="G7" authorId="0" shapeId="0" xr:uid="{7D7ED1BF-DD1B-47CD-A4B0-80BED901E584}">
      <text>
        <r>
          <rPr>
            <b/>
            <sz val="9"/>
            <color indexed="81"/>
            <rFont val="Tahoma"/>
            <family val="2"/>
          </rPr>
          <t>Gray, Amanda:</t>
        </r>
        <r>
          <rPr>
            <sz val="9"/>
            <color indexed="81"/>
            <rFont val="Tahoma"/>
            <family val="2"/>
          </rPr>
          <t xml:space="preserve">
This should always be blank</t>
        </r>
      </text>
    </comment>
    <comment ref="E21" authorId="0" shapeId="0" xr:uid="{AEC67E60-207A-46AE-B3D5-EDC2D7D7C890}">
      <text>
        <r>
          <rPr>
            <b/>
            <sz val="9"/>
            <color indexed="81"/>
            <rFont val="Tahoma"/>
            <family val="2"/>
          </rPr>
          <t>Gray, Amanda:</t>
        </r>
        <r>
          <rPr>
            <sz val="9"/>
            <color indexed="81"/>
            <rFont val="Tahoma"/>
            <family val="2"/>
          </rPr>
          <t xml:space="preserve">
This will be in-place UW at close</t>
        </r>
      </text>
    </comment>
    <comment ref="J21" authorId="0" shapeId="0" xr:uid="{4CC61704-4671-47E1-8700-1B01890052F6}">
      <text>
        <r>
          <rPr>
            <b/>
            <sz val="9"/>
            <color indexed="81"/>
            <rFont val="Tahoma"/>
            <family val="2"/>
          </rPr>
          <t>Gray, Amanda:</t>
        </r>
        <r>
          <rPr>
            <sz val="9"/>
            <color indexed="81"/>
            <rFont val="Tahoma"/>
            <family val="2"/>
          </rPr>
          <t xml:space="preserve">
If we do not have T-12 then use T-6 or T-3 annualized and note what you are using in the header </t>
        </r>
      </text>
    </comment>
    <comment ref="K21" authorId="0" shapeId="0" xr:uid="{4F1FB361-6D47-4084-9109-CAAAB7BC062F}">
      <text>
        <r>
          <rPr>
            <b/>
            <sz val="9"/>
            <color indexed="81"/>
            <rFont val="Tahoma"/>
            <family val="2"/>
          </rPr>
          <t>Gray, Amanda:</t>
        </r>
        <r>
          <rPr>
            <sz val="9"/>
            <color indexed="81"/>
            <rFont val="Tahoma"/>
            <family val="2"/>
          </rPr>
          <t xml:space="preserve">
Per the NOI definition in the loans to be snipped and pasted on this sheet for reference </t>
        </r>
      </text>
    </comment>
    <comment ref="L21" authorId="0" shapeId="0" xr:uid="{DA3C4035-2A12-406F-8969-77A6AD44E967}">
      <text>
        <r>
          <rPr>
            <b/>
            <sz val="9"/>
            <color indexed="81"/>
            <rFont val="Tahoma"/>
            <family val="2"/>
          </rPr>
          <t>Gray, Amanda:</t>
        </r>
        <r>
          <rPr>
            <sz val="9"/>
            <color indexed="81"/>
            <rFont val="Tahoma"/>
            <family val="2"/>
          </rPr>
          <t xml:space="preserve">
If any assumptions are different from the NOI definition for any reason please note them here.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tc={018AD74D-F648-476E-98A0-259B8C15F597}</author>
  </authors>
  <commentList>
    <comment ref="O135" authorId="0" shapeId="0" xr:uid="{018AD74D-F648-476E-98A0-259B8C15F597}">
      <text>
        <t>[Threaded comment]
Your version of Excel allows you to read this threaded comment; however, any edits to it will get removed if the file is opened in a newer version of Excel. Learn more: https://go.microsoft.com/fwlink/?linkid=870924
Comment:
    Flipped sign</t>
      </text>
    </comment>
  </commentList>
</comments>
</file>

<file path=xl/sharedStrings.xml><?xml version="1.0" encoding="utf-8"?>
<sst xmlns="http://schemas.openxmlformats.org/spreadsheetml/2006/main" count="7379" uniqueCount="2550">
  <si>
    <t>CREFC Investor Reporting Package</t>
  </si>
  <si>
    <t xml:space="preserve"> PROPERTY OVERVIEW</t>
  </si>
  <si>
    <t>Allocated Loan Amount/Percentage</t>
  </si>
  <si>
    <t>Property ID</t>
  </si>
  <si>
    <t>1001-001</t>
  </si>
  <si>
    <t>Paid Thru Date</t>
  </si>
  <si>
    <t>Debt Outside Trust (1)</t>
  </si>
  <si>
    <t>$</t>
  </si>
  <si>
    <t>%</t>
  </si>
  <si>
    <t xml:space="preserve">      Note A-Scheduled Loan Balance</t>
  </si>
  <si>
    <t xml:space="preserve">      Note B-Scheduled Loan Balance</t>
  </si>
  <si>
    <t xml:space="preserve">      Property Name</t>
  </si>
  <si>
    <t xml:space="preserve">      Property Type</t>
  </si>
  <si>
    <t xml:space="preserve">      Property Address, City, State</t>
  </si>
  <si>
    <t xml:space="preserve">      Current Net Rentable SF/Units/Beds/Rooms</t>
  </si>
  <si>
    <t xml:space="preserve">      Year Built/Year Renovated</t>
  </si>
  <si>
    <t xml:space="preserve">      Cap Ex Reserve (annually)/per Unit.etc. (2)</t>
  </si>
  <si>
    <t xml:space="preserve">      Statement Ending Date</t>
  </si>
  <si>
    <t xml:space="preserve">      Occupancy Rate (physical)</t>
  </si>
  <si>
    <t xml:space="preserve">      Occupancy Date</t>
  </si>
  <si>
    <t>(2) Total $ amount of Capital Reserves required annually by loan documents</t>
  </si>
  <si>
    <t xml:space="preserve">  INCOME:</t>
  </si>
  <si>
    <t xml:space="preserve">      Number of Mos. Covered</t>
  </si>
  <si>
    <t xml:space="preserve">      Period Ended</t>
  </si>
  <si>
    <t>At Contribution</t>
  </si>
  <si>
    <t>Information</t>
  </si>
  <si>
    <t xml:space="preserve">      Gross Potential Rent (3)</t>
  </si>
  <si>
    <t xml:space="preserve">         Less: Vacancy Loss</t>
  </si>
  <si>
    <t>OR</t>
  </si>
  <si>
    <r>
      <t xml:space="preserve">      Base Rent</t>
    </r>
    <r>
      <rPr>
        <sz val="8"/>
        <rFont val="Arial"/>
        <family val="2"/>
      </rPr>
      <t xml:space="preserve"> (3)</t>
    </r>
  </si>
  <si>
    <t xml:space="preserve">      Parking Income</t>
  </si>
  <si>
    <t xml:space="preserve">      Other Income</t>
  </si>
  <si>
    <t xml:space="preserve">  *Effective Gross Income</t>
  </si>
  <si>
    <t>(3) Use either Gross Potential (with Vacancy Loss) or Base Rents; use negative $amt for Vacancy Loss</t>
  </si>
  <si>
    <t xml:space="preserve">  OPERATING EXPENSES:</t>
  </si>
  <si>
    <t xml:space="preserve">      Real Estate Taxes</t>
  </si>
  <si>
    <t xml:space="preserve">      Property Insurance</t>
  </si>
  <si>
    <t xml:space="preserve">      Utilities </t>
  </si>
  <si>
    <t xml:space="preserve">      Repairs and Maintenance</t>
  </si>
  <si>
    <t xml:space="preserve">      Management Fees</t>
  </si>
  <si>
    <t xml:space="preserve">      Payroll &amp; Benefits </t>
  </si>
  <si>
    <t xml:space="preserve">      Advertising &amp; Marketing</t>
  </si>
  <si>
    <t xml:space="preserve">      Professional Fees</t>
  </si>
  <si>
    <t xml:space="preserve">      General and Administrative</t>
  </si>
  <si>
    <t xml:space="preserve">      Other Expenses</t>
  </si>
  <si>
    <t xml:space="preserve">      Ground Rent</t>
  </si>
  <si>
    <t xml:space="preserve"> *Total Operating Expenses</t>
  </si>
  <si>
    <t xml:space="preserve">  Operating Expense Ratio</t>
  </si>
  <si>
    <t xml:space="preserve"> *Net Operating Income</t>
  </si>
  <si>
    <t xml:space="preserve">      Capital Expenditures</t>
  </si>
  <si>
    <t xml:space="preserve">      Extraordinary Capital Expenditures</t>
  </si>
  <si>
    <t xml:space="preserve">  Total Capital Items</t>
  </si>
  <si>
    <t xml:space="preserve"> *Net Cash Flow</t>
  </si>
  <si>
    <t xml:space="preserve">  Debt Service - A Note</t>
  </si>
  <si>
    <t xml:space="preserve"> *Net Cash Flow after Debt Service</t>
  </si>
  <si>
    <t xml:space="preserve">  Source of Financial Data:</t>
  </si>
  <si>
    <r>
      <t>MULTIFAMILY OPERATING STATEMENT ANALYSIS REPORT</t>
    </r>
    <r>
      <rPr>
        <b/>
        <i/>
        <sz val="12"/>
        <rFont val="Arial"/>
        <family val="2"/>
      </rPr>
      <t xml:space="preserve"> </t>
    </r>
    <r>
      <rPr>
        <i/>
        <sz val="12"/>
        <rFont val="Arial"/>
        <family val="2"/>
      </rPr>
      <t>(includes Mobile Home Parks, Single Family Rentals, and Co-ops)</t>
    </r>
  </si>
  <si>
    <t>Notes</t>
  </si>
  <si>
    <t>Total</t>
  </si>
  <si>
    <t>Units</t>
  </si>
  <si>
    <t>MF</t>
  </si>
  <si>
    <t xml:space="preserve">      Delinquent Rent</t>
  </si>
  <si>
    <t>per unit</t>
  </si>
  <si>
    <t>Loss to Lease</t>
  </si>
  <si>
    <t>Other Income</t>
  </si>
  <si>
    <t>Pet Fees</t>
  </si>
  <si>
    <t>Bad Debt Write Off</t>
  </si>
  <si>
    <t>Write Off-Rent</t>
  </si>
  <si>
    <t>Write Off-Other</t>
  </si>
  <si>
    <t>Bad Debt-Recovery</t>
  </si>
  <si>
    <t>TOTAL Bad Debt Write Off</t>
  </si>
  <si>
    <t>TOTAL Operating Income</t>
  </si>
  <si>
    <t>Operating Expenses</t>
  </si>
  <si>
    <t>Salary Expenses</t>
  </si>
  <si>
    <t>Resident Manager</t>
  </si>
  <si>
    <t>Assistant Manager</t>
  </si>
  <si>
    <t>Leasing Consultant</t>
  </si>
  <si>
    <t>Maintenance Supervisor</t>
  </si>
  <si>
    <t>Maintenance Mechanic</t>
  </si>
  <si>
    <t>Bonus &amp; Incentives</t>
  </si>
  <si>
    <t>Employee Relations</t>
  </si>
  <si>
    <t>Employee Education</t>
  </si>
  <si>
    <t>Payroll Processing</t>
  </si>
  <si>
    <t>Payroll Taxes</t>
  </si>
  <si>
    <t>Worker's Compensation</t>
  </si>
  <si>
    <t>Insurance Benefits</t>
  </si>
  <si>
    <t>401k - Matching</t>
  </si>
  <si>
    <t>TOTAL Salary Expenses</t>
  </si>
  <si>
    <t>Marketing Expenses</t>
  </si>
  <si>
    <t>Marketing Software</t>
  </si>
  <si>
    <t>Website</t>
  </si>
  <si>
    <t>Office Hospitality</t>
  </si>
  <si>
    <t>Reputation Management</t>
  </si>
  <si>
    <t>Referral Program</t>
  </si>
  <si>
    <t>Promotional Materials</t>
  </si>
  <si>
    <t>Shopping Reports</t>
  </si>
  <si>
    <t>TOTAL Marketing Expenses</t>
  </si>
  <si>
    <t>Taxes and Insurance Expenses</t>
  </si>
  <si>
    <t>Real Property Taxes</t>
  </si>
  <si>
    <t>Insurance</t>
  </si>
  <si>
    <t>TOTAL Taxes and Insurance Expenses</t>
  </si>
  <si>
    <t>Turnover Costs</t>
  </si>
  <si>
    <t>T/O-Cleaning Contract</t>
  </si>
  <si>
    <t>T/O-Painting &amp; Wall Covering</t>
  </si>
  <si>
    <t>T/O-Recovery</t>
  </si>
  <si>
    <t>T/O-Floor Covering Cl &amp; Rpr</t>
  </si>
  <si>
    <t>TOTAL Turnover Costs</t>
  </si>
  <si>
    <t>Repairs and Maintenance Expenses</t>
  </si>
  <si>
    <t>Appliances</t>
  </si>
  <si>
    <t>Cleaning-Contract</t>
  </si>
  <si>
    <t>Cleaning-Supplies</t>
  </si>
  <si>
    <t>Electrical Services</t>
  </si>
  <si>
    <t>Electrical Supplies</t>
  </si>
  <si>
    <t>Exterminators</t>
  </si>
  <si>
    <t>Fire Protection Supplies</t>
  </si>
  <si>
    <t>HVAC-Contract</t>
  </si>
  <si>
    <t>HVAC-Supplies</t>
  </si>
  <si>
    <t>Keys &amp; Locks</t>
  </si>
  <si>
    <t>General Maintenance</t>
  </si>
  <si>
    <t>Landscaping Contract</t>
  </si>
  <si>
    <t>Landscaping-Irrigation</t>
  </si>
  <si>
    <t>Landscaping Flowers/Plants</t>
  </si>
  <si>
    <t>Garage Maintenance</t>
  </si>
  <si>
    <t>Light Bulbs</t>
  </si>
  <si>
    <t>Plumbing Services</t>
  </si>
  <si>
    <t>Plumbing Supplies</t>
  </si>
  <si>
    <t>Pools &amp; Fountains</t>
  </si>
  <si>
    <t>Security Contract</t>
  </si>
  <si>
    <t>Small Tools</t>
  </si>
  <si>
    <t>Uniforms</t>
  </si>
  <si>
    <t>R&amp;M Billbacks</t>
  </si>
  <si>
    <t>TOTAL Repairs and Maintenance Expenses</t>
  </si>
  <si>
    <t>Utilities Expenses</t>
  </si>
  <si>
    <t>Electricity</t>
  </si>
  <si>
    <t>Electricity-Vacant Units</t>
  </si>
  <si>
    <t>Gas</t>
  </si>
  <si>
    <t>Water</t>
  </si>
  <si>
    <t>Sewer</t>
  </si>
  <si>
    <t>Rubbish Removal</t>
  </si>
  <si>
    <t>Telephone</t>
  </si>
  <si>
    <t>Utility Billing Admin Fees</t>
  </si>
  <si>
    <t>Utility Admin Fee Reimb</t>
  </si>
  <si>
    <t>Tenant Utility Reimburse Income</t>
  </si>
  <si>
    <t>TOTAL Utilities Expenses</t>
  </si>
  <si>
    <t>General and Administrative Expenses</t>
  </si>
  <si>
    <t>Property Management Fees</t>
  </si>
  <si>
    <t>Legal Fees</t>
  </si>
  <si>
    <t>Legal Fee Reimb</t>
  </si>
  <si>
    <t>Bank Charges</t>
  </si>
  <si>
    <t>Computer Licenses &amp; Supplies</t>
  </si>
  <si>
    <t>Courier &amp; Postage</t>
  </si>
  <si>
    <t>Credit Checks</t>
  </si>
  <si>
    <t>Dues &amp; Subscriptions</t>
  </si>
  <si>
    <t>Licenses &amp; Permits</t>
  </si>
  <si>
    <t>Office Supplies</t>
  </si>
  <si>
    <t>Answering Service</t>
  </si>
  <si>
    <t>TOTAL General and Administrative Expenses</t>
  </si>
  <si>
    <t>TOTAL Operating Expenses</t>
  </si>
  <si>
    <t>TOTAL Net Operating Income</t>
  </si>
  <si>
    <t>Debt Service</t>
  </si>
  <si>
    <t>Interest First Trust Deed</t>
  </si>
  <si>
    <t>TOTAL Debt Service</t>
  </si>
  <si>
    <t>TOTAL Operating Income After Debt Service</t>
  </si>
  <si>
    <t>Replacements and Major Repairs</t>
  </si>
  <si>
    <t>Doors</t>
  </si>
  <si>
    <t>Floor Coverings</t>
  </si>
  <si>
    <t>HVAC</t>
  </si>
  <si>
    <t>Interior Building</t>
  </si>
  <si>
    <t>Privacy Gates</t>
  </si>
  <si>
    <t>TOTAL Replacements and Major Repairs</t>
  </si>
  <si>
    <t>TOTAL Operating Income/(Loss)</t>
  </si>
  <si>
    <t>Non-Operating Income/Expenses</t>
  </si>
  <si>
    <t>Partnership Other</t>
  </si>
  <si>
    <t>TOTAL Non-Operating Income/Expenses</t>
  </si>
  <si>
    <t>TOTAL Distributable Cashflow/(Deficit)</t>
  </si>
  <si>
    <t>Contributions/(Distributions)</t>
  </si>
  <si>
    <t>Capital-General Partners</t>
  </si>
  <si>
    <t>TOTAL Contributions/(Distributions)</t>
  </si>
  <si>
    <t>TOTAL Net After Distributions</t>
  </si>
  <si>
    <t>Replacement Reserves</t>
  </si>
  <si>
    <t>TOTAL Increase/(Decrease) in Cash Position</t>
  </si>
  <si>
    <t>Arboretum at South Mountain</t>
  </si>
  <si>
    <t>Unit</t>
  </si>
  <si>
    <t>Name</t>
  </si>
  <si>
    <t>Balance</t>
  </si>
  <si>
    <t>VACANT</t>
  </si>
  <si>
    <t>58822B2B</t>
  </si>
  <si>
    <t>58811A2B</t>
  </si>
  <si>
    <t>Occupancy</t>
  </si>
  <si>
    <t>Occupied</t>
  </si>
  <si>
    <t>Totals:</t>
  </si>
  <si>
    <t>Overtime - Office Staff</t>
  </si>
  <si>
    <t>Overtime - Maintenance Staff</t>
  </si>
  <si>
    <t>Resident Functions</t>
  </si>
  <si>
    <t>Operational Software</t>
  </si>
  <si>
    <t>Spread</t>
  </si>
  <si>
    <t>DY</t>
  </si>
  <si>
    <t>Target DY</t>
  </si>
  <si>
    <r>
      <rPr>
        <sz val="10"/>
        <color theme="1"/>
        <rFont val="Wingdings"/>
        <charset val="2"/>
      </rPr>
      <t>ß</t>
    </r>
    <r>
      <rPr>
        <sz val="10"/>
        <rFont val="Arial"/>
        <family val="2"/>
      </rPr>
      <t xml:space="preserve"> enter DY threshold </t>
    </r>
  </si>
  <si>
    <t>Outstanding Principal</t>
  </si>
  <si>
    <r>
      <rPr>
        <sz val="10"/>
        <color theme="1"/>
        <rFont val="Wingdings"/>
        <charset val="2"/>
      </rPr>
      <t>ß</t>
    </r>
    <r>
      <rPr>
        <sz val="10"/>
        <rFont val="Arial"/>
        <family val="2"/>
      </rPr>
      <t xml:space="preserve"> link to total UPB</t>
    </r>
  </si>
  <si>
    <t>Current Net Cash Flow</t>
  </si>
  <si>
    <r>
      <rPr>
        <sz val="10"/>
        <color theme="1"/>
        <rFont val="Wingdings"/>
        <charset val="2"/>
      </rPr>
      <t>ß</t>
    </r>
    <r>
      <rPr>
        <sz val="10"/>
        <rFont val="Arial"/>
        <family val="2"/>
      </rPr>
      <t xml:space="preserve"> link to Net Cash Flow</t>
    </r>
  </si>
  <si>
    <t>Additional Net Cash Flow</t>
  </si>
  <si>
    <r>
      <rPr>
        <sz val="10"/>
        <color theme="1"/>
        <rFont val="Wingdings"/>
        <charset val="2"/>
      </rPr>
      <t>ß</t>
    </r>
    <r>
      <rPr>
        <sz val="10"/>
        <rFont val="Arial"/>
        <family val="2"/>
      </rPr>
      <t xml:space="preserve"> 'Goal Seek'</t>
    </r>
  </si>
  <si>
    <t>Total Net Cash Flow</t>
  </si>
  <si>
    <t>Resulting DY</t>
  </si>
  <si>
    <t>DSCR</t>
  </si>
  <si>
    <t>Target DSCR</t>
  </si>
  <si>
    <r>
      <rPr>
        <sz val="10"/>
        <color theme="1"/>
        <rFont val="Wingdings"/>
        <charset val="2"/>
      </rPr>
      <t>ß</t>
    </r>
    <r>
      <rPr>
        <sz val="10"/>
        <rFont val="Arial"/>
        <family val="2"/>
      </rPr>
      <t xml:space="preserve"> enter DSCR threshold </t>
    </r>
  </si>
  <si>
    <r>
      <rPr>
        <sz val="10"/>
        <color theme="1"/>
        <rFont val="Wingdings"/>
        <charset val="2"/>
      </rPr>
      <t>ß</t>
    </r>
    <r>
      <rPr>
        <sz val="10"/>
        <rFont val="Arial"/>
        <family val="2"/>
      </rPr>
      <t xml:space="preserve"> link to Forward-12 Debt Service</t>
    </r>
  </si>
  <si>
    <t>Resulting DSCR</t>
  </si>
  <si>
    <t>Security Fire Alarm Monitor</t>
  </si>
  <si>
    <t>Effective Interest Rate</t>
  </si>
  <si>
    <t>NOI</t>
  </si>
  <si>
    <t>Management Fee</t>
  </si>
  <si>
    <t xml:space="preserve">8615.0000 </t>
  </si>
  <si>
    <t xml:space="preserve">8618.0000 </t>
  </si>
  <si>
    <t xml:space="preserve">8630.0000 </t>
  </si>
  <si>
    <t xml:space="preserve">8618.9999 </t>
  </si>
  <si>
    <t xml:space="preserve">8011.0000 </t>
  </si>
  <si>
    <t xml:space="preserve">8012.0000 </t>
  </si>
  <si>
    <t xml:space="preserve">8033.0000 </t>
  </si>
  <si>
    <t xml:space="preserve">8041.0000 </t>
  </si>
  <si>
    <t xml:space="preserve">8042.0000 </t>
  </si>
  <si>
    <t xml:space="preserve">8051.0000 </t>
  </si>
  <si>
    <t xml:space="preserve">8055.0000 </t>
  </si>
  <si>
    <t xml:space="preserve">8056.0000 </t>
  </si>
  <si>
    <t xml:space="preserve">8062.0000 </t>
  </si>
  <si>
    <t xml:space="preserve">8063.0000 </t>
  </si>
  <si>
    <t xml:space="preserve">8065.0000 </t>
  </si>
  <si>
    <t xml:space="preserve">8081.0000 </t>
  </si>
  <si>
    <t xml:space="preserve">8082.0000 </t>
  </si>
  <si>
    <t xml:space="preserve">8083.0000 </t>
  </si>
  <si>
    <t xml:space="preserve">8084.0000 </t>
  </si>
  <si>
    <t xml:space="preserve">8099.9999 </t>
  </si>
  <si>
    <t xml:space="preserve">8533.0000 </t>
  </si>
  <si>
    <t xml:space="preserve">8534.0000 </t>
  </si>
  <si>
    <t xml:space="preserve">8535.0000 </t>
  </si>
  <si>
    <t xml:space="preserve">8538.0000 </t>
  </si>
  <si>
    <t xml:space="preserve">8540.0000 </t>
  </si>
  <si>
    <t>Pay Per Lease</t>
  </si>
  <si>
    <t xml:space="preserve">8542.0000 </t>
  </si>
  <si>
    <t xml:space="preserve">8555.0000 </t>
  </si>
  <si>
    <t xml:space="preserve">8560.0000 </t>
  </si>
  <si>
    <t xml:space="preserve">8570.0000 </t>
  </si>
  <si>
    <t xml:space="preserve">8599.9999 </t>
  </si>
  <si>
    <t xml:space="preserve">8310.0000 </t>
  </si>
  <si>
    <t xml:space="preserve">8350.0000 </t>
  </si>
  <si>
    <t xml:space="preserve">8399.9999 </t>
  </si>
  <si>
    <t xml:space="preserve">8201.0000 </t>
  </si>
  <si>
    <t xml:space="preserve">8204.0000 </t>
  </si>
  <si>
    <t xml:space="preserve">8205.0000 </t>
  </si>
  <si>
    <t xml:space="preserve">8206.0000 </t>
  </si>
  <si>
    <t xml:space="preserve">8209.9999 </t>
  </si>
  <si>
    <t xml:space="preserve">8211.0000 </t>
  </si>
  <si>
    <t xml:space="preserve">8221.0000 </t>
  </si>
  <si>
    <t xml:space="preserve">8225.0000 </t>
  </si>
  <si>
    <t xml:space="preserve">8235.0000 </t>
  </si>
  <si>
    <t xml:space="preserve">8236.0000 </t>
  </si>
  <si>
    <t xml:space="preserve">8242.0000 </t>
  </si>
  <si>
    <t xml:space="preserve">8243.0000 </t>
  </si>
  <si>
    <t xml:space="preserve">8245.0000 </t>
  </si>
  <si>
    <t xml:space="preserve">8246.0000 </t>
  </si>
  <si>
    <t xml:space="preserve">8249.0000 </t>
  </si>
  <si>
    <t xml:space="preserve">8250.0000 </t>
  </si>
  <si>
    <t xml:space="preserve">8251.0000 </t>
  </si>
  <si>
    <t xml:space="preserve">8255.0000 </t>
  </si>
  <si>
    <t xml:space="preserve">8256.0000 </t>
  </si>
  <si>
    <t xml:space="preserve">8260.0000 </t>
  </si>
  <si>
    <t xml:space="preserve">8261.0000 </t>
  </si>
  <si>
    <t xml:space="preserve">8266.0000 </t>
  </si>
  <si>
    <t xml:space="preserve">8268.0000 </t>
  </si>
  <si>
    <t xml:space="preserve">8272.0000 </t>
  </si>
  <si>
    <t xml:space="preserve">8278.0000 </t>
  </si>
  <si>
    <t xml:space="preserve">8278.0100 </t>
  </si>
  <si>
    <t xml:space="preserve">8282.0000 </t>
  </si>
  <si>
    <t xml:space="preserve">8286.0000 </t>
  </si>
  <si>
    <t xml:space="preserve">8298.0000 </t>
  </si>
  <si>
    <t xml:space="preserve">8299.9999 </t>
  </si>
  <si>
    <t xml:space="preserve">8111.0000 </t>
  </si>
  <si>
    <t xml:space="preserve">8112.0000 </t>
  </si>
  <si>
    <t xml:space="preserve">8121.0000 </t>
  </si>
  <si>
    <t xml:space="preserve">8131.0000 </t>
  </si>
  <si>
    <t xml:space="preserve">8132.0000 </t>
  </si>
  <si>
    <t xml:space="preserve">8141.0000 </t>
  </si>
  <si>
    <t xml:space="preserve">8151.0000 </t>
  </si>
  <si>
    <t xml:space="preserve">8161.0000 </t>
  </si>
  <si>
    <t xml:space="preserve">8163.0000 </t>
  </si>
  <si>
    <t xml:space="preserve">8162.0000 </t>
  </si>
  <si>
    <t xml:space="preserve">8199.9999 </t>
  </si>
  <si>
    <t xml:space="preserve">8450.0000 </t>
  </si>
  <si>
    <t xml:space="preserve">8490.0000 </t>
  </si>
  <si>
    <t xml:space="preserve">8492.0000 </t>
  </si>
  <si>
    <t xml:space="preserve">8620.0000 </t>
  </si>
  <si>
    <t xml:space="preserve">8636.0000 </t>
  </si>
  <si>
    <t xml:space="preserve">8637.0000 </t>
  </si>
  <si>
    <t xml:space="preserve">8640.0000 </t>
  </si>
  <si>
    <t xml:space="preserve">8644.0000 </t>
  </si>
  <si>
    <t xml:space="preserve">8648.0000 </t>
  </si>
  <si>
    <t xml:space="preserve">8656.0000 </t>
  </si>
  <si>
    <t xml:space="preserve">8672.0000 </t>
  </si>
  <si>
    <t xml:space="preserve">8677.0000 </t>
  </si>
  <si>
    <t xml:space="preserve">8699.1000 </t>
  </si>
  <si>
    <t xml:space="preserve">8710.0000 </t>
  </si>
  <si>
    <t xml:space="preserve">8799.9999 </t>
  </si>
  <si>
    <t xml:space="preserve">8901.0000 </t>
  </si>
  <si>
    <t xml:space="preserve">8919.0000 </t>
  </si>
  <si>
    <t xml:space="preserve">8935.0000 </t>
  </si>
  <si>
    <t xml:space="preserve">8939.0000 </t>
  </si>
  <si>
    <t xml:space="preserve">8945.0000 </t>
  </si>
  <si>
    <t xml:space="preserve">8995.9999 </t>
  </si>
  <si>
    <t xml:space="preserve">8898.0000 </t>
  </si>
  <si>
    <t xml:space="preserve">8898.9998 </t>
  </si>
  <si>
    <t xml:space="preserve">3111.0000 </t>
  </si>
  <si>
    <t xml:space="preserve">3199.9999 </t>
  </si>
  <si>
    <t>Market Rent</t>
  </si>
  <si>
    <t>UPB</t>
  </si>
  <si>
    <t>QoQ ∆</t>
  </si>
  <si>
    <t>Cash Management</t>
  </si>
  <si>
    <t>Property</t>
  </si>
  <si>
    <t>In CM?</t>
  </si>
  <si>
    <t>Threshold</t>
  </si>
  <si>
    <t>T12</t>
  </si>
  <si>
    <t>3Q 2023</t>
  </si>
  <si>
    <t>4Q 2023</t>
  </si>
  <si>
    <t>2Q 2024</t>
  </si>
  <si>
    <t xml:space="preserve"> </t>
  </si>
  <si>
    <t>OSAR Code</t>
  </si>
  <si>
    <t>Unit Type</t>
  </si>
  <si>
    <t xml:space="preserve">8232.0000 </t>
  </si>
  <si>
    <t>Common Area Expense</t>
  </si>
  <si>
    <t xml:space="preserve">8252.0000 </t>
  </si>
  <si>
    <t>Landscaping - Tree Trimming</t>
  </si>
  <si>
    <t xml:space="preserve">8274.0000 </t>
  </si>
  <si>
    <t>An. Scheduled Base Rental Revenue</t>
  </si>
  <si>
    <t>Mo. Scheduled Base Rental Revenue</t>
  </si>
  <si>
    <t>QoQ Change</t>
  </si>
  <si>
    <t>Average In-Place Rent</t>
  </si>
  <si>
    <t>Average Market Rent</t>
  </si>
  <si>
    <t>Variance</t>
  </si>
  <si>
    <t>Insurance Premium</t>
  </si>
  <si>
    <t>Average Leases on Renovated Units</t>
  </si>
  <si>
    <t>Post-Renovation U/W Rent per Unit</t>
  </si>
  <si>
    <t>Total Unit Renovation Cost</t>
  </si>
  <si>
    <t>Renovated Units</t>
  </si>
  <si>
    <t>Per Unit Renovation Cost</t>
  </si>
  <si>
    <t>Per Unit Renovation Budget</t>
  </si>
  <si>
    <t>ROI</t>
  </si>
  <si>
    <t>Renovated</t>
  </si>
  <si>
    <t>Annual Premium</t>
  </si>
  <si>
    <t xml:space="preserve">8799.0000 </t>
  </si>
  <si>
    <t>Financing Costs</t>
  </si>
  <si>
    <t xml:space="preserve">8963.0000 </t>
  </si>
  <si>
    <t>Plumbing</t>
  </si>
  <si>
    <t>Actual RE Tax</t>
  </si>
  <si>
    <t>Total Operating Expenses</t>
  </si>
  <si>
    <t>Net Cash Flow</t>
  </si>
  <si>
    <t>Payroll</t>
  </si>
  <si>
    <t>Effective Gross Income</t>
  </si>
  <si>
    <t>YEAR ENDING</t>
  </si>
  <si>
    <t>Borrower</t>
  </si>
  <si>
    <t>INVESTMENT YEAR</t>
  </si>
  <si>
    <t>Investment Year</t>
  </si>
  <si>
    <t>Year Ending</t>
  </si>
  <si>
    <t>Marketing</t>
  </si>
  <si>
    <t>Utilities</t>
  </si>
  <si>
    <t>Budget</t>
  </si>
  <si>
    <t>Average</t>
  </si>
  <si>
    <t>SOFR</t>
  </si>
  <si>
    <t>DSCR (Excluding Rate Cap)</t>
  </si>
  <si>
    <t>DSCR (Including Rate Cap)</t>
  </si>
  <si>
    <t>Effective Capped Interest Rate</t>
  </si>
  <si>
    <t>Rate Cap</t>
  </si>
  <si>
    <t>Broker</t>
  </si>
  <si>
    <t>Submarket</t>
  </si>
  <si>
    <t>Ahwatukee</t>
  </si>
  <si>
    <t>Cushman &amp; Wakefield</t>
  </si>
  <si>
    <t>Costar</t>
  </si>
  <si>
    <t>Chandler</t>
  </si>
  <si>
    <t>Monthly Premium</t>
  </si>
  <si>
    <t>Sponsor Contribution</t>
  </si>
  <si>
    <t>Carry Shortfalls</t>
  </si>
  <si>
    <t>Renovations (Borrower Portion)</t>
  </si>
  <si>
    <t>Renovations (Lender Reimbursed)</t>
  </si>
  <si>
    <t>Target Pace (per month)</t>
  </si>
  <si>
    <t>Target Completion Date</t>
  </si>
  <si>
    <t>Actual Renovation Start Date</t>
  </si>
  <si>
    <t>Total Units to Renovate</t>
  </si>
  <si>
    <t>Months Since Reno Start</t>
  </si>
  <si>
    <t xml:space="preserve">8254.0000 </t>
  </si>
  <si>
    <t>Landscaping - Mulch</t>
  </si>
  <si>
    <t>Amount</t>
  </si>
  <si>
    <t xml:space="preserve">8547.1000 </t>
  </si>
  <si>
    <t>Internet Advertising - SEO</t>
  </si>
  <si>
    <t>Actual Pace (per month)</t>
  </si>
  <si>
    <t xml:space="preserve">8260.0300 </t>
  </si>
  <si>
    <t>Parking Lot Sweeping</t>
  </si>
  <si>
    <t xml:space="preserve">8632.0000 </t>
  </si>
  <si>
    <t>Community Association Dues</t>
  </si>
  <si>
    <t>Code</t>
  </si>
  <si>
    <t>58822B2</t>
  </si>
  <si>
    <t>58811A1</t>
  </si>
  <si>
    <t>58822B1</t>
  </si>
  <si>
    <t>58811A2</t>
  </si>
  <si>
    <t>58832C1</t>
  </si>
  <si>
    <t>312</t>
  </si>
  <si>
    <t>Paydown Analysis</t>
  </si>
  <si>
    <t>Current DY</t>
  </si>
  <si>
    <t>Current Principal</t>
  </si>
  <si>
    <t>Paydown</t>
  </si>
  <si>
    <t>Adjusted Principal</t>
  </si>
  <si>
    <t xml:space="preserve">Why? </t>
  </si>
  <si>
    <t>Financials Performance</t>
  </si>
  <si>
    <t>Maturity and Extension Options</t>
  </si>
  <si>
    <t>Future Funding</t>
  </si>
  <si>
    <t>Market Overview</t>
  </si>
  <si>
    <t>Follow ups</t>
  </si>
  <si>
    <t>2)</t>
  </si>
  <si>
    <t>3)</t>
  </si>
  <si>
    <t>Renovation Update</t>
  </si>
  <si>
    <t>Last Year</t>
  </si>
  <si>
    <t>Submarket Inventory Expansion</t>
  </si>
  <si>
    <t xml:space="preserve">Notes: </t>
  </si>
  <si>
    <t>Total Submarket Inventory (Units)</t>
  </si>
  <si>
    <t>Submarket Vacancy Rate</t>
  </si>
  <si>
    <t>Submarket  Vacancy (Units)</t>
  </si>
  <si>
    <t>Net Absorption QoQ (Units)</t>
  </si>
  <si>
    <t>Net Absorption YTD (Units)</t>
  </si>
  <si>
    <t>Under Construction (Units)</t>
  </si>
  <si>
    <t>Planned (Units)</t>
  </si>
  <si>
    <t xml:space="preserve">According to Cushman &amp; Wakefield 4Q 2023 report, the Ahwatukee submarket rate decreased 2% QoQ to $1,629/unit. The average submarket occupancy is 93.5% with -31 units absorbed this quarter (-131 YTD). With 834 units under construction and an additional 1,111 units planned, we anticipate submarket rents to remain stagnet. </t>
  </si>
  <si>
    <t>The Sponsor has still yet to draw from the $6.7MM of future funding, due to not meeting the 1.00x DSCR funding requirement.</t>
  </si>
  <si>
    <t xml:space="preserve">To my current understanding, this… but I will add this as a follow up item so I can confirm and get back to you. </t>
  </si>
  <si>
    <t>Mark-to-Market</t>
  </si>
  <si>
    <t xml:space="preserve">Why are they still renovating? </t>
  </si>
  <si>
    <t>Renovation Premiums</t>
  </si>
  <si>
    <t>This would require a projected pay down of roughly $23MM ($22.7MM) or a $1.4MM increase in NOI.</t>
  </si>
  <si>
    <t xml:space="preserve">Also, per the February financials, the Property was 92% occupied, so nearly stabilized, with NOI of $3.8MM, which is still 31% below U/W of $5.5MM. Expenses are below U/W, so the main driver here is rental revenue being low due to the Property not achieving the underwritten reno-premiums. </t>
  </si>
  <si>
    <t xml:space="preserve">As requested, we ran a updated DY test, using the February financials, which resulted in a DY of 4.6%. </t>
  </si>
  <si>
    <t>The Sponsor also provided an updated renovation tracker on April 9th, indicating that an additional 24 units have been completed for a total of 240 of 312, and are now only 14 units behind U/W.</t>
  </si>
  <si>
    <t xml:space="preserve">We also perfomed a mark-to-market analysis that is found in the pro forma column. At the time of the analysis, 216 units had been completed, so we marked the remaining 96 units to market rents, which resulted in a $177K increase in NOI, and a slightly higher DSCR of 0.90x and a DY of 4.8%. </t>
  </si>
  <si>
    <t xml:space="preserve">We talked about this one on last month's watchlist call so I will try to report of updates we have received since then, but just as a reminder there is a 6.25% DY extension threshold upon initial maturity in January 2025, which they are unlikely to meet. </t>
  </si>
  <si>
    <t>Per the December financials, the Sponsor had completed 216 units with leases on renovated units achieving an $87 premium over non-renovated units. So still achieving a small premium, but well below the U/W premium of $263.</t>
  </si>
  <si>
    <t>Rent premiums were calculating by comparing renovated vs non-renovated leases, on the same unit type, signed over the last 12 months.</t>
  </si>
  <si>
    <t xml:space="preserve">The Sponsor has decided to continue with the business plan to renovate the remaining units with the expectation that the market will rebound. With that, I will open it up to any questions.  </t>
  </si>
  <si>
    <t>1) Keep an eye out for sales comps in the market, to see if it is impaired.</t>
  </si>
  <si>
    <t>1Q 2024</t>
  </si>
  <si>
    <t>Change</t>
  </si>
  <si>
    <t>Occuapancy</t>
  </si>
  <si>
    <t xml:space="preserve">      Base Rent (3)</t>
  </si>
  <si>
    <t xml:space="preserve"> *DSCR: (Excluding Rate Cap) - A Note</t>
  </si>
  <si>
    <t xml:space="preserve"> *DSCR: (Including Rate Cap) - A Note</t>
  </si>
  <si>
    <t>DSCR Calc tab</t>
  </si>
  <si>
    <t>*Debt Yield (NCF/Debt Balance)</t>
  </si>
  <si>
    <t>Budget DS is inclusive of rate cap proceeds</t>
  </si>
  <si>
    <t>Submarket Rate ($/unit)</t>
  </si>
  <si>
    <t>Unrenovated</t>
  </si>
  <si>
    <t>1 Bedroom</t>
  </si>
  <si>
    <t>2 Bedroom</t>
  </si>
  <si>
    <t>Weighted Average</t>
  </si>
  <si>
    <t>UW Renovation Premium</t>
  </si>
  <si>
    <t>3 Bedroom</t>
  </si>
  <si>
    <t>U/W Rents</t>
  </si>
  <si>
    <t>Reno Premiums</t>
  </si>
  <si>
    <t>Total / Wtd Avg.</t>
  </si>
  <si>
    <t>Reno</t>
  </si>
  <si>
    <t>Premiums</t>
  </si>
  <si>
    <t>Rents</t>
  </si>
  <si>
    <t>Months to Complete</t>
  </si>
  <si>
    <t>Units Delivered</t>
  </si>
  <si>
    <t>% of Total</t>
  </si>
  <si>
    <t>U/W Total</t>
  </si>
  <si>
    <t xml:space="preserve">   Delta of Actual to U/W</t>
  </si>
  <si>
    <t>Debt Service (Excluding Rate Cap)</t>
  </si>
  <si>
    <t>Debt Service (Including Rate Cap)</t>
  </si>
  <si>
    <t xml:space="preserve">8259.0000 </t>
  </si>
  <si>
    <t>Golf Carts</t>
  </si>
  <si>
    <t xml:space="preserve">8272.0300 </t>
  </si>
  <si>
    <t>Fountains/Ponds &amp; Misc.</t>
  </si>
  <si>
    <t xml:space="preserve">8720.0000 </t>
  </si>
  <si>
    <t>Letter of Credit Fees</t>
  </si>
  <si>
    <t>n/a</t>
  </si>
  <si>
    <t>$7MM in equity to protect</t>
  </si>
  <si>
    <t>Roughly 110% LTV (with closing costs). Likely on the high end, but we believe that we are impaired</t>
  </si>
  <si>
    <t>4 Points</t>
  </si>
  <si>
    <t>We think we would lose roughly $6MM</t>
  </si>
  <si>
    <t xml:space="preserve">Delaying a sale 6-24 months, more upside down the road. </t>
  </si>
  <si>
    <t>Line lender Barclays is sticking with us</t>
  </si>
  <si>
    <t>Buyers for MF in Phoenix are largely sub-institutional investors, leaving the California markets</t>
  </si>
  <si>
    <t>Long time growth opportunities in Phoenix</t>
  </si>
  <si>
    <t>5% cap rate</t>
  </si>
  <si>
    <t>Sares Regis - Continue to carry the asset, purchase a rate cap, and complete renovations</t>
  </si>
  <si>
    <t>3Q 2024</t>
  </si>
  <si>
    <t>Parcel #</t>
  </si>
  <si>
    <t>INVENTORY (UNITS)</t>
  </si>
  <si>
    <t>Central Phoenix</t>
  </si>
  <si>
    <t>Chandler/Queen Creek</t>
  </si>
  <si>
    <t>East Phoenix</t>
  </si>
  <si>
    <t>Glendale/West Valley</t>
  </si>
  <si>
    <t>Mesa/Gilbert</t>
  </si>
  <si>
    <t>Northeast Valley</t>
  </si>
  <si>
    <t>Northwest Valley</t>
  </si>
  <si>
    <t>Scottsdale</t>
  </si>
  <si>
    <t>Tempe</t>
  </si>
  <si>
    <t>West Phoenix</t>
  </si>
  <si>
    <t>MARKET</t>
  </si>
  <si>
    <t>YTD DELIVERIES (UNITS)</t>
  </si>
  <si>
    <t>YTD % INVENTORY GROWTH</t>
  </si>
  <si>
    <t>UNDER CONSTR (UNITS)</t>
  </si>
  <si>
    <t>YTD NET ABSORPTION (UNITS)</t>
  </si>
  <si>
    <t>VACANCY RATE</t>
  </si>
  <si>
    <t>YOY VACANCY RATE CHANGE (BPS)</t>
  </si>
  <si>
    <t>AVG EFFECTIVE RENT / UNIT</t>
  </si>
  <si>
    <t>YOY % EFFECTIVE RENT GROWTH</t>
  </si>
  <si>
    <t>1.4%</t>
  </si>
  <si>
    <t>5.7%</t>
  </si>
  <si>
    <t>-1.6%</t>
  </si>
  <si>
    <t>3.0%</t>
  </si>
  <si>
    <t>7.0%</t>
  </si>
  <si>
    <t>-2.3%</t>
  </si>
  <si>
    <t>3.6%</t>
  </si>
  <si>
    <t>5.3%</t>
  </si>
  <si>
    <t>-2.0%</t>
  </si>
  <si>
    <t>3.2%</t>
  </si>
  <si>
    <t>7.1%</t>
  </si>
  <si>
    <t>-1.2%</t>
  </si>
  <si>
    <t>10.1%</t>
  </si>
  <si>
    <t>7.8%</t>
  </si>
  <si>
    <t>-0.9%</t>
  </si>
  <si>
    <t>3.5%</t>
  </si>
  <si>
    <t>6.4%</t>
  </si>
  <si>
    <t>-0.8%</t>
  </si>
  <si>
    <t>5.9%</t>
  </si>
  <si>
    <t>-0.4%</t>
  </si>
  <si>
    <t>7.2%</t>
  </si>
  <si>
    <t>-3.1%</t>
  </si>
  <si>
    <t>7.5%</t>
  </si>
  <si>
    <t>3.9%</t>
  </si>
  <si>
    <t>6.2%</t>
  </si>
  <si>
    <t>5.1%</t>
  </si>
  <si>
    <t>8.3%</t>
  </si>
  <si>
    <t>4.9%</t>
  </si>
  <si>
    <t>6.6%</t>
  </si>
  <si>
    <t>MULTIFAMILY 3Q 2024</t>
  </si>
  <si>
    <t>Below national average unemployement, and job and wage growth, in the Phoenix market, has resulted in the toal number of housholds to increase 2.2% YoY.</t>
  </si>
  <si>
    <t xml:space="preserve">Overall vacancy remained flat QoQ as absorption matches new deliveries. Asking rent fell slightly for the ninth quarter in a row. </t>
  </si>
  <si>
    <t>Construction pipeline slowed to its slowest pace since 2020; however, new inventory is still 230% above the 10-year annual average of 11.4K units.</t>
  </si>
  <si>
    <t>Floorplan Type</t>
  </si>
  <si>
    <t>Floorplan Name</t>
  </si>
  <si>
    <t>Units Renovated</t>
  </si>
  <si>
    <t>Square Footage</t>
  </si>
  <si>
    <t>Current Renovation Values</t>
  </si>
  <si>
    <t>Date of Renovation Start</t>
  </si>
  <si>
    <t>11A1</t>
  </si>
  <si>
    <t>11A2</t>
  </si>
  <si>
    <t>11A2B</t>
  </si>
  <si>
    <t>22B1</t>
  </si>
  <si>
    <t>22B2</t>
  </si>
  <si>
    <t>22B2B</t>
  </si>
  <si>
    <t>32C1</t>
  </si>
  <si>
    <t>Actual Leased Rent</t>
  </si>
  <si>
    <t>Non-Renovated Rent on Day Leased</t>
  </si>
  <si>
    <t>Difference between Reno and Non-Reno</t>
  </si>
  <si>
    <t>Prior Lease Rent</t>
  </si>
  <si>
    <t>Reno vs. Prior Lease</t>
  </si>
  <si>
    <t>Proforma on Day Leased</t>
  </si>
  <si>
    <t>Total #</t>
  </si>
  <si>
    <t>of Units</t>
  </si>
  <si>
    <t xml:space="preserve">8539.0000 </t>
  </si>
  <si>
    <t>Social Media Management</t>
  </si>
  <si>
    <t xml:space="preserve">8232.2000 </t>
  </si>
  <si>
    <t>Common Area - Interior Flooring</t>
  </si>
  <si>
    <t>ARBORETUM AT SOUTH MOUNTAIN</t>
  </si>
  <si>
    <t>2025 Budget</t>
  </si>
  <si>
    <t>U/W Rent</t>
  </si>
  <si>
    <t>4Q 2024</t>
  </si>
  <si>
    <t>Year 3 U/W</t>
  </si>
  <si>
    <t>1Q 2025</t>
  </si>
  <si>
    <t>Vacant</t>
  </si>
  <si>
    <t>MEMORIAL HILLS</t>
  </si>
  <si>
    <t>Memorial Hills</t>
  </si>
  <si>
    <t>4200 Scotland Street, Houston, TX 77007</t>
  </si>
  <si>
    <t>Comments</t>
  </si>
  <si>
    <t>Year</t>
  </si>
  <si>
    <t>Gross Market Rent</t>
  </si>
  <si>
    <t>Month</t>
  </si>
  <si>
    <t>Gross Market/Unit</t>
  </si>
  <si>
    <t>Gross Market/SF</t>
  </si>
  <si>
    <t>Beginning of Period Occupied Unit Count</t>
  </si>
  <si>
    <t>Net Move Ins - Online Units</t>
  </si>
  <si>
    <t>In-Place</t>
  </si>
  <si>
    <t>Net Move Ins - Renovation Units</t>
  </si>
  <si>
    <t>Rent Breakdown</t>
  </si>
  <si>
    <t>End of Period Occupied Unit Count</t>
  </si>
  <si>
    <t>In-Place Rent</t>
  </si>
  <si>
    <t>Occupancy %</t>
  </si>
  <si>
    <t>Mark-to-Market (Cumulative)</t>
  </si>
  <si>
    <t>Reno Premiums (Cumulative)</t>
  </si>
  <si>
    <t>Market Rent Growth (Cumulative)</t>
  </si>
  <si>
    <t xml:space="preserve">Gross Potential Rent </t>
  </si>
  <si>
    <t>Monthly Proforma</t>
  </si>
  <si>
    <t>Operating Proforma</t>
  </si>
  <si>
    <t>Revenues</t>
  </si>
  <si>
    <t>Market Rents</t>
  </si>
  <si>
    <t>Net Effective Rent (NER)</t>
  </si>
  <si>
    <t>In-Place Rents</t>
  </si>
  <si>
    <t>General Vacancy</t>
  </si>
  <si>
    <t>Credit Loss</t>
  </si>
  <si>
    <t>T3M</t>
  </si>
  <si>
    <t>Model/Employee Units</t>
  </si>
  <si>
    <t>Concessions</t>
  </si>
  <si>
    <t>Net Effective Lease Income</t>
  </si>
  <si>
    <t>Per Unit/Month</t>
  </si>
  <si>
    <t>Year 1</t>
  </si>
  <si>
    <t>TTM</t>
  </si>
  <si>
    <t>Gross Other Income</t>
  </si>
  <si>
    <t>Other Income General Vacancy</t>
  </si>
  <si>
    <t>Net Other Income</t>
  </si>
  <si>
    <t>Annual EGI Growth</t>
  </si>
  <si>
    <t>Economic Vacancy</t>
  </si>
  <si>
    <t>Tax Abatement</t>
  </si>
  <si>
    <t>Per Unit</t>
  </si>
  <si>
    <t>PSF</t>
  </si>
  <si>
    <t>% of EGI</t>
  </si>
  <si>
    <t>Net Operating Income (Residential)</t>
  </si>
  <si>
    <t>Retail Income + NNN Reimbursements</t>
  </si>
  <si>
    <t>Retail Economic Vacancy</t>
  </si>
  <si>
    <t>Retail Expense</t>
  </si>
  <si>
    <t>Net Operating Income (Retail)</t>
  </si>
  <si>
    <t>Net Operating Income (Total)</t>
  </si>
  <si>
    <t>Annual NOI Growth</t>
  </si>
  <si>
    <t>Effective Rents</t>
  </si>
  <si>
    <t>NPV of Remaining Tax Abatement</t>
  </si>
  <si>
    <t>Utility Reimbs</t>
  </si>
  <si>
    <t>Bulk Cable/WiFi (Net)</t>
  </si>
  <si>
    <t>Amenity Fee</t>
  </si>
  <si>
    <t>Parking/Storage</t>
  </si>
  <si>
    <t>Damages/Term Fee/MTM</t>
  </si>
  <si>
    <t>Other Fees</t>
  </si>
  <si>
    <t>Misc. 1</t>
  </si>
  <si>
    <t>Package Concierge/Locker Income</t>
  </si>
  <si>
    <t>Make-ready</t>
  </si>
  <si>
    <t>Repairs &amp; Maintenance</t>
  </si>
  <si>
    <t>Contract Services</t>
  </si>
  <si>
    <t>General &amp; Administrative</t>
  </si>
  <si>
    <t>Landscaping/Grounds</t>
  </si>
  <si>
    <t>Package Concierge/Locker Expense</t>
  </si>
  <si>
    <t>Franchise Taxes</t>
  </si>
  <si>
    <t>Property Taxes</t>
  </si>
  <si>
    <t>IN PLACE</t>
  </si>
  <si>
    <t xml:space="preserve">  Debt Service (Excluding Rate Cap)</t>
  </si>
  <si>
    <t xml:space="preserve">  Debt Service (Including Rate Cap)</t>
  </si>
  <si>
    <t>At Close (In Place)</t>
  </si>
  <si>
    <t>Prospective As Stabilized (Renovated)</t>
  </si>
  <si>
    <t>Year 2</t>
  </si>
  <si>
    <t>Year 3</t>
  </si>
  <si>
    <t>Year 4</t>
  </si>
  <si>
    <t>Year 5</t>
  </si>
  <si>
    <t>Year 6</t>
  </si>
  <si>
    <t>Year 7</t>
  </si>
  <si>
    <t>Year 8</t>
  </si>
  <si>
    <t>Year 9</t>
  </si>
  <si>
    <t>Year 10</t>
  </si>
  <si>
    <t>Year 11</t>
  </si>
  <si>
    <t>Rental Revenue</t>
  </si>
  <si>
    <t>Potential Market Rent</t>
  </si>
  <si>
    <t>Loss To Lease</t>
  </si>
  <si>
    <t>Multifamily Absorption &amp; Turnover Vacancy</t>
  </si>
  <si>
    <t>Vacancy Allowance</t>
  </si>
  <si>
    <t>Additional Concessions</t>
  </si>
  <si>
    <t>Effective Multifamily Rental Income</t>
  </si>
  <si>
    <t>RUBS/Utility Income</t>
  </si>
  <si>
    <t>Effective Gross Revenue</t>
  </si>
  <si>
    <t>Real Estate Taxes</t>
  </si>
  <si>
    <t>Property Insurance</t>
  </si>
  <si>
    <t>Administrative &amp; General</t>
  </si>
  <si>
    <t>Repairs &amp; Maint.</t>
  </si>
  <si>
    <t>Advertising &amp; Leasing</t>
  </si>
  <si>
    <t>Gross Receipts</t>
  </si>
  <si>
    <t>Net Operating Income</t>
  </si>
  <si>
    <t>Cash Flow Before Debt Service</t>
  </si>
  <si>
    <t>Year 3 Stab. Appraisal</t>
  </si>
  <si>
    <t>Weights</t>
  </si>
  <si>
    <t>UW Year 1</t>
  </si>
  <si>
    <t>UW Year 2</t>
  </si>
  <si>
    <t>UW Year 3</t>
  </si>
  <si>
    <t>DY 2Q 2025</t>
  </si>
  <si>
    <t>RENT ROLL DETAIL</t>
  </si>
  <si>
    <t>Parameters: Properties: - all subproperties-; Show All Unit Designations or Filter by: ALL; Subjournals: ALL; Sort by: Unit; Report Type: Details + Summary; Exclude Formers?: Yes; Show Unit Rent as: Market Rent</t>
  </si>
  <si>
    <t>Resh ID</t>
  </si>
  <si>
    <t>Lease ID</t>
  </si>
  <si>
    <t>Floorplan</t>
  </si>
  <si>
    <t>Unit 
Designation</t>
  </si>
  <si>
    <t>SQFT</t>
  </si>
  <si>
    <t>Unit/Lease Status</t>
  </si>
  <si>
    <t>Move-In</t>
  </si>
  <si>
    <t>Move-Out</t>
  </si>
  <si>
    <t>Lease Start</t>
  </si>
  <si>
    <t>Lease End</t>
  </si>
  <si>
    <t>Required
Deposit</t>
  </si>
  <si>
    <t>Dep On Hand</t>
  </si>
  <si>
    <t>Lease Rent</t>
  </si>
  <si>
    <t>RENT</t>
  </si>
  <si>
    <t>TRV</t>
  </si>
  <si>
    <t>AMEN</t>
  </si>
  <si>
    <t>PACKAGE</t>
  </si>
  <si>
    <t>GAS</t>
  </si>
  <si>
    <t>PET RENT</t>
  </si>
  <si>
    <t>UTL</t>
  </si>
  <si>
    <t>CARPORT</t>
  </si>
  <si>
    <t>MTOM</t>
  </si>
  <si>
    <t>CON</t>
  </si>
  <si>
    <t>PST</t>
  </si>
  <si>
    <t>Total Billing</t>
  </si>
  <si>
    <t>104</t>
  </si>
  <si>
    <t>Conventional</t>
  </si>
  <si>
    <t>Castro, Sergio</t>
  </si>
  <si>
    <t>07/04/2021</t>
  </si>
  <si>
    <t>08/03/2025</t>
  </si>
  <si>
    <t>105</t>
  </si>
  <si>
    <t>09/23/2025</t>
  </si>
  <si>
    <t>106</t>
  </si>
  <si>
    <t>B1</t>
  </si>
  <si>
    <t>09/24/2024</t>
  </si>
  <si>
    <t>11/30/2025</t>
  </si>
  <si>
    <t>107</t>
  </si>
  <si>
    <t>A13</t>
  </si>
  <si>
    <t>Breese, Matt</t>
  </si>
  <si>
    <t>08/17/2023</t>
  </si>
  <si>
    <t>108</t>
  </si>
  <si>
    <t>Vacant-Leased</t>
  </si>
  <si>
    <t>Applicant</t>
  </si>
  <si>
    <t>Perez Alvarez, Leonardo</t>
  </si>
  <si>
    <t>07/01/2025</t>
  </si>
  <si>
    <t>06/30/2026</t>
  </si>
  <si>
    <t>109</t>
  </si>
  <si>
    <t>12/14/2023</t>
  </si>
  <si>
    <t>110</t>
  </si>
  <si>
    <t>11/07/2025</t>
  </si>
  <si>
    <t>111</t>
  </si>
  <si>
    <t>Nelson, Ryan</t>
  </si>
  <si>
    <t>09/11/2023</t>
  </si>
  <si>
    <t>112</t>
  </si>
  <si>
    <t>A11</t>
  </si>
  <si>
    <t>07/19/2024</t>
  </si>
  <si>
    <t>113</t>
  </si>
  <si>
    <t>Brittain III, David</t>
  </si>
  <si>
    <t>11/16/2022</t>
  </si>
  <si>
    <t>04/16/2025</t>
  </si>
  <si>
    <t>04/15/2026</t>
  </si>
  <si>
    <t>114</t>
  </si>
  <si>
    <t>115</t>
  </si>
  <si>
    <t>A3</t>
  </si>
  <si>
    <t>Bowden, Alethe</t>
  </si>
  <si>
    <t>10/18/2019</t>
  </si>
  <si>
    <t>03/27/2025</t>
  </si>
  <si>
    <t>06/26/2026</t>
  </si>
  <si>
    <t>116</t>
  </si>
  <si>
    <t>A9</t>
  </si>
  <si>
    <t>Stone, Brittany</t>
  </si>
  <si>
    <t>05/04/2019</t>
  </si>
  <si>
    <t>121</t>
  </si>
  <si>
    <t>Admin/Down</t>
  </si>
  <si>
    <t>122</t>
  </si>
  <si>
    <t>A8</t>
  </si>
  <si>
    <t>Cockrill, Dale</t>
  </si>
  <si>
    <t>02/25/2026</t>
  </si>
  <si>
    <t>123</t>
  </si>
  <si>
    <t>Occupied-NTV</t>
  </si>
  <si>
    <t>06/30/2025</t>
  </si>
  <si>
    <t>124</t>
  </si>
  <si>
    <t>A12</t>
  </si>
  <si>
    <t>Nasser, Khalil</t>
  </si>
  <si>
    <t>125</t>
  </si>
  <si>
    <t>B3</t>
  </si>
  <si>
    <t>Bynum, Mahiya</t>
  </si>
  <si>
    <t>10/30/2022</t>
  </si>
  <si>
    <t>01/30/2025</t>
  </si>
  <si>
    <t>04/29/2026</t>
  </si>
  <si>
    <t>126</t>
  </si>
  <si>
    <t>B6</t>
  </si>
  <si>
    <t>09/30/2025</t>
  </si>
  <si>
    <t>127</t>
  </si>
  <si>
    <t>Quinn, Megan</t>
  </si>
  <si>
    <t>04/01/2023</t>
  </si>
  <si>
    <t>04/01/2025</t>
  </si>
  <si>
    <t>03/31/2026</t>
  </si>
  <si>
    <t>128</t>
  </si>
  <si>
    <t>A2</t>
  </si>
  <si>
    <t>129</t>
  </si>
  <si>
    <t>Hughes, Jacob</t>
  </si>
  <si>
    <t>07/20/2024</t>
  </si>
  <si>
    <t>07/19/2025</t>
  </si>
  <si>
    <t>130</t>
  </si>
  <si>
    <t>A7</t>
  </si>
  <si>
    <t>Ibanez, Aaron</t>
  </si>
  <si>
    <t>09/27/2026</t>
  </si>
  <si>
    <t>131</t>
  </si>
  <si>
    <t>B5</t>
  </si>
  <si>
    <t>Perez, Jennifer</t>
  </si>
  <si>
    <t>06/04/2025</t>
  </si>
  <si>
    <t>06/08/2026</t>
  </si>
  <si>
    <t>132</t>
  </si>
  <si>
    <t>A1</t>
  </si>
  <si>
    <t>Richey, Hudson</t>
  </si>
  <si>
    <t>03/05/2024</t>
  </si>
  <si>
    <t>05/04/2025</t>
  </si>
  <si>
    <t>08/03/2026</t>
  </si>
  <si>
    <t>133</t>
  </si>
  <si>
    <t>Bazzle, Jennifer</t>
  </si>
  <si>
    <t>06/24/2024</t>
  </si>
  <si>
    <t>06/24/2025</t>
  </si>
  <si>
    <t>06/23/2026</t>
  </si>
  <si>
    <t>134</t>
  </si>
  <si>
    <t>A5</t>
  </si>
  <si>
    <t>Sandonato, Austin</t>
  </si>
  <si>
    <t>11/26/2024</t>
  </si>
  <si>
    <t>135</t>
  </si>
  <si>
    <t>Hervey, Dajaunna</t>
  </si>
  <si>
    <t>04/19/2025</t>
  </si>
  <si>
    <t>07/18/2026</t>
  </si>
  <si>
    <t>136</t>
  </si>
  <si>
    <t>Heard, Nehemiah</t>
  </si>
  <si>
    <t>02/26/2018</t>
  </si>
  <si>
    <t>137</t>
  </si>
  <si>
    <t>Cornavaca, Julio</t>
  </si>
  <si>
    <t>08/15/2024</t>
  </si>
  <si>
    <t>11/14/2025</t>
  </si>
  <si>
    <t>138</t>
  </si>
  <si>
    <t>A10</t>
  </si>
  <si>
    <t>Batemon, Jeremy</t>
  </si>
  <si>
    <t>06/06/2024</t>
  </si>
  <si>
    <t>06/05/2025</t>
  </si>
  <si>
    <t>06/04/2026</t>
  </si>
  <si>
    <t>139</t>
  </si>
  <si>
    <t>Travis, Amelia</t>
  </si>
  <si>
    <t>02/15/2022</t>
  </si>
  <si>
    <t>02/01/2025</t>
  </si>
  <si>
    <t>140</t>
  </si>
  <si>
    <t>B4</t>
  </si>
  <si>
    <t>Model, Model</t>
  </si>
  <si>
    <t>06/24/2022</t>
  </si>
  <si>
    <t>09/11/2025</t>
  </si>
  <si>
    <t>141</t>
  </si>
  <si>
    <t>01/23/2026</t>
  </si>
  <si>
    <t>142</t>
  </si>
  <si>
    <t>Bateman, Jennifer</t>
  </si>
  <si>
    <t>03/01/2024</t>
  </si>
  <si>
    <t>05/06/2025</t>
  </si>
  <si>
    <t>08/05/2026</t>
  </si>
  <si>
    <t>203</t>
  </si>
  <si>
    <t>204</t>
  </si>
  <si>
    <t>Phillip, Atiba</t>
  </si>
  <si>
    <t>09/13/2022</t>
  </si>
  <si>
    <t>12/07/2024</t>
  </si>
  <si>
    <t>03/06/2026</t>
  </si>
  <si>
    <t>205</t>
  </si>
  <si>
    <t>206</t>
  </si>
  <si>
    <t>207</t>
  </si>
  <si>
    <t>Olson, Ana</t>
  </si>
  <si>
    <t>12/16/2022</t>
  </si>
  <si>
    <t>02/15/2025</t>
  </si>
  <si>
    <t>05/14/2026</t>
  </si>
  <si>
    <t>208</t>
  </si>
  <si>
    <t>209</t>
  </si>
  <si>
    <t>Sherrill, Justin</t>
  </si>
  <si>
    <t>10/28/2023</t>
  </si>
  <si>
    <t>210</t>
  </si>
  <si>
    <t>211</t>
  </si>
  <si>
    <t>Antholzner, Elizabeth</t>
  </si>
  <si>
    <t>10/13/2024</t>
  </si>
  <si>
    <t>212</t>
  </si>
  <si>
    <t>Nguyen, Minh Quan</t>
  </si>
  <si>
    <t>05/09/2024</t>
  </si>
  <si>
    <t>213</t>
  </si>
  <si>
    <t>Anderson, Craig</t>
  </si>
  <si>
    <t>01/31/2022</t>
  </si>
  <si>
    <t>214</t>
  </si>
  <si>
    <t>Moss, Blake</t>
  </si>
  <si>
    <t>08/17/2024</t>
  </si>
  <si>
    <t>08/15/2025</t>
  </si>
  <si>
    <t>215</t>
  </si>
  <si>
    <t>Henderson, Steven</t>
  </si>
  <si>
    <t>02/16/2024</t>
  </si>
  <si>
    <t>05/16/2025</t>
  </si>
  <si>
    <t>08/15/2026</t>
  </si>
  <si>
    <t>216</t>
  </si>
  <si>
    <t>Cole, Celeste</t>
  </si>
  <si>
    <t>217</t>
  </si>
  <si>
    <t>B7</t>
  </si>
  <si>
    <t>Gilmore, Patricia</t>
  </si>
  <si>
    <t>04/14/2023</t>
  </si>
  <si>
    <t>07/13/2025</t>
  </si>
  <si>
    <t>218</t>
  </si>
  <si>
    <t>Martin, Danielle</t>
  </si>
  <si>
    <t>05/18/2025</t>
  </si>
  <si>
    <t>05/17/2026</t>
  </si>
  <si>
    <t>220</t>
  </si>
  <si>
    <t>06/05/2026</t>
  </si>
  <si>
    <t>221</t>
  </si>
  <si>
    <t>05/15/2025</t>
  </si>
  <si>
    <t>222</t>
  </si>
  <si>
    <t>Leonard, Sadie</t>
  </si>
  <si>
    <t>11/01/2025</t>
  </si>
  <si>
    <t>223</t>
  </si>
  <si>
    <t>Barragan, Diego</t>
  </si>
  <si>
    <t>224</t>
  </si>
  <si>
    <t>225</t>
  </si>
  <si>
    <t>226</t>
  </si>
  <si>
    <t>Davis, Jennifer</t>
  </si>
  <si>
    <t>08/31/2025</t>
  </si>
  <si>
    <t>227</t>
  </si>
  <si>
    <t>228</t>
  </si>
  <si>
    <t>Ortega, Natalie</t>
  </si>
  <si>
    <t>229</t>
  </si>
  <si>
    <t>09/15/2024</t>
  </si>
  <si>
    <t>230</t>
  </si>
  <si>
    <t>Espinosa Oviedo, Sebastian</t>
  </si>
  <si>
    <t>04/11/2025</t>
  </si>
  <si>
    <t>07/10/2026</t>
  </si>
  <si>
    <t>231</t>
  </si>
  <si>
    <t>07/22/2023</t>
  </si>
  <si>
    <t>232</t>
  </si>
  <si>
    <t>12/30/2025</t>
  </si>
  <si>
    <t>233</t>
  </si>
  <si>
    <t>Stolle, Joni</t>
  </si>
  <si>
    <t>234</t>
  </si>
  <si>
    <t>Consulate General of India Hou, *</t>
  </si>
  <si>
    <t>04/01/2018</t>
  </si>
  <si>
    <t>03/11/2026</t>
  </si>
  <si>
    <t>235</t>
  </si>
  <si>
    <t>Shaik, Zeelan Basha</t>
  </si>
  <si>
    <t>07/27/2024</t>
  </si>
  <si>
    <t>08/26/2025</t>
  </si>
  <si>
    <t>236</t>
  </si>
  <si>
    <t>237</t>
  </si>
  <si>
    <t>Morales, Ekaterina</t>
  </si>
  <si>
    <t>03/18/2019</t>
  </si>
  <si>
    <t>02/28/2026</t>
  </si>
  <si>
    <t>238</t>
  </si>
  <si>
    <t>Weicks, Christian</t>
  </si>
  <si>
    <t>06/29/2026</t>
  </si>
  <si>
    <t>239</t>
  </si>
  <si>
    <t>09/14/2025</t>
  </si>
  <si>
    <t>240</t>
  </si>
  <si>
    <t>Dearing, Noah</t>
  </si>
  <si>
    <t>05/09/2025</t>
  </si>
  <si>
    <t>05/08/2026</t>
  </si>
  <si>
    <t>241</t>
  </si>
  <si>
    <t>Pineau, Clarissa</t>
  </si>
  <si>
    <t>242</t>
  </si>
  <si>
    <t>Gilmore, Emma</t>
  </si>
  <si>
    <t>10/04/2023</t>
  </si>
  <si>
    <t>09/03/2025</t>
  </si>
  <si>
    <t>301</t>
  </si>
  <si>
    <t>302</t>
  </si>
  <si>
    <t>Morris, Mary</t>
  </si>
  <si>
    <t>303</t>
  </si>
  <si>
    <t>Misiaszek, McKenzie</t>
  </si>
  <si>
    <t>05/25/2024</t>
  </si>
  <si>
    <t>08/24/2025</t>
  </si>
  <si>
    <t>304</t>
  </si>
  <si>
    <t>02/04/2023</t>
  </si>
  <si>
    <t>305</t>
  </si>
  <si>
    <t>306</t>
  </si>
  <si>
    <t>Hernandez, David</t>
  </si>
  <si>
    <t>07/20/2021</t>
  </si>
  <si>
    <t>07/28/2023</t>
  </si>
  <si>
    <t>10/19/2024</t>
  </si>
  <si>
    <t>307</t>
  </si>
  <si>
    <t>308</t>
  </si>
  <si>
    <t>Lamb III, Maurice</t>
  </si>
  <si>
    <t>03/15/2024</t>
  </si>
  <si>
    <t>309</t>
  </si>
  <si>
    <t>Overcash, David</t>
  </si>
  <si>
    <t>11/27/2023</t>
  </si>
  <si>
    <t>02/27/2025</t>
  </si>
  <si>
    <t>05/26/2026</t>
  </si>
  <si>
    <t>310</t>
  </si>
  <si>
    <t>Calautti, Steven</t>
  </si>
  <si>
    <t>06/20/2023</t>
  </si>
  <si>
    <t>09/19/2025</t>
  </si>
  <si>
    <t>311</t>
  </si>
  <si>
    <t>McNamara, Connor</t>
  </si>
  <si>
    <t>04/19/2023</t>
  </si>
  <si>
    <t>07/18/2025</t>
  </si>
  <si>
    <t>Bollinger, James</t>
  </si>
  <si>
    <t>313</t>
  </si>
  <si>
    <t>Fehring, Darien</t>
  </si>
  <si>
    <t>03/30/2024</t>
  </si>
  <si>
    <t>04/30/2026</t>
  </si>
  <si>
    <t>314</t>
  </si>
  <si>
    <t>Smith, Gregory</t>
  </si>
  <si>
    <t>08/14/2023</t>
  </si>
  <si>
    <t>315</t>
  </si>
  <si>
    <t>316</t>
  </si>
  <si>
    <t>Infante, Laura</t>
  </si>
  <si>
    <t>04/18/2026</t>
  </si>
  <si>
    <t>317</t>
  </si>
  <si>
    <t>Ahuja, Sarang</t>
  </si>
  <si>
    <t>11/29/2021</t>
  </si>
  <si>
    <t>01/29/2025</t>
  </si>
  <si>
    <t>04/28/2026</t>
  </si>
  <si>
    <t>318</t>
  </si>
  <si>
    <t>Siroky, Allison</t>
  </si>
  <si>
    <t>08/16/2024</t>
  </si>
  <si>
    <t>11/15/2025</t>
  </si>
  <si>
    <t>319</t>
  </si>
  <si>
    <t>A9c</t>
  </si>
  <si>
    <t>320</t>
  </si>
  <si>
    <t>DonLevy, Ron</t>
  </si>
  <si>
    <t>05/12/2026</t>
  </si>
  <si>
    <t>321</t>
  </si>
  <si>
    <t>322</t>
  </si>
  <si>
    <t>Scheurich, Alissa</t>
  </si>
  <si>
    <t>323</t>
  </si>
  <si>
    <t>324</t>
  </si>
  <si>
    <t>Padilla, David</t>
  </si>
  <si>
    <t>07/14/2026</t>
  </si>
  <si>
    <t>325</t>
  </si>
  <si>
    <t>11/16/2024</t>
  </si>
  <si>
    <t>01/15/2026</t>
  </si>
  <si>
    <t>326</t>
  </si>
  <si>
    <t>Winfrey, Cody</t>
  </si>
  <si>
    <t>327</t>
  </si>
  <si>
    <t>Ubilla, Mariela</t>
  </si>
  <si>
    <t>328</t>
  </si>
  <si>
    <t>329</t>
  </si>
  <si>
    <t>330</t>
  </si>
  <si>
    <t>Clark, Tiffany</t>
  </si>
  <si>
    <t>331</t>
  </si>
  <si>
    <t>Suarato, Alison</t>
  </si>
  <si>
    <t>07/17/2025</t>
  </si>
  <si>
    <t>332</t>
  </si>
  <si>
    <t>333</t>
  </si>
  <si>
    <t>Bui, Jennifer</t>
  </si>
  <si>
    <t>09/15/2023</t>
  </si>
  <si>
    <t>334</t>
  </si>
  <si>
    <t>Allen, Katie</t>
  </si>
  <si>
    <t>10/31/2023</t>
  </si>
  <si>
    <t>03/30/2026</t>
  </si>
  <si>
    <t>335</t>
  </si>
  <si>
    <t>Lochbaum, Ross</t>
  </si>
  <si>
    <t>09/18/2025</t>
  </si>
  <si>
    <t>336</t>
  </si>
  <si>
    <t>Chenier, Anna</t>
  </si>
  <si>
    <t>10/14/2020</t>
  </si>
  <si>
    <t>12/18/2025</t>
  </si>
  <si>
    <t>337</t>
  </si>
  <si>
    <t>07/31/2025</t>
  </si>
  <si>
    <t>338</t>
  </si>
  <si>
    <t>Massey, Justin</t>
  </si>
  <si>
    <t>08/14/2022</t>
  </si>
  <si>
    <t>339</t>
  </si>
  <si>
    <t>340</t>
  </si>
  <si>
    <t>341</t>
  </si>
  <si>
    <t>Drew, Brian</t>
  </si>
  <si>
    <t>06/03/2023</t>
  </si>
  <si>
    <t>12/02/2025</t>
  </si>
  <si>
    <t>342</t>
  </si>
  <si>
    <t>Hayes, Heather</t>
  </si>
  <si>
    <t>05/11/2024</t>
  </si>
  <si>
    <t>401</t>
  </si>
  <si>
    <t>Surface, Jerald</t>
  </si>
  <si>
    <t>06/02/2023</t>
  </si>
  <si>
    <t>06/02/2025</t>
  </si>
  <si>
    <t>09/01/2026</t>
  </si>
  <si>
    <t>402</t>
  </si>
  <si>
    <t>02/08/2025</t>
  </si>
  <si>
    <t>403</t>
  </si>
  <si>
    <t>03/08/2025</t>
  </si>
  <si>
    <t>03/07/2026</t>
  </si>
  <si>
    <t>404</t>
  </si>
  <si>
    <t>405</t>
  </si>
  <si>
    <t>Igbalajobi, Oluwatobi</t>
  </si>
  <si>
    <t>406</t>
  </si>
  <si>
    <t>Thermidor, Larissa</t>
  </si>
  <si>
    <t>11/07/2023</t>
  </si>
  <si>
    <t>01/22/2025</t>
  </si>
  <si>
    <t>04/21/2026</t>
  </si>
  <si>
    <t>407</t>
  </si>
  <si>
    <t>408</t>
  </si>
  <si>
    <t>01/16/2025</t>
  </si>
  <si>
    <t>409</t>
  </si>
  <si>
    <t>Antoniewicz, Borys</t>
  </si>
  <si>
    <t>10/18/2024</t>
  </si>
  <si>
    <t>410</t>
  </si>
  <si>
    <t>Nielsen, John</t>
  </si>
  <si>
    <t>03/21/2024</t>
  </si>
  <si>
    <t>06/13/2025</t>
  </si>
  <si>
    <t>09/12/2026</t>
  </si>
  <si>
    <t>411</t>
  </si>
  <si>
    <t>Bahrami, Shawn</t>
  </si>
  <si>
    <t>05/01/2023</t>
  </si>
  <si>
    <t>10/31/2025</t>
  </si>
  <si>
    <t>412</t>
  </si>
  <si>
    <t>Boroughs, Zachary</t>
  </si>
  <si>
    <t>08/14/2025</t>
  </si>
  <si>
    <t>413</t>
  </si>
  <si>
    <t>414</t>
  </si>
  <si>
    <t>Vazquez, Claudia</t>
  </si>
  <si>
    <t>07/20/2025</t>
  </si>
  <si>
    <t>415</t>
  </si>
  <si>
    <t>Villagran, Cesar</t>
  </si>
  <si>
    <t>10/31/2020</t>
  </si>
  <si>
    <t>03/01/2025</t>
  </si>
  <si>
    <t>05/31/2026</t>
  </si>
  <si>
    <t>416</t>
  </si>
  <si>
    <t>Woog, Lionel</t>
  </si>
  <si>
    <t>09/30/2009</t>
  </si>
  <si>
    <t>417</t>
  </si>
  <si>
    <t>418</t>
  </si>
  <si>
    <t>Da Silva, Wagner Claudio</t>
  </si>
  <si>
    <t>10/09/2020</t>
  </si>
  <si>
    <t>419</t>
  </si>
  <si>
    <t>Peronard, Francis</t>
  </si>
  <si>
    <t>07/06/2023</t>
  </si>
  <si>
    <t>03/19/2025</t>
  </si>
  <si>
    <t>06/18/2026</t>
  </si>
  <si>
    <t>420</t>
  </si>
  <si>
    <t>421</t>
  </si>
  <si>
    <t>Chavez Rodriguez, Mauro</t>
  </si>
  <si>
    <t>09/27/2024</t>
  </si>
  <si>
    <t>422</t>
  </si>
  <si>
    <t>423</t>
  </si>
  <si>
    <t>424</t>
  </si>
  <si>
    <t>Gomez, Loli</t>
  </si>
  <si>
    <t>425</t>
  </si>
  <si>
    <t>426</t>
  </si>
  <si>
    <t>Challa, Soumith</t>
  </si>
  <si>
    <t>09/25/2023</t>
  </si>
  <si>
    <t>11/25/2024</t>
  </si>
  <si>
    <t>427</t>
  </si>
  <si>
    <t>Brittain, Alexander</t>
  </si>
  <si>
    <t>428</t>
  </si>
  <si>
    <t>Brown, Shelby</t>
  </si>
  <si>
    <t>06/05/2023</t>
  </si>
  <si>
    <t>429</t>
  </si>
  <si>
    <t>Kiley, Erin</t>
  </si>
  <si>
    <t>07/24/2022</t>
  </si>
  <si>
    <t>12/27/2025</t>
  </si>
  <si>
    <t>430</t>
  </si>
  <si>
    <t>Tuqan, Fadi</t>
  </si>
  <si>
    <t>03/04/2021</t>
  </si>
  <si>
    <t>431</t>
  </si>
  <si>
    <t>Liu, Shao Wei</t>
  </si>
  <si>
    <t>03/14/2025</t>
  </si>
  <si>
    <t>06/13/2026</t>
  </si>
  <si>
    <t>432</t>
  </si>
  <si>
    <t>02/17/2025</t>
  </si>
  <si>
    <t>07/10/2025</t>
  </si>
  <si>
    <t>433</t>
  </si>
  <si>
    <t>Condron, Mary</t>
  </si>
  <si>
    <t>02/03/2023</t>
  </si>
  <si>
    <t>06/03/2025</t>
  </si>
  <si>
    <t>09/02/2026</t>
  </si>
  <si>
    <t>434</t>
  </si>
  <si>
    <t>Brown, Stanley</t>
  </si>
  <si>
    <t>08/07/2022</t>
  </si>
  <si>
    <t>435</t>
  </si>
  <si>
    <t>Infante, Mariella</t>
  </si>
  <si>
    <t>01/31/2021</t>
  </si>
  <si>
    <t>436</t>
  </si>
  <si>
    <t>Beeghly, Caitlin</t>
  </si>
  <si>
    <t>02/29/2024</t>
  </si>
  <si>
    <t>05/29/2025</t>
  </si>
  <si>
    <t>05/28/2026</t>
  </si>
  <si>
    <t>437</t>
  </si>
  <si>
    <t>Neilson, Sadie</t>
  </si>
  <si>
    <t>12/12/2022</t>
  </si>
  <si>
    <t>08/11/2025</t>
  </si>
  <si>
    <t>438</t>
  </si>
  <si>
    <t>Wilridge, Tyler</t>
  </si>
  <si>
    <t>08/30/2025</t>
  </si>
  <si>
    <t>08/29/2026</t>
  </si>
  <si>
    <t>439</t>
  </si>
  <si>
    <t>Flint, Falilat</t>
  </si>
  <si>
    <t>10/29/2021</t>
  </si>
  <si>
    <t>05/01/2025</t>
  </si>
  <si>
    <t>07/31/2026</t>
  </si>
  <si>
    <t>440</t>
  </si>
  <si>
    <t>441</t>
  </si>
  <si>
    <t>Pratt, Michael</t>
  </si>
  <si>
    <t>06/15/2024</t>
  </si>
  <si>
    <t>07/14/2025</t>
  </si>
  <si>
    <t>442</t>
  </si>
  <si>
    <t>McManus, Haley</t>
  </si>
  <si>
    <t>501</t>
  </si>
  <si>
    <t>McClement, Christine</t>
  </si>
  <si>
    <t>11/26/2022</t>
  </si>
  <si>
    <t>06/26/2025</t>
  </si>
  <si>
    <t>06/25/2026</t>
  </si>
  <si>
    <t>502</t>
  </si>
  <si>
    <t>A6</t>
  </si>
  <si>
    <t>Simon, Kristie</t>
  </si>
  <si>
    <t>08/10/2020</t>
  </si>
  <si>
    <t>503</t>
  </si>
  <si>
    <t>Rosete, Amanda</t>
  </si>
  <si>
    <t>06/27/2024</t>
  </si>
  <si>
    <t>504</t>
  </si>
  <si>
    <t>Eke, Nneka</t>
  </si>
  <si>
    <t>06/13/2021</t>
  </si>
  <si>
    <t>505</t>
  </si>
  <si>
    <t>03/06/2025</t>
  </si>
  <si>
    <t>506</t>
  </si>
  <si>
    <t>Giraldo, Juan</t>
  </si>
  <si>
    <t>04/10/2022</t>
  </si>
  <si>
    <t>507</t>
  </si>
  <si>
    <t>Wallace, Ellen</t>
  </si>
  <si>
    <t>07/24/2023</t>
  </si>
  <si>
    <t>508</t>
  </si>
  <si>
    <t>Fan, Cunwei</t>
  </si>
  <si>
    <t>09/01/2023</t>
  </si>
  <si>
    <t>509</t>
  </si>
  <si>
    <t>510</t>
  </si>
  <si>
    <t>Milstein, Lisa</t>
  </si>
  <si>
    <t>05/24/2022</t>
  </si>
  <si>
    <t>07/23/2025</t>
  </si>
  <si>
    <t>511</t>
  </si>
  <si>
    <t>512</t>
  </si>
  <si>
    <t>513</t>
  </si>
  <si>
    <t>09/01/2024</t>
  </si>
  <si>
    <t>514</t>
  </si>
  <si>
    <t>Haghayeghi, Reza</t>
  </si>
  <si>
    <t>08/23/2024</t>
  </si>
  <si>
    <t>08/23/2025</t>
  </si>
  <si>
    <t>515</t>
  </si>
  <si>
    <t>Christian, Robert</t>
  </si>
  <si>
    <t>08/01/2020</t>
  </si>
  <si>
    <t>09/08/2024</t>
  </si>
  <si>
    <t>516</t>
  </si>
  <si>
    <t>Odom, Alexis</t>
  </si>
  <si>
    <t>11/08/2025</t>
  </si>
  <si>
    <t>517</t>
  </si>
  <si>
    <t>Gandhi, Manoj</t>
  </si>
  <si>
    <t>07/19/2014</t>
  </si>
  <si>
    <t>02/24/2026</t>
  </si>
  <si>
    <t>518</t>
  </si>
  <si>
    <t>Tomlinson, Richard</t>
  </si>
  <si>
    <t>11/14/2016</t>
  </si>
  <si>
    <t>04/27/2025</t>
  </si>
  <si>
    <t>07/26/2026</t>
  </si>
  <si>
    <t>519</t>
  </si>
  <si>
    <t>Cech, Libor</t>
  </si>
  <si>
    <t>06/18/2024</t>
  </si>
  <si>
    <t>520</t>
  </si>
  <si>
    <t>Van Buskirk, Thomas</t>
  </si>
  <si>
    <t>09/09/2023</t>
  </si>
  <si>
    <t>521</t>
  </si>
  <si>
    <t>Barnett, Aaron</t>
  </si>
  <si>
    <t>05/13/2023</t>
  </si>
  <si>
    <t>05/13/2025</t>
  </si>
  <si>
    <t>522</t>
  </si>
  <si>
    <t>Gupta, Vaibhav</t>
  </si>
  <si>
    <t>06/28/2024</t>
  </si>
  <si>
    <t>09/27/2025</t>
  </si>
  <si>
    <t>523</t>
  </si>
  <si>
    <t>524</t>
  </si>
  <si>
    <t>Rozell, Kevin</t>
  </si>
  <si>
    <t>07/16/2021</t>
  </si>
  <si>
    <t>525</t>
  </si>
  <si>
    <t>Vaca, Jennifer</t>
  </si>
  <si>
    <t>10/10/2020</t>
  </si>
  <si>
    <t>526</t>
  </si>
  <si>
    <t>Ozag, Dale</t>
  </si>
  <si>
    <t>08/29/2016</t>
  </si>
  <si>
    <t>527</t>
  </si>
  <si>
    <t>Darouei, Rose</t>
  </si>
  <si>
    <t>12/31/2023</t>
  </si>
  <si>
    <t>12/29/2025</t>
  </si>
  <si>
    <t>528</t>
  </si>
  <si>
    <t>529</t>
  </si>
  <si>
    <t>Falcon, Jennifer</t>
  </si>
  <si>
    <t>11/20/2020</t>
  </si>
  <si>
    <t>07/26/2025</t>
  </si>
  <si>
    <t>530</t>
  </si>
  <si>
    <t>Pratt, Mary</t>
  </si>
  <si>
    <t>531</t>
  </si>
  <si>
    <t>532</t>
  </si>
  <si>
    <t>10/03/2025</t>
  </si>
  <si>
    <t>533</t>
  </si>
  <si>
    <t>Toole, Troy</t>
  </si>
  <si>
    <t>02/20/2025</t>
  </si>
  <si>
    <t>534</t>
  </si>
  <si>
    <t>Wesh, Bryce</t>
  </si>
  <si>
    <t>02/04/2025</t>
  </si>
  <si>
    <t>02/03/2026</t>
  </si>
  <si>
    <t>535</t>
  </si>
  <si>
    <t>Miakonkich, Jurga</t>
  </si>
  <si>
    <t>07/27/2022</t>
  </si>
  <si>
    <t>12/28/2025</t>
  </si>
  <si>
    <t>536</t>
  </si>
  <si>
    <t>Martinez, Diego</t>
  </si>
  <si>
    <t>05/03/2024</t>
  </si>
  <si>
    <t>06/01/2025</t>
  </si>
  <si>
    <t>537</t>
  </si>
  <si>
    <t>08/17/2025</t>
  </si>
  <si>
    <t>538</t>
  </si>
  <si>
    <t>539</t>
  </si>
  <si>
    <t>540</t>
  </si>
  <si>
    <t>Saab, Gandi</t>
  </si>
  <si>
    <t>07/30/2026</t>
  </si>
  <si>
    <t>541</t>
  </si>
  <si>
    <t>Arena, Randal</t>
  </si>
  <si>
    <t>11/16/2020</t>
  </si>
  <si>
    <t>03/18/2025</t>
  </si>
  <si>
    <t>03/17/2026</t>
  </si>
  <si>
    <t>542</t>
  </si>
  <si>
    <t>Lin, Alan</t>
  </si>
  <si>
    <t>07/17/2023</t>
  </si>
  <si>
    <t>601</t>
  </si>
  <si>
    <t>10/18/2025</t>
  </si>
  <si>
    <t>602</t>
  </si>
  <si>
    <t>08/07/2025</t>
  </si>
  <si>
    <t>603</t>
  </si>
  <si>
    <t>Keen, Joshua</t>
  </si>
  <si>
    <t>03/21/2025</t>
  </si>
  <si>
    <t>03/20/2026</t>
  </si>
  <si>
    <t>604</t>
  </si>
  <si>
    <t>605</t>
  </si>
  <si>
    <t>Liu, Mingzhi</t>
  </si>
  <si>
    <t>09/22/2023</t>
  </si>
  <si>
    <t>12/21/2025</t>
  </si>
  <si>
    <t>606</t>
  </si>
  <si>
    <t>Oreilly, Melissa</t>
  </si>
  <si>
    <t>10/20/2022</t>
  </si>
  <si>
    <t>12/19/2025</t>
  </si>
  <si>
    <t>607</t>
  </si>
  <si>
    <t>Eltorie, Hassan</t>
  </si>
  <si>
    <t>10/19/2016</t>
  </si>
  <si>
    <t>608</t>
  </si>
  <si>
    <t>11/17/2025</t>
  </si>
  <si>
    <t>609</t>
  </si>
  <si>
    <t>Goode, Judith</t>
  </si>
  <si>
    <t>610</t>
  </si>
  <si>
    <t>Hughes, William</t>
  </si>
  <si>
    <t>11/14/2021</t>
  </si>
  <si>
    <t>611</t>
  </si>
  <si>
    <t>Chen, Kuan</t>
  </si>
  <si>
    <t>06/09/2025</t>
  </si>
  <si>
    <t>612</t>
  </si>
  <si>
    <t>613</t>
  </si>
  <si>
    <t>Aguilar, Hugo</t>
  </si>
  <si>
    <t>03/20/2025</t>
  </si>
  <si>
    <t>614</t>
  </si>
  <si>
    <t>Jefferies, Kendal</t>
  </si>
  <si>
    <t>02/07/2026</t>
  </si>
  <si>
    <t>615</t>
  </si>
  <si>
    <t>Alavizadeh, Maryam</t>
  </si>
  <si>
    <t>04/25/2023</t>
  </si>
  <si>
    <t>616</t>
  </si>
  <si>
    <t>Lapite, Ajibike</t>
  </si>
  <si>
    <t>10/15/2023</t>
  </si>
  <si>
    <t>617</t>
  </si>
  <si>
    <t>Belzeski, Alan</t>
  </si>
  <si>
    <t>05/01/2021</t>
  </si>
  <si>
    <t>618</t>
  </si>
  <si>
    <t>Lim, Jamie</t>
  </si>
  <si>
    <t>07/10/2023</t>
  </si>
  <si>
    <t>619</t>
  </si>
  <si>
    <t>620</t>
  </si>
  <si>
    <t>621</t>
  </si>
  <si>
    <t>622</t>
  </si>
  <si>
    <t>Bezner, Rachelle</t>
  </si>
  <si>
    <t>06/21/2021</t>
  </si>
  <si>
    <t>01/20/2026</t>
  </si>
  <si>
    <t>623</t>
  </si>
  <si>
    <t>01/26/2026</t>
  </si>
  <si>
    <t>624</t>
  </si>
  <si>
    <t>Flores, Elvira</t>
  </si>
  <si>
    <t>08/19/2023</t>
  </si>
  <si>
    <t>625</t>
  </si>
  <si>
    <t>Long, Geoffrey</t>
  </si>
  <si>
    <t>09/27/2016</t>
  </si>
  <si>
    <t>626</t>
  </si>
  <si>
    <t>Malik, Anju</t>
  </si>
  <si>
    <t>627</t>
  </si>
  <si>
    <t>628</t>
  </si>
  <si>
    <t>Beckham, Kimora</t>
  </si>
  <si>
    <t>06/20/2025</t>
  </si>
  <si>
    <t>06/19/2026</t>
  </si>
  <si>
    <t>629</t>
  </si>
  <si>
    <t>OConnor, Adam</t>
  </si>
  <si>
    <t>08/19/2024</t>
  </si>
  <si>
    <t>630</t>
  </si>
  <si>
    <t>Kuntscher, Kelly</t>
  </si>
  <si>
    <t>04/15/2022</t>
  </si>
  <si>
    <t>631</t>
  </si>
  <si>
    <t>Carter, Paige</t>
  </si>
  <si>
    <t>06/24/2023</t>
  </si>
  <si>
    <t>09/23/2026</t>
  </si>
  <si>
    <t>632</t>
  </si>
  <si>
    <t>Pillers, Zach</t>
  </si>
  <si>
    <t>06/29/2021</t>
  </si>
  <si>
    <t>633</t>
  </si>
  <si>
    <t>08/25/2025</t>
  </si>
  <si>
    <t>Hassan, Syed</t>
  </si>
  <si>
    <t>09/15/2025</t>
  </si>
  <si>
    <t>634</t>
  </si>
  <si>
    <t>Zhu, Arthur</t>
  </si>
  <si>
    <t>635</t>
  </si>
  <si>
    <t>Ventress, John</t>
  </si>
  <si>
    <t>06/22/2023</t>
  </si>
  <si>
    <t>06/22/2025</t>
  </si>
  <si>
    <t>09/21/2026</t>
  </si>
  <si>
    <t>636</t>
  </si>
  <si>
    <t>637</t>
  </si>
  <si>
    <t>01/18/2026</t>
  </si>
  <si>
    <t>638</t>
  </si>
  <si>
    <t>639</t>
  </si>
  <si>
    <t>Neuendorff, Steven</t>
  </si>
  <si>
    <t>02/27/2010</t>
  </si>
  <si>
    <t>03/05/2025</t>
  </si>
  <si>
    <t>05/04/2026</t>
  </si>
  <si>
    <t>640</t>
  </si>
  <si>
    <t>Salchak, Robert</t>
  </si>
  <si>
    <t>06/15/2026</t>
  </si>
  <si>
    <t>641</t>
  </si>
  <si>
    <t>642</t>
  </si>
  <si>
    <t>701</t>
  </si>
  <si>
    <t>Lu, Henry</t>
  </si>
  <si>
    <t>02/19/2024</t>
  </si>
  <si>
    <t>08/14/2026</t>
  </si>
  <si>
    <t>702</t>
  </si>
  <si>
    <t>Lundell, Laura</t>
  </si>
  <si>
    <t>07/30/2020</t>
  </si>
  <si>
    <t>703</t>
  </si>
  <si>
    <t>Raymond, Erin</t>
  </si>
  <si>
    <t>12/15/2022</t>
  </si>
  <si>
    <t>01/14/2026</t>
  </si>
  <si>
    <t>704</t>
  </si>
  <si>
    <t>Morell, Chase</t>
  </si>
  <si>
    <t>07/09/2019</t>
  </si>
  <si>
    <t>08/12/2026</t>
  </si>
  <si>
    <t>705</t>
  </si>
  <si>
    <t>706</t>
  </si>
  <si>
    <t>Williamson, Lauren</t>
  </si>
  <si>
    <t>12/31/2020</t>
  </si>
  <si>
    <t>707</t>
  </si>
  <si>
    <t>10/26/2024</t>
  </si>
  <si>
    <t>708</t>
  </si>
  <si>
    <t>Fernandez, Kristen</t>
  </si>
  <si>
    <t>12/11/2020</t>
  </si>
  <si>
    <t>709</t>
  </si>
  <si>
    <t>Davis, Michael</t>
  </si>
  <si>
    <t>03/06/2023</t>
  </si>
  <si>
    <t>710</t>
  </si>
  <si>
    <t>Neal, Valerie</t>
  </si>
  <si>
    <t>04/10/2026</t>
  </si>
  <si>
    <t>711</t>
  </si>
  <si>
    <t>712</t>
  </si>
  <si>
    <t>713</t>
  </si>
  <si>
    <t>Friedman, Alex</t>
  </si>
  <si>
    <t>12/23/2024</t>
  </si>
  <si>
    <t>03/21/2026</t>
  </si>
  <si>
    <t>714</t>
  </si>
  <si>
    <t>Lorenz, John</t>
  </si>
  <si>
    <t>03/15/2025</t>
  </si>
  <si>
    <t>715</t>
  </si>
  <si>
    <t>Legreid, Mary Catherine</t>
  </si>
  <si>
    <t>716</t>
  </si>
  <si>
    <t>Medeiros, John</t>
  </si>
  <si>
    <t>09/17/2023</t>
  </si>
  <si>
    <t>717</t>
  </si>
  <si>
    <t>Lewis, Evan</t>
  </si>
  <si>
    <t>02/02/2024</t>
  </si>
  <si>
    <t>04/26/2025</t>
  </si>
  <si>
    <t>718</t>
  </si>
  <si>
    <t>Bailey, Karen</t>
  </si>
  <si>
    <t>12/20/2023</t>
  </si>
  <si>
    <t>719</t>
  </si>
  <si>
    <t>Irvan, Chelton</t>
  </si>
  <si>
    <t>05/24/2020</t>
  </si>
  <si>
    <t>08/02/2025</t>
  </si>
  <si>
    <t>720</t>
  </si>
  <si>
    <t>King, Logan</t>
  </si>
  <si>
    <t>11/16/2025</t>
  </si>
  <si>
    <t>721</t>
  </si>
  <si>
    <t>Fawaz, Romy</t>
  </si>
  <si>
    <t>12/10/2024</t>
  </si>
  <si>
    <t>12/15/2025</t>
  </si>
  <si>
    <t>722</t>
  </si>
  <si>
    <t>Landaverde, Estephani</t>
  </si>
  <si>
    <t>07/29/2021</t>
  </si>
  <si>
    <t>723</t>
  </si>
  <si>
    <t>Nguyen, Margie</t>
  </si>
  <si>
    <t>724</t>
  </si>
  <si>
    <t>Zubieta, Sean</t>
  </si>
  <si>
    <t>725</t>
  </si>
  <si>
    <t>Sanchez-Guzman, Guillermo</t>
  </si>
  <si>
    <t>03/22/2019</t>
  </si>
  <si>
    <t>726</t>
  </si>
  <si>
    <t>Aroua, Mehdi</t>
  </si>
  <si>
    <t>09/30/2023</t>
  </si>
  <si>
    <t>12/01/2025</t>
  </si>
  <si>
    <t>727</t>
  </si>
  <si>
    <t>White, Ryan</t>
  </si>
  <si>
    <t>06/16/2025</t>
  </si>
  <si>
    <t>728</t>
  </si>
  <si>
    <t>Salazar, Giselle</t>
  </si>
  <si>
    <t>729</t>
  </si>
  <si>
    <t>Giron, Bianca</t>
  </si>
  <si>
    <t>04/09/2019</t>
  </si>
  <si>
    <t>05/16/2026</t>
  </si>
  <si>
    <t>730</t>
  </si>
  <si>
    <t>Newaz, Adnan</t>
  </si>
  <si>
    <t>731</t>
  </si>
  <si>
    <t>732</t>
  </si>
  <si>
    <t>Channa, Chitraj</t>
  </si>
  <si>
    <t>02/25/2023</t>
  </si>
  <si>
    <t>02/25/2025</t>
  </si>
  <si>
    <t>733</t>
  </si>
  <si>
    <t>Spinola-Khazami, Arman</t>
  </si>
  <si>
    <t>07/08/2022</t>
  </si>
  <si>
    <t>734</t>
  </si>
  <si>
    <t>Shell, Jessica</t>
  </si>
  <si>
    <t>735</t>
  </si>
  <si>
    <t>McGovern, Maggie</t>
  </si>
  <si>
    <t>02/28/2024</t>
  </si>
  <si>
    <t>02/24/2025</t>
  </si>
  <si>
    <t>05/23/2026</t>
  </si>
  <si>
    <t>736</t>
  </si>
  <si>
    <t>737</t>
  </si>
  <si>
    <t>Mitchell, Therese</t>
  </si>
  <si>
    <t>07/22/2026</t>
  </si>
  <si>
    <t>738</t>
  </si>
  <si>
    <t>Bel mokadem, Oussama</t>
  </si>
  <si>
    <t>12/06/2024</t>
  </si>
  <si>
    <t>739</t>
  </si>
  <si>
    <t>Canavan, Erin</t>
  </si>
  <si>
    <t>01/18/2025</t>
  </si>
  <si>
    <t>04/17/2026</t>
  </si>
  <si>
    <t>740</t>
  </si>
  <si>
    <t>Kintzele, Paul</t>
  </si>
  <si>
    <t>741</t>
  </si>
  <si>
    <t>742</t>
  </si>
  <si>
    <t>Gachuhi, Wanjiru</t>
  </si>
  <si>
    <t>801</t>
  </si>
  <si>
    <t>Lindsey, Mason</t>
  </si>
  <si>
    <t>10/07/2024</t>
  </si>
  <si>
    <t>802</t>
  </si>
  <si>
    <t>803</t>
  </si>
  <si>
    <t>Jones, Mike</t>
  </si>
  <si>
    <t>10/19/2020</t>
  </si>
  <si>
    <t>02/08/2026</t>
  </si>
  <si>
    <t>804</t>
  </si>
  <si>
    <t>Simmons, Mark</t>
  </si>
  <si>
    <t>12/28/2021</t>
  </si>
  <si>
    <t>02/28/2025</t>
  </si>
  <si>
    <t>05/27/2026</t>
  </si>
  <si>
    <t>805</t>
  </si>
  <si>
    <t>Choi, Hyun</t>
  </si>
  <si>
    <t>10/21/2023</t>
  </si>
  <si>
    <t>01/21/2025</t>
  </si>
  <si>
    <t>04/20/2026</t>
  </si>
  <si>
    <t>806</t>
  </si>
  <si>
    <t>807</t>
  </si>
  <si>
    <t>McDougal, Jeffrey</t>
  </si>
  <si>
    <t>05/23/2025</t>
  </si>
  <si>
    <t>08/21/2026</t>
  </si>
  <si>
    <t>808</t>
  </si>
  <si>
    <t>Chirichigno, Joseph</t>
  </si>
  <si>
    <t>06/07/2024</t>
  </si>
  <si>
    <t>06/08/2025</t>
  </si>
  <si>
    <t>06/07/2026</t>
  </si>
  <si>
    <t>809</t>
  </si>
  <si>
    <t>Gromacki, Michael</t>
  </si>
  <si>
    <t>05/09/2020</t>
  </si>
  <si>
    <t>04/14/2026</t>
  </si>
  <si>
    <t>810</t>
  </si>
  <si>
    <t>Venable, Linda</t>
  </si>
  <si>
    <t>811</t>
  </si>
  <si>
    <t>Ali, Syed</t>
  </si>
  <si>
    <t>812</t>
  </si>
  <si>
    <t>Sanchez, Gerald</t>
  </si>
  <si>
    <t>01/29/2022</t>
  </si>
  <si>
    <t>813</t>
  </si>
  <si>
    <t>814</t>
  </si>
  <si>
    <t>Fleshner, James</t>
  </si>
  <si>
    <t>10/05/2020</t>
  </si>
  <si>
    <t>815</t>
  </si>
  <si>
    <t>816</t>
  </si>
  <si>
    <t>Frank, Jesse</t>
  </si>
  <si>
    <t>04/16/2017</t>
  </si>
  <si>
    <t>817</t>
  </si>
  <si>
    <t>Sellars, Harriette</t>
  </si>
  <si>
    <t>09/23/2017</t>
  </si>
  <si>
    <t>01/09/2026</t>
  </si>
  <si>
    <t>820</t>
  </si>
  <si>
    <t>A14</t>
  </si>
  <si>
    <t>Hayward, Jillian</t>
  </si>
  <si>
    <t>08/26/2022</t>
  </si>
  <si>
    <t>837</t>
  </si>
  <si>
    <t>B6a</t>
  </si>
  <si>
    <t>838</t>
  </si>
  <si>
    <t>10/25/2025</t>
  </si>
  <si>
    <t>839</t>
  </si>
  <si>
    <t>Rizzo, Blake</t>
  </si>
  <si>
    <t>01/31/2026</t>
  </si>
  <si>
    <t>840</t>
  </si>
  <si>
    <t>Barreto Rohrer, Ualas</t>
  </si>
  <si>
    <t>08/01/2026</t>
  </si>
  <si>
    <t>841</t>
  </si>
  <si>
    <t>Payer, Daniel</t>
  </si>
  <si>
    <t>07/16/2018</t>
  </si>
  <si>
    <t>842</t>
  </si>
  <si>
    <t>Jacoby, Michael</t>
  </si>
  <si>
    <t># Units</t>
  </si>
  <si>
    <t>Average 
SQFT</t>
  </si>
  <si>
    <t>Average 
Leased</t>
  </si>
  <si>
    <t>Leased Amt/SQFT</t>
  </si>
  <si>
    <t>Units 
Occupied</t>
  </si>
  <si>
    <t>Units 
Available</t>
  </si>
  <si>
    <t>Totals / Averages:</t>
  </si>
  <si>
    <t>Occupancy and Rents Summary for Current Date</t>
  </si>
  <si>
    <t>Summary Billing by Transaction Code for Current Date</t>
  </si>
  <si>
    <t>Unit Status</t>
  </si>
  <si>
    <t>Potential Rent</t>
  </si>
  <si>
    <t>Occupied, no NTV</t>
  </si>
  <si>
    <t>Occupied, NTV</t>
  </si>
  <si>
    <t>Occupied NTV Leased</t>
  </si>
  <si>
    <t>Vacant Leased</t>
  </si>
  <si>
    <t>Vacant Not Leased</t>
  </si>
  <si>
    <t>Total:</t>
  </si>
  <si>
    <t>https://www.hctax.net/Property/TaxStatement?account=kzrFbHWYJP9hz8gVllkz7ctaKFijLb96z72yEBEhQgQ=</t>
  </si>
  <si>
    <t>129-151-001-0001</t>
  </si>
  <si>
    <t>04/30/2025</t>
  </si>
  <si>
    <t>05/31/2025</t>
  </si>
  <si>
    <t xml:space="preserve">  INCOME</t>
  </si>
  <si>
    <t xml:space="preserve">  </t>
  </si>
  <si>
    <t xml:space="preserve">    4000-000 - Market Rent</t>
  </si>
  <si>
    <t xml:space="preserve">    4010-000 - Gain/Loss to Lease</t>
  </si>
  <si>
    <t xml:space="preserve">    Gross Possible</t>
  </si>
  <si>
    <t xml:space="preserve">    LESS DEDUCTIONS</t>
  </si>
  <si>
    <t xml:space="preserve">    </t>
  </si>
  <si>
    <t xml:space="preserve">      4100-000 - Vacancy Loss</t>
  </si>
  <si>
    <t xml:space="preserve">      4110-000 - Concessions Market</t>
  </si>
  <si>
    <t xml:space="preserve">      4120-000 - Model/Guest Suite</t>
  </si>
  <si>
    <t xml:space="preserve">      4130-000 - Employee Units</t>
  </si>
  <si>
    <t xml:space="preserve">    Total Deductions</t>
  </si>
  <si>
    <t xml:space="preserve">    EFFECTIVE ECONOMIC OCCUPANCY</t>
  </si>
  <si>
    <t xml:space="preserve">    4140-000 - Rent Write Off</t>
  </si>
  <si>
    <t xml:space="preserve">    .</t>
  </si>
  <si>
    <t xml:space="preserve">    Total Rental Income</t>
  </si>
  <si>
    <t xml:space="preserve">    OTHER INCOME</t>
  </si>
  <si>
    <t xml:space="preserve">      4200-000 - Application Fees</t>
  </si>
  <si>
    <t xml:space="preserve">      4201-000 - Administrative Fees</t>
  </si>
  <si>
    <t xml:space="preserve">      4205-000 - Month to Month Fees</t>
  </si>
  <si>
    <t xml:space="preserve">      4210-000 - Late Fees</t>
  </si>
  <si>
    <t xml:space="preserve">      4211-000 - NSF Fees</t>
  </si>
  <si>
    <t xml:space="preserve">      4244-000 - Cleaning/Damages</t>
  </si>
  <si>
    <t xml:space="preserve">      4254-000 - Pet Rent</t>
  </si>
  <si>
    <t xml:space="preserve">      4254-500 - Pet Fees</t>
  </si>
  <si>
    <t xml:space="preserve">      4257-000 - Termination/Notice Fees</t>
  </si>
  <si>
    <t xml:space="preserve">      4260-000 - Other Income</t>
  </si>
  <si>
    <t xml:space="preserve">      4267-000 - Package Locker Fee</t>
  </si>
  <si>
    <t xml:space="preserve">      4272-000 - Pest Control Income</t>
  </si>
  <si>
    <t xml:space="preserve">      4273-000 - Trash Income</t>
  </si>
  <si>
    <t xml:space="preserve">      4274-000 - Resident Liability Ins. Inc</t>
  </si>
  <si>
    <t xml:space="preserve">      4277-000 - Covered Pkng/Carport Inc</t>
  </si>
  <si>
    <t xml:space="preserve">      4280-000 - Utility Reimbursement Inc</t>
  </si>
  <si>
    <t xml:space="preserve">      4280-500 - Water/Sewer Income</t>
  </si>
  <si>
    <t xml:space="preserve">    Total Other Income</t>
  </si>
  <si>
    <t xml:space="preserve">  TOTAL INCOME</t>
  </si>
  <si>
    <t xml:space="preserve">  EXPENSES</t>
  </si>
  <si>
    <t xml:space="preserve">    MARKETING &amp; LEASING EXPENSES</t>
  </si>
  <si>
    <t xml:space="preserve">      5130-000 - Other Marketing</t>
  </si>
  <si>
    <t xml:space="preserve">      5160-000 - Resident Promotion/Events</t>
  </si>
  <si>
    <t xml:space="preserve">    Total Marketing &amp; Leasing</t>
  </si>
  <si>
    <t xml:space="preserve">    GENERAL &amp; ADMINISTRATIVE EXP</t>
  </si>
  <si>
    <t xml:space="preserve">      5216-000 - Printing &amp; Copier Exp.</t>
  </si>
  <si>
    <t xml:space="preserve">      5218-000 - On-Site Sftwre &amp; Support</t>
  </si>
  <si>
    <t xml:space="preserve">      5225-000 - Answering Service</t>
  </si>
  <si>
    <t xml:space="preserve">      5230-000 - Postage &amp; Delivery</t>
  </si>
  <si>
    <t xml:space="preserve">      5250-000 - Permits &amp; Licenses</t>
  </si>
  <si>
    <t xml:space="preserve">      5272-000 - Revenue Mgmt Expenses</t>
  </si>
  <si>
    <t xml:space="preserve">    Total General &amp; Administrative Exp</t>
  </si>
  <si>
    <t xml:space="preserve">    CONTRACT SERVICES</t>
  </si>
  <si>
    <t xml:space="preserve">      5316-000 - Equipment Service</t>
  </si>
  <si>
    <t xml:space="preserve">      5320-000 - Exterminating</t>
  </si>
  <si>
    <t xml:space="preserve">      5325-000 - Landscaping Contract</t>
  </si>
  <si>
    <t xml:space="preserve">      5330-000 - Pool Service</t>
  </si>
  <si>
    <t xml:space="preserve">      5335-000 - Security Service</t>
  </si>
  <si>
    <t xml:space="preserve">      5360-000 - Miscellaneous Service</t>
  </si>
  <si>
    <t xml:space="preserve">    Total Contract Services</t>
  </si>
  <si>
    <t xml:space="preserve">    REPAIR &amp; MAINTENANCE EXPENSES</t>
  </si>
  <si>
    <t xml:space="preserve">      5500-000 - Appliance Supplies &amp; Rprs</t>
  </si>
  <si>
    <t xml:space="preserve">      5514-000 - Water Extraction/Repairs</t>
  </si>
  <si>
    <t xml:space="preserve">      5520-000 - Interior Supplies &amp; Rprs</t>
  </si>
  <si>
    <t xml:space="preserve">      5540-000 - Exterior Supplies &amp; Rprs</t>
  </si>
  <si>
    <t xml:space="preserve">      5555-000 - Fire Safety Repairs</t>
  </si>
  <si>
    <t xml:space="preserve">      5572-000 - Janitorial Supplies</t>
  </si>
  <si>
    <t xml:space="preserve">    Total Repair &amp; Maintenance Expenses</t>
  </si>
  <si>
    <t xml:space="preserve">    TURNKEY EXPENSES</t>
  </si>
  <si>
    <t xml:space="preserve">      5600-000 - Carpet Cleaning &amp; Repairs</t>
  </si>
  <si>
    <t xml:space="preserve">      5620-000 - Contract Painting</t>
  </si>
  <si>
    <t xml:space="preserve">      5630-000 - Contract Cleaning</t>
  </si>
  <si>
    <t xml:space="preserve">      5634-000 - Bath Tub/Sink Resurfacing</t>
  </si>
  <si>
    <t xml:space="preserve">    Total Turnkey Expenses</t>
  </si>
  <si>
    <t xml:space="preserve">    PAYROLL EXPENSES</t>
  </si>
  <si>
    <t xml:space="preserve">      5710-000 - Mgt., Leasing &amp; Bookkpng.</t>
  </si>
  <si>
    <t xml:space="preserve">      5720-000 - Maintenance &amp; Interior</t>
  </si>
  <si>
    <t xml:space="preserve">      5730-000 - Exterior Porter</t>
  </si>
  <si>
    <t xml:space="preserve">      5780-000 - Payroll Taxes &amp; Benefits</t>
  </si>
  <si>
    <t xml:space="preserve">      5780-100 - Workers Compensation</t>
  </si>
  <si>
    <t xml:space="preserve">      5780-200 - Group Insurance</t>
  </si>
  <si>
    <t xml:space="preserve">    Total Payroll Expenses</t>
  </si>
  <si>
    <t xml:space="preserve">    UTILITY EXPENSES</t>
  </si>
  <si>
    <t xml:space="preserve">      5915-000 - Electricity Expense-Units</t>
  </si>
  <si>
    <t xml:space="preserve">      5920-000 - Gas Expense-Bldg</t>
  </si>
  <si>
    <t xml:space="preserve">      5930-000 - Water &amp; Sewer Expense</t>
  </si>
  <si>
    <t xml:space="preserve">      5940-000 - Trash Removal Expense</t>
  </si>
  <si>
    <t xml:space="preserve">    Total Utilities</t>
  </si>
  <si>
    <t xml:space="preserve">    FIXED EXPENSES</t>
  </si>
  <si>
    <t xml:space="preserve">      6030-000 - Real Property Taxes</t>
  </si>
  <si>
    <t xml:space="preserve">      6040-100 - Insurance -Property</t>
  </si>
  <si>
    <t xml:space="preserve">      6040-200 - Insurance -Liability</t>
  </si>
  <si>
    <t xml:space="preserve">    Total Fixed Expenses</t>
  </si>
  <si>
    <t xml:space="preserve">    HOME OFFICE EXPENSES</t>
  </si>
  <si>
    <t xml:space="preserve">      6110-000 - Management Fees</t>
  </si>
  <si>
    <t xml:space="preserve">      6130-000 - Legal Fees</t>
  </si>
  <si>
    <t xml:space="preserve">    Total Home Office</t>
  </si>
  <si>
    <t xml:space="preserve">  TOTAL OPERATING EXPENSES</t>
  </si>
  <si>
    <t xml:space="preserve">  NET OPERATING INCOME</t>
  </si>
  <si>
    <t xml:space="preserve">  PARTNERSHIP EXPENSES</t>
  </si>
  <si>
    <t xml:space="preserve">    6500-000 - Debt Svc-Interest 1st Mor</t>
  </si>
  <si>
    <t xml:space="preserve">    6545-000 - Loan Servicing Fees</t>
  </si>
  <si>
    <t xml:space="preserve">  Total Partnership Expenses</t>
  </si>
  <si>
    <t xml:space="preserve">  NET INCOME</t>
  </si>
  <si>
    <t xml:space="preserve">  CASH FLOW FROM OPERATION</t>
  </si>
  <si>
    <t xml:space="preserve">  NET CASH FLOW</t>
  </si>
  <si>
    <t>Line Item</t>
  </si>
  <si>
    <t>Line Items</t>
  </si>
  <si>
    <t>Prior</t>
  </si>
  <si>
    <t>T12 Total</t>
  </si>
  <si>
    <t>Expense Reimbursement</t>
  </si>
  <si>
    <t>Percentage Rent</t>
  </si>
  <si>
    <t>Parking Income</t>
  </si>
  <si>
    <t>OPERATING EXPENSES</t>
  </si>
  <si>
    <t>Janitorial</t>
  </si>
  <si>
    <t>Management Fees</t>
  </si>
  <si>
    <t>Advertising &amp; Marketing</t>
  </si>
  <si>
    <t>Professional Fees</t>
  </si>
  <si>
    <t>General and Administrative</t>
  </si>
  <si>
    <t>Other Expenses</t>
  </si>
  <si>
    <t>Ground Rent</t>
  </si>
  <si>
    <t>Non-Operating Expenses</t>
  </si>
  <si>
    <t>Interest Expense</t>
  </si>
  <si>
    <t>Non-Recurring Expenses</t>
  </si>
  <si>
    <t>HVAC R&amp;M</t>
  </si>
  <si>
    <t>Plumbing R&amp;M</t>
  </si>
  <si>
    <t>FLS R&amp;M</t>
  </si>
  <si>
    <t>Bldg Interior - Painting</t>
  </si>
  <si>
    <t>Tree Trimming</t>
  </si>
  <si>
    <t>Bldg Exterior R&amp;M</t>
  </si>
  <si>
    <t>Gross Potential Rent (3)</t>
  </si>
  <si>
    <t>Less: Vacancy Loss</t>
  </si>
  <si>
    <t>Base Rent (3)</t>
  </si>
  <si>
    <t xml:space="preserve">Utilities </t>
  </si>
  <si>
    <t>Repairs and Maintenance</t>
  </si>
  <si>
    <t xml:space="preserve">Payroll &amp; Benefits </t>
  </si>
  <si>
    <t>Debt Service - A Note</t>
  </si>
  <si>
    <t>Variance ($)</t>
  </si>
  <si>
    <t>Variance (%)</t>
  </si>
  <si>
    <t>Vacancy Factor</t>
  </si>
  <si>
    <t>Actual</t>
  </si>
  <si>
    <t>Notes:</t>
  </si>
  <si>
    <t>NOI adjusted per the Loan Agreement.</t>
  </si>
  <si>
    <t>DSCR includes the benefit of the rate cap.</t>
  </si>
  <si>
    <t>No</t>
  </si>
  <si>
    <t>Property Insurance - Global</t>
  </si>
  <si>
    <t>Liability Insurance - Marsh</t>
  </si>
  <si>
    <t>Environmental Insurance - AON</t>
  </si>
  <si>
    <t>2025 insurance premium</t>
  </si>
  <si>
    <t/>
  </si>
  <si>
    <t>In place to UW Year 1</t>
  </si>
  <si>
    <t>DY 3Q 2025</t>
  </si>
  <si>
    <r>
      <t>Memorial Hills</t>
    </r>
    <r>
      <rPr>
        <vertAlign val="superscript"/>
        <sz val="9"/>
        <color rgb="FF000000"/>
        <rFont val="Arial"/>
        <family val="2"/>
      </rPr>
      <t xml:space="preserve"> [1]</t>
    </r>
  </si>
  <si>
    <t xml:space="preserve">      4110-100 - Concessions-One Time</t>
  </si>
  <si>
    <t xml:space="preserve">      4110-300 - Concessions -Other</t>
  </si>
  <si>
    <t xml:space="preserve">      4238-000 - Amenity Fee</t>
  </si>
  <si>
    <t xml:space="preserve">      4252-000 - Legal Fees</t>
  </si>
  <si>
    <t xml:space="preserve">      4277-500 - Parking Income</t>
  </si>
  <si>
    <t xml:space="preserve">      5100-000 - Advertising</t>
  </si>
  <si>
    <t xml:space="preserve">      5102-000 - Community Website Exp</t>
  </si>
  <si>
    <t xml:space="preserve">      5110-000 - Locator Fees</t>
  </si>
  <si>
    <t xml:space="preserve">      5165-000 - Resident Services</t>
  </si>
  <si>
    <t xml:space="preserve">      5200-000 - Office Supplies</t>
  </si>
  <si>
    <t xml:space="preserve">      5217-000 - Computer/Network Exp</t>
  </si>
  <si>
    <t xml:space="preserve">      5220-000 - Telephone/Fax</t>
  </si>
  <si>
    <t xml:space="preserve">      5235-000 - Dues/Meeting</t>
  </si>
  <si>
    <t xml:space="preserve">      5240-000 - Eviction Costs</t>
  </si>
  <si>
    <t xml:space="preserve">      5245-000 - Vehicle/Travel Expense</t>
  </si>
  <si>
    <t xml:space="preserve">      5260-000 - Other Administrative</t>
  </si>
  <si>
    <t xml:space="preserve">      5265-000 - Bank Fees</t>
  </si>
  <si>
    <t xml:space="preserve">      5274-000 - Applicant Screening Exps</t>
  </si>
  <si>
    <t xml:space="preserve">      5275-000 - Res Payment Srvc Fees</t>
  </si>
  <si>
    <t xml:space="preserve">      5280-000 - Training/Seminars</t>
  </si>
  <si>
    <t xml:space="preserve">      5303-000 - Internet Service</t>
  </si>
  <si>
    <t xml:space="preserve">      5305-000 - Common Area Cleaning</t>
  </si>
  <si>
    <t xml:space="preserve">      5347-000 - Valet Trash Pick-up</t>
  </si>
  <si>
    <t xml:space="preserve">      5365-000 - Alarm Monitoring Service</t>
  </si>
  <si>
    <t xml:space="preserve">      5375-000 - Fire Safety Monitoring Sv</t>
  </si>
  <si>
    <t xml:space="preserve">      5390-000 - GAP Renter's Liability Ins</t>
  </si>
  <si>
    <t xml:space="preserve">      5510-000 - Plumbing Supplies &amp; Rprs</t>
  </si>
  <si>
    <t xml:space="preserve">      5515-000 - HVAC Supplies &amp; Rprs</t>
  </si>
  <si>
    <t xml:space="preserve">      5525-000 - Doors/ Wndws/Glass Rprs</t>
  </si>
  <si>
    <t xml:space="preserve">      5530-000 - Security Locks &amp; Keys</t>
  </si>
  <si>
    <t xml:space="preserve">      5570-000 - Other Maintenance Supp.</t>
  </si>
  <si>
    <t xml:space="preserve">      5770-000 - Incentive Pay</t>
  </si>
  <si>
    <t xml:space="preserve">      5776-000 - Employee Screening</t>
  </si>
  <si>
    <t xml:space="preserve">      5910-000 - Electricity Expense-Bldg</t>
  </si>
  <si>
    <t xml:space="preserve">      5965-000 - Utility Billing Expense</t>
  </si>
  <si>
    <t xml:space="preserve">  CAPITAL IMPROVEMENTS</t>
  </si>
  <si>
    <t xml:space="preserve">    CAPITAL REPAIRS</t>
  </si>
  <si>
    <t xml:space="preserve">      8010-000 - Carpet/Wood Flr Repair</t>
  </si>
  <si>
    <t xml:space="preserve">    Total Capital Repairs</t>
  </si>
  <si>
    <t xml:space="preserve">    CAPITAL REPLACEMENTS</t>
  </si>
  <si>
    <t xml:space="preserve">      8170-000 - HVAC Replacement</t>
  </si>
  <si>
    <t xml:space="preserve">      8208-000 - Apts. Interior Upgrades</t>
  </si>
  <si>
    <t xml:space="preserve">    Total Capital Replacements</t>
  </si>
  <si>
    <t xml:space="preserve">  TOTAL CAPITAL IMPROVEMENTS</t>
  </si>
  <si>
    <t>Greater of T12 taxes &amp; 2025 actual taxes</t>
  </si>
  <si>
    <t>NOI Check</t>
  </si>
  <si>
    <t>08/04/2025</t>
  </si>
  <si>
    <t>09/07/2026</t>
  </si>
  <si>
    <t>07/16/2026</t>
  </si>
  <si>
    <t>09/14/2026</t>
  </si>
  <si>
    <t>12/31/2025</t>
  </si>
  <si>
    <t>12/10/2026</t>
  </si>
  <si>
    <t>Truong, Preston</t>
  </si>
  <si>
    <t>10/04/2025</t>
  </si>
  <si>
    <t>10/03/2026</t>
  </si>
  <si>
    <t>08/09/2025</t>
  </si>
  <si>
    <t>09/06/2025</t>
  </si>
  <si>
    <t>02/05/2026</t>
  </si>
  <si>
    <t>09/24/2025</t>
  </si>
  <si>
    <t>05/18/2026</t>
  </si>
  <si>
    <t>09/29/2026</t>
  </si>
  <si>
    <t>09/01/2025</t>
  </si>
  <si>
    <t>08/31/2026</t>
  </si>
  <si>
    <t>08/27/2025</t>
  </si>
  <si>
    <t>10/15/2025</t>
  </si>
  <si>
    <t>10/12/2026</t>
  </si>
  <si>
    <t>08/24/2026</t>
  </si>
  <si>
    <t>07/11/2025</t>
  </si>
  <si>
    <t>11/10/2026</t>
  </si>
  <si>
    <t>04/27/2026</t>
  </si>
  <si>
    <t>Mares, Kendall</t>
  </si>
  <si>
    <t>09/20/2025</t>
  </si>
  <si>
    <t>11/19/2026</t>
  </si>
  <si>
    <t>09/28/2026</t>
  </si>
  <si>
    <t>02/01/2027</t>
  </si>
  <si>
    <t>08/17/2026</t>
  </si>
  <si>
    <t>08/05/2025</t>
  </si>
  <si>
    <t>11/04/2026</t>
  </si>
  <si>
    <t>Brady, Connor</t>
  </si>
  <si>
    <t>10/27/2025</t>
  </si>
  <si>
    <t>12/26/2026</t>
  </si>
  <si>
    <t>08/12/2025</t>
  </si>
  <si>
    <t>08/10/2026</t>
  </si>
  <si>
    <t>07/15/2025</t>
  </si>
  <si>
    <t>10/14/2026</t>
  </si>
  <si>
    <t>11/26/2026</t>
  </si>
  <si>
    <t>09/28/2025</t>
  </si>
  <si>
    <t>Lazo, Marco</t>
  </si>
  <si>
    <t>10/02/2025</t>
  </si>
  <si>
    <t>11/01/2026</t>
  </si>
  <si>
    <t>Bruns, Brianna</t>
  </si>
  <si>
    <t>04/02/2026</t>
  </si>
  <si>
    <t>07/27/2025</t>
  </si>
  <si>
    <t>10/26/2026</t>
  </si>
  <si>
    <t>08/22/2026</t>
  </si>
  <si>
    <t>09/13/2025</t>
  </si>
  <si>
    <t>12/18/2026</t>
  </si>
  <si>
    <t>10/21/2025</t>
  </si>
  <si>
    <t>01/18/2027</t>
  </si>
  <si>
    <t>07/09/2026</t>
  </si>
  <si>
    <t>Sadeghi, Hajar</t>
  </si>
  <si>
    <t>10/17/2026</t>
  </si>
  <si>
    <t>10/19/2025</t>
  </si>
  <si>
    <t>07/20/2026</t>
  </si>
  <si>
    <t>07/12/2026</t>
  </si>
  <si>
    <t>Donovan, John</t>
  </si>
  <si>
    <t>10/18/2026</t>
  </si>
  <si>
    <t>Alter, Melissa</t>
  </si>
  <si>
    <t>09/18/2026</t>
  </si>
  <si>
    <t>Alpough, Jabari</t>
  </si>
  <si>
    <t>11/09/2026</t>
  </si>
  <si>
    <t>Kohrman McKay, Susan</t>
  </si>
  <si>
    <t>Quintanilla, Zach</t>
  </si>
  <si>
    <t>09/22/2026</t>
  </si>
  <si>
    <t>09/08/2025</t>
  </si>
  <si>
    <t>11/16/2026</t>
  </si>
  <si>
    <t>11/02/2026</t>
  </si>
  <si>
    <t>Rincon, Aleyda</t>
  </si>
  <si>
    <t>Anderson, Lynnel</t>
  </si>
  <si>
    <t>10/30/2026</t>
  </si>
  <si>
    <t>10/10/2025</t>
  </si>
  <si>
    <t>09/09/2026</t>
  </si>
  <si>
    <t>09/30/2026</t>
  </si>
  <si>
    <t>Babka, Maximilian</t>
  </si>
  <si>
    <t>Capital Expenditures</t>
  </si>
  <si>
    <t>Bldg/Unit</t>
  </si>
  <si>
    <t>Phone Number</t>
  </si>
  <si>
    <t>Email</t>
  </si>
  <si>
    <t>Status</t>
  </si>
  <si>
    <t>Move-In/Out</t>
  </si>
  <si>
    <t>Code Description</t>
  </si>
  <si>
    <t>Total Prepaid</t>
  </si>
  <si>
    <t>Total Delinquent</t>
  </si>
  <si>
    <t>D</t>
  </si>
  <si>
    <t>O</t>
  </si>
  <si>
    <t>Net Balance</t>
  </si>
  <si>
    <t>Current</t>
  </si>
  <si>
    <t>30 Days</t>
  </si>
  <si>
    <t>60 Days</t>
  </si>
  <si>
    <t>90+ Days</t>
  </si>
  <si>
    <t>Prorate Credit</t>
  </si>
  <si>
    <t>Deposits Held</t>
  </si>
  <si>
    <t>Outstanding Deposit</t>
  </si>
  <si>
    <t>#Late</t>
  </si>
  <si>
    <t>#NSF</t>
  </si>
  <si>
    <t>Comment Date</t>
  </si>
  <si>
    <t>Leasing Agent</t>
  </si>
  <si>
    <t>Current resident</t>
  </si>
  <si>
    <t>RISK</t>
  </si>
  <si>
    <t>N/A</t>
  </si>
  <si>
    <t>PMTBILTACH</t>
  </si>
  <si>
    <t>Hervey, Dajaunna Diane</t>
  </si>
  <si>
    <t>(346) 770-7324</t>
  </si>
  <si>
    <t>dajadiane2@gmail.com</t>
  </si>
  <si>
    <t>PMTBILT3RDCREDIT</t>
  </si>
  <si>
    <t>366</t>
  </si>
  <si>
    <t>493</t>
  </si>
  <si>
    <t>Truong, Preston Duy</t>
  </si>
  <si>
    <t>(832) 781-9683</t>
  </si>
  <si>
    <t>truong_preston@yahoo.com</t>
  </si>
  <si>
    <t>PMTOPCARD</t>
  </si>
  <si>
    <t>NTV</t>
  </si>
  <si>
    <t>LATEFEE</t>
  </si>
  <si>
    <t>NSFFEE</t>
  </si>
  <si>
    <t>RENTPLUS</t>
  </si>
  <si>
    <t>WSR</t>
  </si>
  <si>
    <t>PMTOPACH</t>
  </si>
  <si>
    <t>PMTOPIRD</t>
  </si>
  <si>
    <t>PMTBILT3RDDEBIT</t>
  </si>
  <si>
    <t>263</t>
  </si>
  <si>
    <t>52</t>
  </si>
  <si>
    <t>54</t>
  </si>
  <si>
    <t>blake.rizzo@gmail.com</t>
  </si>
  <si>
    <t>NONE</t>
  </si>
  <si>
    <t>Misc. Income</t>
  </si>
  <si>
    <t>TOTALS</t>
  </si>
  <si>
    <t>*  -- Resident is under eviction
† -- Balance due includes NSF transaction(s). Please refer to the appropriate ledger for more information
‡ -- Includes amounts that are 120+ days past due
§ -- Cash basis charge codes: Income account will match the AR account</t>
  </si>
  <si>
    <t>DY 4Q 2025</t>
  </si>
  <si>
    <t xml:space="preserve">      4256-000 - Key/Lockout Fees</t>
  </si>
  <si>
    <t xml:space="preserve">      4271-000 - Deposit Alternative Income</t>
  </si>
  <si>
    <t xml:space="preserve">      5155-000 - Prospect Refreshments</t>
  </si>
  <si>
    <t xml:space="preserve">      5210-000 - Office Furn/Equip Rental</t>
  </si>
  <si>
    <t xml:space="preserve">      5324-000 - Termite Treatment</t>
  </si>
  <si>
    <t xml:space="preserve">      5327-000 - Landscaping Services</t>
  </si>
  <si>
    <t xml:space="preserve">      5337-000 - Key Control Contract</t>
  </si>
  <si>
    <t xml:space="preserve">      5350-000 - Uniforms</t>
  </si>
  <si>
    <t xml:space="preserve">      5505-000 - Electrical Supplies &amp; Rprs</t>
  </si>
  <si>
    <t xml:space="preserve">      5524-000 - Plaster/Sheetrock Rprs</t>
  </si>
  <si>
    <t xml:space="preserve">      5535-000 - Common Area Rprs/Maint.</t>
  </si>
  <si>
    <t xml:space="preserve">      5558-000 - Access Gate Repairs</t>
  </si>
  <si>
    <t xml:space="preserve">      5566-000 - Tools &amp; Small Equipment</t>
  </si>
  <si>
    <t xml:space="preserve">      5567-000 - Roof/Gutter Repairs</t>
  </si>
  <si>
    <t xml:space="preserve">      5610-000 - Vinyl Repairs</t>
  </si>
  <si>
    <t xml:space="preserve">      5640-000 - Paint &amp; Supplies</t>
  </si>
  <si>
    <t xml:space="preserve">      5645-000 - Unit Cleaning Supplies</t>
  </si>
  <si>
    <t xml:space="preserve">      5760-000 - Rental &amp; Renewal Bonuses</t>
  </si>
  <si>
    <t xml:space="preserve">      6040-000 - Insurance Expense</t>
  </si>
  <si>
    <t xml:space="preserve">    6550-000 - Other Partnership Exp.</t>
  </si>
  <si>
    <t xml:space="preserve">      8020-000 - Vinyl/Floor Tile Repair</t>
  </si>
  <si>
    <t xml:space="preserve">      8055-000 - Plumbing Repair</t>
  </si>
  <si>
    <t xml:space="preserve">      8085-000 - Landscaping/Drainage Rpr</t>
  </si>
  <si>
    <t xml:space="preserve">      8089-000 - Ofc/Club/Pool/Amnty Rpr</t>
  </si>
  <si>
    <t xml:space="preserve">      8100-000 - Carpet/Wood Flr Rplcmnt</t>
  </si>
  <si>
    <t xml:space="preserve">      8110-000 - Vinyl/Floor Tile Rplcmnt</t>
  </si>
  <si>
    <t xml:space="preserve">      8130-000 - Dishwasher Replacement</t>
  </si>
  <si>
    <t xml:space="preserve">      8145-000 - Other Appliances Rplcmnt</t>
  </si>
  <si>
    <t xml:space="preserve">      8155-000 - Wind/Screen/Door Rplc</t>
  </si>
  <si>
    <t xml:space="preserve">      8165-000 - Plumbing Replacement</t>
  </si>
  <si>
    <t xml:space="preserve">      8180-000 - Electrical Replacement</t>
  </si>
  <si>
    <t xml:space="preserve">      8182-000 - Int Lighting Fixture Replcmt</t>
  </si>
  <si>
    <t xml:space="preserve">      8235-000 - Office/Club Addtns/Upgrd</t>
  </si>
  <si>
    <t xml:space="preserve">      8238-000 - Pool/Tennis Court Addtns</t>
  </si>
  <si>
    <t xml:space="preserve">      8260-000 - Equipment Replacement</t>
  </si>
  <si>
    <t xml:space="preserve">      8275-000 - Start Up Costs-Office Setup</t>
  </si>
  <si>
    <t xml:space="preserve">      8275-250 - Start Up Costs-Marketing</t>
  </si>
  <si>
    <t>T7</t>
  </si>
  <si>
    <t>N/A - non recurring</t>
  </si>
  <si>
    <t>TECH FEE</t>
  </si>
  <si>
    <t>MOD</t>
  </si>
  <si>
    <t>A9b</t>
  </si>
  <si>
    <t>A10c</t>
  </si>
  <si>
    <t>02/01/2026</t>
  </si>
  <si>
    <t>01/31/2027</t>
  </si>
  <si>
    <t>A5a</t>
  </si>
  <si>
    <t>Maldonado, Arely</t>
  </si>
  <si>
    <t>01/22/2027</t>
  </si>
  <si>
    <t>B1c</t>
  </si>
  <si>
    <t>Fields, Roshanti</t>
  </si>
  <si>
    <t>01/02/2026</t>
  </si>
  <si>
    <t>01/02/2027</t>
  </si>
  <si>
    <t>A6a</t>
  </si>
  <si>
    <t>A9d</t>
  </si>
  <si>
    <t>A6b</t>
  </si>
  <si>
    <t>A10b</t>
  </si>
  <si>
    <t>A4</t>
  </si>
  <si>
    <t>12/08/2025</t>
  </si>
  <si>
    <t>12/07/2026</t>
  </si>
  <si>
    <t>01/01/2026</t>
  </si>
  <si>
    <t>Spuches, Maria</t>
  </si>
  <si>
    <t>12/20/2025</t>
  </si>
  <si>
    <t>12/19/2026</t>
  </si>
  <si>
    <t>02/15/2027</t>
  </si>
  <si>
    <t>Contreras, Luz</t>
  </si>
  <si>
    <t>01/06/2027</t>
  </si>
  <si>
    <t>02/16/2026</t>
  </si>
  <si>
    <t>B1b</t>
  </si>
  <si>
    <t>B1a</t>
  </si>
  <si>
    <t>Wallace, Dorothy</t>
  </si>
  <si>
    <t>04/19/2027</t>
  </si>
  <si>
    <t>01/13/2026</t>
  </si>
  <si>
    <t>04/12/2027</t>
  </si>
  <si>
    <t>B3a</t>
  </si>
  <si>
    <t>A10a</t>
  </si>
  <si>
    <t>Gonzales, Caroline</t>
  </si>
  <si>
    <t>09/04/2025</t>
  </si>
  <si>
    <t>09/03/2026</t>
  </si>
  <si>
    <t>Baker, Marcelle</t>
  </si>
  <si>
    <t>02/06/2026</t>
  </si>
  <si>
    <t>02/05/2027</t>
  </si>
  <si>
    <t>Wells, Wesley</t>
  </si>
  <si>
    <t>12/30/2026</t>
  </si>
  <si>
    <t>11/15/2026</t>
  </si>
  <si>
    <t>11/12/2025</t>
  </si>
  <si>
    <t>Gregory, Addison</t>
  </si>
  <si>
    <t>12/17/2026</t>
  </si>
  <si>
    <t>12/13/2025</t>
  </si>
  <si>
    <t>12/12/2026</t>
  </si>
  <si>
    <t>12/03/2025</t>
  </si>
  <si>
    <t>11/30/2026</t>
  </si>
  <si>
    <t>Starinnova, Sofia</t>
  </si>
  <si>
    <t>03/08/2027</t>
  </si>
  <si>
    <t>Wahl, Kristina</t>
  </si>
  <si>
    <t>03/22/2027</t>
  </si>
  <si>
    <t>Hayes, Lucas</t>
  </si>
  <si>
    <t>01/13/2027</t>
  </si>
  <si>
    <t>Lynch, Gillian</t>
  </si>
  <si>
    <t>03/28/2027</t>
  </si>
  <si>
    <t>03/15/2027</t>
  </si>
  <si>
    <t>Passon, Brennan</t>
  </si>
  <si>
    <t>04/24/2026</t>
  </si>
  <si>
    <t>03/29/2027</t>
  </si>
  <si>
    <t>07/13/2026</t>
  </si>
  <si>
    <t>11/02/2025</t>
  </si>
  <si>
    <t>A7a</t>
  </si>
  <si>
    <t>A9a</t>
  </si>
  <si>
    <t>Stinson, Iman</t>
  </si>
  <si>
    <t>11/14/2026</t>
  </si>
  <si>
    <t>11/24/2025</t>
  </si>
  <si>
    <t>07/27/2026</t>
  </si>
  <si>
    <t>Chungata, Erick</t>
  </si>
  <si>
    <t>04/06/2027</t>
  </si>
  <si>
    <t>Carpenter, John</t>
  </si>
  <si>
    <t>04/29/2027</t>
  </si>
  <si>
    <t>02/20/2026</t>
  </si>
  <si>
    <t>03/19/2027</t>
  </si>
  <si>
    <t>Leon, Cecilia</t>
  </si>
  <si>
    <t>02/27/2027</t>
  </si>
  <si>
    <t>12/31/2026</t>
  </si>
  <si>
    <t>12/14/2026</t>
  </si>
  <si>
    <t>Mathews, Richard</t>
  </si>
  <si>
    <t>04/01/2027</t>
  </si>
  <si>
    <t>Rowley, Karena</t>
  </si>
  <si>
    <t>01/19/2027</t>
  </si>
  <si>
    <t>Kachai, Yanee</t>
  </si>
  <si>
    <t>04/30/2027</t>
  </si>
  <si>
    <t>Leigh, Jack</t>
  </si>
  <si>
    <t>Sutak, Devin</t>
  </si>
  <si>
    <t>12/22/2025</t>
  </si>
  <si>
    <t>12/21/2026</t>
  </si>
  <si>
    <t>10/31/2026</t>
  </si>
  <si>
    <t>Gaind, Gaurav</t>
  </si>
  <si>
    <t>12/05/2025</t>
  </si>
  <si>
    <t>12/04/2026</t>
  </si>
  <si>
    <t>02/14/2027</t>
  </si>
  <si>
    <t>10/01/2025</t>
  </si>
  <si>
    <t>Wooten, Ariana</t>
  </si>
  <si>
    <t>11/06/2025</t>
  </si>
  <si>
    <t>01/14/2027</t>
  </si>
  <si>
    <t>Pulero, Jessie Ruth Manzewitsch</t>
  </si>
  <si>
    <t>08/20/2026</t>
  </si>
  <si>
    <t>10/16/2026</t>
  </si>
  <si>
    <t>12/16/2025</t>
  </si>
  <si>
    <t>09/15/2026</t>
  </si>
  <si>
    <t>11/23/2026</t>
  </si>
  <si>
    <t>03/01/2026</t>
  </si>
  <si>
    <t>Mumtaz, Chandani</t>
  </si>
  <si>
    <t>01/08/2027</t>
  </si>
  <si>
    <t>01/07/2026</t>
  </si>
  <si>
    <t>Calpakis, Michael</t>
  </si>
  <si>
    <t>11/11/2026</t>
  </si>
  <si>
    <t>Weatherspoon, Courtney</t>
  </si>
  <si>
    <t>02/20/2027</t>
  </si>
  <si>
    <t>Friedman, Lee</t>
  </si>
  <si>
    <t>01/27/2026</t>
  </si>
  <si>
    <t>04/26/2027</t>
  </si>
  <si>
    <t>01/10/2026</t>
  </si>
  <si>
    <t>04/09/2027</t>
  </si>
  <si>
    <t>Andrichik, Cassidy</t>
  </si>
  <si>
    <t>01/03/2026</t>
  </si>
  <si>
    <t>03/02/2027</t>
  </si>
  <si>
    <t>12/28/2026</t>
  </si>
  <si>
    <t>[1] 3Q 2025 and 4Q 2025 metrics are based on annnualized T4 as of 09/30/2025 and annualized T7 as of 12/31/2025, respectively.</t>
  </si>
  <si>
    <t>356</t>
  </si>
  <si>
    <t>Perez Alvarez, Leonardo Alberto</t>
  </si>
  <si>
    <t>(786) 757-1399</t>
  </si>
  <si>
    <t>perezleo74@gmail.com</t>
  </si>
  <si>
    <t>35</t>
  </si>
  <si>
    <t>brittanyd.stone@gmail.com</t>
  </si>
  <si>
    <t>bynummahiya@gmail.com</t>
  </si>
  <si>
    <t>247</t>
  </si>
  <si>
    <t>(239) 281-8984</t>
  </si>
  <si>
    <t>j.batemon@hotmail.com</t>
  </si>
  <si>
    <t>185</t>
  </si>
  <si>
    <t>199</t>
  </si>
  <si>
    <t>Evelyn Bloom; Joel Bloom</t>
  </si>
  <si>
    <t>risabloom@yahoo.com</t>
  </si>
  <si>
    <t>Former resident</t>
  </si>
  <si>
    <t>(817)371-0663</t>
  </si>
  <si>
    <t>elliemarymorris@gmail.com</t>
  </si>
  <si>
    <t>30</t>
  </si>
  <si>
    <t>asuarato@gmail.com</t>
  </si>
  <si>
    <t>175</t>
  </si>
  <si>
    <t>48</t>
  </si>
  <si>
    <t>147</t>
  </si>
  <si>
    <t>alan.lin.1993@gmail.com</t>
  </si>
  <si>
    <t>568</t>
  </si>
  <si>
    <t>libor.cech@gmail.com</t>
  </si>
  <si>
    <t>88</t>
  </si>
  <si>
    <t>kellykuntscher@gmail.com</t>
  </si>
  <si>
    <t>Medeiros, John Marshall</t>
  </si>
  <si>
    <t>jmedeiros0417@gmail.com</t>
  </si>
  <si>
    <t>576</t>
  </si>
  <si>
    <t>Venable, Linda Kathleen</t>
  </si>
  <si>
    <t>thumbsup1@aol.com</t>
  </si>
  <si>
    <t>281</t>
  </si>
  <si>
    <t>31</t>
  </si>
  <si>
    <t>(713) 817-5912</t>
  </si>
  <si>
    <t>dpayer2002@yahoo.com</t>
  </si>
  <si>
    <t>2</t>
  </si>
  <si>
    <t>Online application fees</t>
  </si>
  <si>
    <t>5</t>
  </si>
  <si>
    <t>Other Miscellaneous income</t>
  </si>
  <si>
    <t>T6</t>
  </si>
  <si>
    <t>X or Blank</t>
  </si>
  <si>
    <t xml:space="preserve">      Note C-Scheduled Loan Balance</t>
  </si>
  <si>
    <t>Use second box to specify sqft.,units…</t>
  </si>
  <si>
    <t>specify annual/per unit…</t>
  </si>
  <si>
    <t>Underwriting</t>
  </si>
  <si>
    <t>(1) "X" if debt is outside of the trust, otherwise leave blank</t>
  </si>
  <si>
    <t>(prcdng yr to base)</t>
  </si>
  <si>
    <t>(prcdng yr to 2nd prcdng)</t>
  </si>
  <si>
    <t xml:space="preserve">      Laundry/Vending Income</t>
  </si>
  <si>
    <t xml:space="preserve">  Debt Service - B Note</t>
  </si>
  <si>
    <t xml:space="preserve">  Debt Service - C Note</t>
  </si>
  <si>
    <t xml:space="preserve"> *DSCR: (NOI/Debt Service) - A Note</t>
  </si>
  <si>
    <t xml:space="preserve"> *DSCR: (NOI/Debt Service) - A &amp; B Note</t>
  </si>
  <si>
    <t xml:space="preserve"> *DSCR: (NOI/Debt Service) - A, B &amp; C Note</t>
  </si>
  <si>
    <t xml:space="preserve"> *DSCR: (NCF/Debt Service) - A Note</t>
  </si>
  <si>
    <t xml:space="preserve"> *DSCR: (NCF/Debt Service) - A &amp; B Note</t>
  </si>
  <si>
    <t xml:space="preserve"> *DSCR: (NCF/Debt Service) - A, B &amp; C Note</t>
  </si>
  <si>
    <t>(ie. operating statements, financial statements, tax return, other)</t>
  </si>
  <si>
    <r>
      <t xml:space="preserve">Notes and  Assumptions: </t>
    </r>
    <r>
      <rPr>
        <i/>
        <sz val="9"/>
        <rFont val="Arial"/>
        <family val="2"/>
      </rPr>
      <t>Years above will roll, always showing a 3yr sequential history.  Comments from the most recent NOI Adjustment Worksheet should be carried forward to Operating Statement</t>
    </r>
  </si>
  <si>
    <r>
      <t xml:space="preserve">Analysis Report.  Year-over-year variances (either higher or lower) must be explained and noted for the following: </t>
    </r>
    <r>
      <rPr>
        <b/>
        <i/>
        <sz val="9"/>
        <rFont val="Arial"/>
        <family val="2"/>
      </rPr>
      <t>&gt;20% DSCR change, &gt;20% EGI/Total Operating Expenses or Total Capital</t>
    </r>
  </si>
  <si>
    <t>Items.  Quarterly variance comments may be necessary if the loan is on the Watch List.</t>
  </si>
  <si>
    <t>Income: Comments</t>
  </si>
  <si>
    <t>Expense: Comments</t>
  </si>
  <si>
    <t>Capital Items: Comments</t>
  </si>
  <si>
    <t>DSCR: Comments</t>
  </si>
  <si>
    <t xml:space="preserve">* Used in the CREFC Comparative Financial Status Report/CREFC Property File/CREFC Loan Periodic Update File. Note that information for multiple property loans must be consolidated (if available) </t>
  </si>
  <si>
    <t>for reporting to the CREFC Loan Periodic Update file.</t>
  </si>
  <si>
    <t>Multifamily</t>
  </si>
  <si>
    <t>units</t>
  </si>
  <si>
    <t>Per unit</t>
  </si>
  <si>
    <t>Factor</t>
  </si>
  <si>
    <t>From</t>
  </si>
  <si>
    <t>To</t>
  </si>
  <si>
    <t>Previous</t>
  </si>
  <si>
    <t>DY Test</t>
  </si>
  <si>
    <t>Var $</t>
  </si>
  <si>
    <t>Var %</t>
  </si>
  <si>
    <t>Debt Yield (NCF/UPB)</t>
  </si>
  <si>
    <t>ASSET LIVING SOUTHEAST, LLC dba JMG REALTY LLC - Memorial Hills</t>
  </si>
  <si>
    <t>05/15/2026 04:22 PM</t>
  </si>
  <si>
    <t>As of Date: 03/31/2025</t>
  </si>
  <si>
    <t>Market + Addl.</t>
  </si>
  <si>
    <t>CONo</t>
  </si>
  <si>
    <t>Pumala, Chelsea</t>
  </si>
  <si>
    <t>03/20/2027</t>
  </si>
  <si>
    <t>Olson, Corey</t>
  </si>
  <si>
    <t>04/17/2027</t>
  </si>
  <si>
    <t>04/12/2026</t>
  </si>
  <si>
    <t>02/26/2026</t>
  </si>
  <si>
    <t>04/03/2026</t>
  </si>
  <si>
    <t>Vaca, Andrea</t>
  </si>
  <si>
    <t>06/06/2027</t>
  </si>
  <si>
    <t>Bloom, Evelyn</t>
  </si>
  <si>
    <t>10/24/2023</t>
  </si>
  <si>
    <t>01/24/2025</t>
  </si>
  <si>
    <t>Ritz, Nicholas</t>
  </si>
  <si>
    <t>03/12/2026</t>
  </si>
  <si>
    <t>03/11/2027</t>
  </si>
  <si>
    <t>04/19/2026</t>
  </si>
  <si>
    <t>Mabane, Johnathan</t>
  </si>
  <si>
    <t>04/25/2027</t>
  </si>
  <si>
    <t>Frank, Avery</t>
  </si>
  <si>
    <t>02/06/2027</t>
  </si>
  <si>
    <t>02/23/2026</t>
  </si>
  <si>
    <t>05/22/2027</t>
  </si>
  <si>
    <t>03/30/2027</t>
  </si>
  <si>
    <t>Lau, Stephanie</t>
  </si>
  <si>
    <t>02/07/2024</t>
  </si>
  <si>
    <t>11/23/2025</t>
  </si>
  <si>
    <t>05/07/2026</t>
  </si>
  <si>
    <t>Hunnicutt, Amanda</t>
  </si>
  <si>
    <t>Occupied-NTVL</t>
  </si>
  <si>
    <t>Regalado, Jamie</t>
  </si>
  <si>
    <t>05/29/2026</t>
  </si>
  <si>
    <t>05/28/2027</t>
  </si>
  <si>
    <t>02/23/2027</t>
  </si>
  <si>
    <t>01/17/2027</t>
  </si>
  <si>
    <t>04/24/2027</t>
  </si>
  <si>
    <t>Eder, Sebastian</t>
  </si>
  <si>
    <t>04/08/2026</t>
  </si>
  <si>
    <t>03/03/2026</t>
  </si>
  <si>
    <t>02/22/2027</t>
  </si>
  <si>
    <t>02/13/2026</t>
  </si>
  <si>
    <t>02/12/2027</t>
  </si>
  <si>
    <t>06/05/2027</t>
  </si>
  <si>
    <t>01/24/2026</t>
  </si>
  <si>
    <t>07/23/2026</t>
  </si>
  <si>
    <t>02/27/2026</t>
  </si>
  <si>
    <t>03/26/2027</t>
  </si>
  <si>
    <t>Agile, Chirag</t>
  </si>
  <si>
    <t>04/06/2026</t>
  </si>
  <si>
    <t>04/05/2027</t>
  </si>
  <si>
    <t>05/19/2027</t>
  </si>
  <si>
    <t>Harrison, Jake</t>
  </si>
  <si>
    <t>02/04/2026</t>
  </si>
  <si>
    <t>02/03/2027</t>
  </si>
  <si>
    <t>05/15/2027</t>
  </si>
  <si>
    <t>02/07/2027</t>
  </si>
  <si>
    <t>01/21/2026</t>
  </si>
  <si>
    <t>04/20/2027</t>
  </si>
  <si>
    <t>03/06/2027</t>
  </si>
  <si>
    <t>03/05/2027</t>
  </si>
  <si>
    <t>Thomas, Angelica</t>
  </si>
  <si>
    <t>McKenzie, Zachary</t>
  </si>
  <si>
    <t>03/16/2027</t>
  </si>
  <si>
    <t>03/22/2026</t>
  </si>
  <si>
    <t>03/21/2027</t>
  </si>
  <si>
    <t>03/08/2026</t>
  </si>
  <si>
    <t>06/07/2027</t>
  </si>
  <si>
    <t>04/04/2026</t>
  </si>
  <si>
    <t>03/04/2026</t>
  </si>
  <si>
    <t>03/03/2027</t>
  </si>
  <si>
    <t>02/09/2026</t>
  </si>
  <si>
    <t>06/10/2026</t>
  </si>
  <si>
    <t>Average Market + Addl.</t>
  </si>
  <si>
    <t>Market + Addl. Amt/SQFT</t>
  </si>
  <si>
    <t xml:space="preserve">      4101-000 - Vacancy-Down Units</t>
  </si>
  <si>
    <t xml:space="preserve">      4261-000 - Transfer Fees</t>
  </si>
  <si>
    <t xml:space="preserve">      5101-000 - PPC/SEM Advertising</t>
  </si>
  <si>
    <t xml:space="preserve">      5310-000 - Elevator Service</t>
  </si>
  <si>
    <t xml:space="preserve">      5550-000 - Elevator Parts &amp; Repairs</t>
  </si>
  <si>
    <t xml:space="preserve">      5780-300 - 401K Benefit</t>
  </si>
  <si>
    <t xml:space="preserve">      5785-000 - Temporary Agency Payroll</t>
  </si>
  <si>
    <t xml:space="preserve">    6500-010 - Interest Rate Cap/Penalty</t>
  </si>
  <si>
    <t xml:space="preserve">      8040-000 - Window Blinds/Drape Repl</t>
  </si>
  <si>
    <t xml:space="preserve">      8150-000 - Apartment Interior Rplcmnt</t>
  </si>
  <si>
    <t xml:space="preserve">      8225-000 - Access Gate Replacement</t>
  </si>
  <si>
    <t xml:space="preserve">      8277-000 - Other Capital Rplcments</t>
  </si>
  <si>
    <t xml:space="preserve">  8396-000 - Depreciation Expense</t>
  </si>
  <si>
    <t xml:space="preserve">  8397-000 - Amortization Expense</t>
  </si>
  <si>
    <t xml:space="preserve">  Total Depreciation &amp; Amortization Exp</t>
  </si>
  <si>
    <t>T10 Annualized</t>
  </si>
  <si>
    <t>T10</t>
  </si>
  <si>
    <t>DY 1Q 2026</t>
  </si>
  <si>
    <t>4Q 2025</t>
  </si>
  <si>
    <t>DY declined 88bps QoQ, driven by a $297.8K (5%) drop in GPR. In February, a flood incident occurred at the Property, which resulted in various units being shifted offline. Consequently, occupancy dropped ~3% QoQ as remidiation work continues to the damaged units.</t>
  </si>
  <si>
    <t>ASSET LIVING SOUTHEAST, LLC dba JMG REALTY LLC - Memorial Hills - Central
DELINQUENT AND PREPAID
FISCAL PERIOD 032026 AS OF 05/17/2026
05/19/2026 09:16 AM
Parameters: Report Type: Details Subproperties: ALL Subjournals: ALL Statuses to include: Applicant,Approved applicant,Former applicant,Pending resident,Current resident,Former resident; Include delinquencies that equal NTV Credit? Yes;  Exclude transactions payable in arrears: Yes; Delinquency range 0.00 through 99999999.00; Aging Columns: Fiscal;  Filter type: ALL; Show Prepaid As Allocated: No; Include outstanding deposits: No; Hide all PII data: No; Delinquent Comments: Current only</t>
  </si>
  <si>
    <t>69</t>
  </si>
  <si>
    <t>Castrosergio3000@gmail.com</t>
  </si>
  <si>
    <t>160</t>
  </si>
  <si>
    <t>447</t>
  </si>
  <si>
    <t>Breese, Matt Thomas</t>
  </si>
  <si>
    <t>mtbreese1@gmail.com</t>
  </si>
  <si>
    <t>682</t>
  </si>
  <si>
    <t>Alison Suarato</t>
  </si>
  <si>
    <t>PMTFLEX</t>
  </si>
  <si>
    <t>117</t>
  </si>
  <si>
    <t>trey@tbrittain.com</t>
  </si>
  <si>
    <t>248</t>
  </si>
  <si>
    <t>670</t>
  </si>
  <si>
    <t>alissarscheurich@gmail.com</t>
  </si>
  <si>
    <t>37</t>
  </si>
  <si>
    <t>38</t>
  </si>
  <si>
    <t>alethebowden46@gmail.com</t>
  </si>
  <si>
    <t>Brittany Stone</t>
  </si>
  <si>
    <t>Quinn, Megan Christine</t>
  </si>
  <si>
    <t>meganchristinequinn@gmail.com</t>
  </si>
  <si>
    <t>Maria Jose Santacruz Puig; April Cruz</t>
  </si>
  <si>
    <t>mj.sp@outlook.com</t>
  </si>
  <si>
    <t>03/18/2026</t>
  </si>
  <si>
    <t>582</t>
  </si>
  <si>
    <t xml:space="preserve">Model, Model </t>
  </si>
  <si>
    <t>(832) 589-9608</t>
  </si>
  <si>
    <t>Megan.Behrens@assetliving.com</t>
  </si>
  <si>
    <t>353</t>
  </si>
  <si>
    <t>Perez, Jennifer Lynn</t>
  </si>
  <si>
    <t>(281)881-9946</t>
  </si>
  <si>
    <t>jenperez527@gmail.com</t>
  </si>
  <si>
    <t>Richey, Hudson Lanier</t>
  </si>
  <si>
    <t>hlrichey19@gmail.com</t>
  </si>
  <si>
    <t>257</t>
  </si>
  <si>
    <t>Bazzle, Jennifer Natalie</t>
  </si>
  <si>
    <t>jnbazzle@gmail.com</t>
  </si>
  <si>
    <t>286</t>
  </si>
  <si>
    <t>austinsandonato96@hotmail.com</t>
  </si>
  <si>
    <t>11/26/2024
07/04/2026</t>
  </si>
  <si>
    <t>396</t>
  </si>
  <si>
    <t>566</t>
  </si>
  <si>
    <t>Spuches, Maria Carolina</t>
  </si>
  <si>
    <t>(346) 634-7341</t>
  </si>
  <si>
    <t>mariacspuchesf@gmail.com</t>
  </si>
  <si>
    <t>27</t>
  </si>
  <si>
    <t>nmheard03@yahoo.com</t>
  </si>
  <si>
    <t>250</t>
  </si>
  <si>
    <t>546</t>
  </si>
  <si>
    <t>Cornavaca, Julio Alberto</t>
  </si>
  <si>
    <t>cornavaca@gmail.com</t>
  </si>
  <si>
    <t>84</t>
  </si>
  <si>
    <t>ameliaktravis@gmail.com</t>
  </si>
  <si>
    <t>380</t>
  </si>
  <si>
    <t>Contreras, Luz Maria</t>
  </si>
  <si>
    <t>(713) 815-9165</t>
  </si>
  <si>
    <t>luzmacon@gmail.com</t>
  </si>
  <si>
    <t>674</t>
  </si>
  <si>
    <t>Vaca, Andrea Fernanda</t>
  </si>
  <si>
    <t>(832) 203-3240</t>
  </si>
  <si>
    <t>andreavaca1202@gmail.com</t>
  </si>
  <si>
    <t>Bateman, Jennifer Nicole</t>
  </si>
  <si>
    <t>jennifern.bateman@gmail.com</t>
  </si>
  <si>
    <t>brightbway@icloud.com</t>
  </si>
  <si>
    <t>Ritz, Nicholas Michael</t>
  </si>
  <si>
    <t>(757) 646-3037</t>
  </si>
  <si>
    <t>nickritz07@gmail.com</t>
  </si>
  <si>
    <t>aronning95@gmail.com</t>
  </si>
  <si>
    <t>186</t>
  </si>
  <si>
    <t>Sherrill, Justin Allen</t>
  </si>
  <si>
    <t>justinsherrill1@gmail.com</t>
  </si>
  <si>
    <t>275</t>
  </si>
  <si>
    <t>585</t>
  </si>
  <si>
    <t>Antholzner, Elizabeth Zita</t>
  </si>
  <si>
    <t>eantholz@gmail.com</t>
  </si>
  <si>
    <t>minhquan180502@gmail.com</t>
  </si>
  <si>
    <t>83</t>
  </si>
  <si>
    <t>498</t>
  </si>
  <si>
    <t>Craig Anderson</t>
  </si>
  <si>
    <t>andersoncraig07@yahoo.com</t>
  </si>
  <si>
    <t>255</t>
  </si>
  <si>
    <t>Moss, Blake William Edward</t>
  </si>
  <si>
    <t>bmoss71@gmail.com</t>
  </si>
  <si>
    <t>201</t>
  </si>
  <si>
    <t>Henderson, Steven Michael</t>
  </si>
  <si>
    <t>smhenderson1824@gmail.com</t>
  </si>
  <si>
    <t>92</t>
  </si>
  <si>
    <t>463</t>
  </si>
  <si>
    <t>celesteccole@gmail.com</t>
  </si>
  <si>
    <t>Gilmore, Patricia Davenport</t>
  </si>
  <si>
    <t>pdgilmore22@gmail.com</t>
  </si>
  <si>
    <t>04/14/2023
05/18/2026</t>
  </si>
  <si>
    <t>350</t>
  </si>
  <si>
    <t>Martin, Danielle Renee</t>
  </si>
  <si>
    <t>martindrm14@gmail.com</t>
  </si>
  <si>
    <t>29</t>
  </si>
  <si>
    <t>Consulate General of India Houston, *</t>
  </si>
  <si>
    <t>(346) 372-1656</t>
  </si>
  <si>
    <t>trade.houston@mea.gov.in</t>
  </si>
  <si>
    <t>246</t>
  </si>
  <si>
    <t>shaikzillu@gmail.com</t>
  </si>
  <si>
    <t>386</t>
  </si>
  <si>
    <t>555</t>
  </si>
  <si>
    <t>Gonzales, Caroline Dianne</t>
  </si>
  <si>
    <t>(713) 254-7125</t>
  </si>
  <si>
    <t>kayrotraveler@gmail.com</t>
  </si>
  <si>
    <t>11/17/2025
07/16/2026</t>
  </si>
  <si>
    <t>32</t>
  </si>
  <si>
    <t>677</t>
  </si>
  <si>
    <t>newtendonova@gmail.com</t>
  </si>
  <si>
    <t>397</t>
  </si>
  <si>
    <t>(985)635-1329</t>
  </si>
  <si>
    <t>christianweicks@gmail.com</t>
  </si>
  <si>
    <t>349</t>
  </si>
  <si>
    <t>Dearing, Noah Ethan</t>
  </si>
  <si>
    <t>(713) 301-7396</t>
  </si>
  <si>
    <t>noahdearing@yahoo.com</t>
  </si>
  <si>
    <t>172</t>
  </si>
  <si>
    <t>473</t>
  </si>
  <si>
    <t>Pineau, Clarissa Anna Mae</t>
  </si>
  <si>
    <t>clarissa.mae798@gmail.com</t>
  </si>
  <si>
    <t>179</t>
  </si>
  <si>
    <t>emma.gilmore1014@gmail.com</t>
  </si>
  <si>
    <t>10/04/2023
07/17/2026</t>
  </si>
  <si>
    <t>Baker, Marcelle Elizabeth</t>
  </si>
  <si>
    <t>(832) 764-2273</t>
  </si>
  <si>
    <t>marcelle.ebaker@gmail.com</t>
  </si>
  <si>
    <t>445</t>
  </si>
  <si>
    <t>McKenzie Misiaszek; Justin Nanez</t>
  </si>
  <si>
    <t>mckenzie.misiaszek@gmail.com</t>
  </si>
  <si>
    <t>459</t>
  </si>
  <si>
    <t>(214) 914-7493</t>
  </si>
  <si>
    <t>kendallpmares@gmail.com</t>
  </si>
  <si>
    <t>586</t>
  </si>
  <si>
    <t>Wells, Wesley Claude</t>
  </si>
  <si>
    <t>(216) 408-7277</t>
  </si>
  <si>
    <t>weswells7445@gmail.com</t>
  </si>
  <si>
    <t>71</t>
  </si>
  <si>
    <t>74</t>
  </si>
  <si>
    <t>Dherna6@outlook.com</t>
  </si>
  <si>
    <t>Utoria Vincent</t>
  </si>
  <si>
    <t>(832) 229-3813</t>
  </si>
  <si>
    <t>utoriav@aol.com</t>
  </si>
  <si>
    <t>03/25/2026</t>
  </si>
  <si>
    <t>maurice.lamb.iii@gmail.com</t>
  </si>
  <si>
    <t>191</t>
  </si>
  <si>
    <t>Overcash, David Paul</t>
  </si>
  <si>
    <t>do43vercash@att.net</t>
  </si>
  <si>
    <t>499</t>
  </si>
  <si>
    <t>Calautti, Steven Alexander</t>
  </si>
  <si>
    <t>(281) 223-3214</t>
  </si>
  <si>
    <t>stevencalautti@me.com</t>
  </si>
  <si>
    <t>Connor McNamara; Gabriel Bartholomaus Cabezas; Kevin Garster</t>
  </si>
  <si>
    <t>cjmcnamara20@gmail.com</t>
  </si>
  <si>
    <t>347</t>
  </si>
  <si>
    <t>Bollinger, James Paul</t>
  </si>
  <si>
    <t>(985) 647-2816</t>
  </si>
  <si>
    <t>jamespbollinger@gmail.com</t>
  </si>
  <si>
    <t>159</t>
  </si>
  <si>
    <t>Smith, Gregory Arthur</t>
  </si>
  <si>
    <t>gregg9100@yahoo.com</t>
  </si>
  <si>
    <t>662</t>
  </si>
  <si>
    <t>(281) 728-9888</t>
  </si>
  <si>
    <t>mariela.ubilla@nielsen.com</t>
  </si>
  <si>
    <t>78</t>
  </si>
  <si>
    <t>81</t>
  </si>
  <si>
    <t>sarangkahuja@gmail.com</t>
  </si>
  <si>
    <t>597</t>
  </si>
  <si>
    <t>Tyler Jacobson</t>
  </si>
  <si>
    <t>(201) 258-0446</t>
  </si>
  <si>
    <t>tylerjake7231@gmail.com</t>
  </si>
  <si>
    <t>03/14/2026</t>
  </si>
  <si>
    <t>200</t>
  </si>
  <si>
    <t>Stephanie Lau</t>
  </si>
  <si>
    <t>lau_steph12@hotmail.com</t>
  </si>
  <si>
    <t>567</t>
  </si>
  <si>
    <t xml:space="preserve">Starinnova, Sofia </t>
  </si>
  <si>
    <t>(646) 881-2509</t>
  </si>
  <si>
    <t>sofiastar252@gmail.com</t>
  </si>
  <si>
    <t>ttoni14@gmail.com</t>
  </si>
  <si>
    <t>688</t>
  </si>
  <si>
    <t xml:space="preserve">Regalado, Jamie </t>
  </si>
  <si>
    <t>(956)638-1263</t>
  </si>
  <si>
    <t>regaladojamie@gmail.com</t>
  </si>
  <si>
    <t>APPFEE</t>
  </si>
  <si>
    <t>664</t>
  </si>
  <si>
    <t>292</t>
  </si>
  <si>
    <t>665</t>
  </si>
  <si>
    <t>Winfrey, Cody Shade</t>
  </si>
  <si>
    <t>shade.winfrey@gmail.com</t>
  </si>
  <si>
    <t>25</t>
  </si>
  <si>
    <t>673</t>
  </si>
  <si>
    <t>jendav74@yahoo.com</t>
  </si>
  <si>
    <t>348</t>
  </si>
  <si>
    <t>Wilridge, Tyler Jon</t>
  </si>
  <si>
    <t>(281) 682-7366</t>
  </si>
  <si>
    <t>tjw12345@gmail.com</t>
  </si>
  <si>
    <t>667</t>
  </si>
  <si>
    <t>(281) 744-6516</t>
  </si>
  <si>
    <t>ron.donlevy@gmail.com</t>
  </si>
  <si>
    <t>596</t>
  </si>
  <si>
    <t>Chungata, Erick Jhovany</t>
  </si>
  <si>
    <t>(832) 618-5605</t>
  </si>
  <si>
    <t>erickchungata@yahoo.com</t>
  </si>
  <si>
    <t>94</t>
  </si>
  <si>
    <t>669</t>
  </si>
  <si>
    <t>aaron.ibanes7@gmail.com</t>
  </si>
  <si>
    <t>675</t>
  </si>
  <si>
    <t>(832) 490-5592</t>
  </si>
  <si>
    <t>sebastianespinosa102@gmail.com</t>
  </si>
  <si>
    <t>18</t>
  </si>
  <si>
    <t>manojsg@gmail.com</t>
  </si>
  <si>
    <t>PMTBILTCC</t>
  </si>
  <si>
    <t>75</t>
  </si>
  <si>
    <t>680</t>
  </si>
  <si>
    <t>dacckr@aol.com</t>
  </si>
  <si>
    <t>67</t>
  </si>
  <si>
    <t>551</t>
  </si>
  <si>
    <t>(281) 650-2605</t>
  </si>
  <si>
    <t>rachelle.bezner@gmail.com</t>
  </si>
  <si>
    <t>271</t>
  </si>
  <si>
    <t>671</t>
  </si>
  <si>
    <t>Barragan, Diego Alejandro</t>
  </si>
  <si>
    <t>diego.albarragan@gmail.com</t>
  </si>
  <si>
    <t>362</t>
  </si>
  <si>
    <t>aleyda.rincon@gmail.com</t>
  </si>
  <si>
    <t>19</t>
  </si>
  <si>
    <t>679</t>
  </si>
  <si>
    <t>(713) 646-4100</t>
  </si>
  <si>
    <t>stollejoni@gmail.com</t>
  </si>
  <si>
    <t>361</t>
  </si>
  <si>
    <t>466</t>
  </si>
  <si>
    <t>*Jabari Alpough</t>
  </si>
  <si>
    <t>(323) 561-2146</t>
  </si>
  <si>
    <t>jalpough123@outlook.com</t>
  </si>
  <si>
    <t>295</t>
  </si>
  <si>
    <t>653</t>
  </si>
  <si>
    <t>Wanjiru Gachuhi</t>
  </si>
  <si>
    <t>(832) 829-8479</t>
  </si>
  <si>
    <t>wagachuhi37@gmail.com</t>
  </si>
  <si>
    <t>91</t>
  </si>
  <si>
    <t>676</t>
  </si>
  <si>
    <t>Clark_tiffany@yahoo.com</t>
  </si>
  <si>
    <t>590</t>
  </si>
  <si>
    <t>Weatherspoon, Courtney Bria symone</t>
  </si>
  <si>
    <t>(832) 370-1804</t>
  </si>
  <si>
    <t>cbria125@icloud.com</t>
  </si>
  <si>
    <t>46</t>
  </si>
  <si>
    <t>Jfleshner@aol.com</t>
  </si>
  <si>
    <t>593</t>
  </si>
  <si>
    <t>Pay Ready Inc</t>
  </si>
  <si>
    <t>MSC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</si>
</sst>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000"/>
    <numFmt numFmtId="165" formatCode="_(&quot;$&quot;* #,##0_);_(&quot;$&quot;* \(#,##0\);_(&quot;$&quot;* &quot;-&quot;??_);_(@_)"/>
    <numFmt numFmtId="166" formatCode="mm/dd/yy_)"/>
    <numFmt numFmtId="167" formatCode="0.0%"/>
    <numFmt numFmtId="168" formatCode="0.000"/>
    <numFmt numFmtId="169" formatCode="mm/dd/yy;@"/>
    <numFmt numFmtId="170" formatCode="0.00&quot;x&quot;"/>
    <numFmt numFmtId="171" formatCode="_(* #,##0.00%;_(* \(#,##0.00\)%;_(* &quot;   -&quot;?_)"/>
    <numFmt numFmtId="172" formatCode="_(* &quot;$&quot;\ #,##0_);_(* &quot;$&quot;\ \(#,##0\);_(* &quot;&quot;&quot;$&quot;\ \ \-&quot;&quot;?_);_(@_)"/>
    <numFmt numFmtId="173" formatCode="_(* #,##0.0%;_(* \(#,##0.0\)%;_(* &quot;   -&quot;?_)"/>
    <numFmt numFmtId="174" formatCode="_(* #,##0.00\x;_(* \(#,##0.00\)\x;_(* &quot;   -&quot;?_)"/>
    <numFmt numFmtId="175" formatCode="_(* #,##0_);_(* \(#,##0\);_(* &quot;-&quot;??_);_(@_)"/>
    <numFmt numFmtId="176" formatCode="_(#,##0.00\x;_(\(#,##0.00\)\x;_(&quot;   -&quot;?_)"/>
    <numFmt numFmtId="177" formatCode="_(* #,##0%;_(* \(#,##0\)%;_(* &quot;   -&quot;?_)"/>
    <numFmt numFmtId="178" formatCode="mmm\-yyyy"/>
    <numFmt numFmtId="179" formatCode="&quot;$&quot;#,##0"/>
    <numFmt numFmtId="180" formatCode="[$-409]mmm\-yyyy;@"/>
    <numFmt numFmtId="181" formatCode="[$-409]mmm\-yy;@"/>
    <numFmt numFmtId="182" formatCode="&quot;Year&quot;\ 0"/>
    <numFmt numFmtId="183" formatCode="&quot;YEAR&quot;\ 0#"/>
    <numFmt numFmtId="184" formatCode="&quot;$&quot;#,##0_);\(&quot;$&quot;#,##0\);\-"/>
    <numFmt numFmtId="185" formatCode="mmm\ yyyy"/>
    <numFmt numFmtId="186" formatCode="&quot;$&quot;#,##0.00"/>
    <numFmt numFmtId="187" formatCode="&quot;$&quot;#.00&quot; PSF&quot;"/>
    <numFmt numFmtId="188" formatCode="0.00\x"/>
    <numFmt numFmtId="189" formatCode="mmmm"/>
    <numFmt numFmtId="190" formatCode="&quot;Debt Yield Cure of &quot;0.00%&quot; for 2 consecutive quarters&quot;"/>
    <numFmt numFmtId="191" formatCode="mmm\ dd\,\ yyyy"/>
    <numFmt numFmtId="192" formatCode="&quot;In-Place&quot;"/>
    <numFmt numFmtId="193" formatCode="&quot;Month&quot;\ 0"/>
    <numFmt numFmtId="194" formatCode="0.000%"/>
    <numFmt numFmtId="195" formatCode="&quot;In-Place Vacancy (&quot;0.0%&quot;)&quot;"/>
    <numFmt numFmtId="196" formatCode="&quot;EGI x &quot;\ 0.000%"/>
    <numFmt numFmtId="197" formatCode="&quot;EGI x &quot;\ 0.00%"/>
    <numFmt numFmtId="198" formatCode="&quot;Year&quot;\ 0&quot; U/W&quot;"/>
    <numFmt numFmtId="199" formatCode="\$#,##0"/>
    <numFmt numFmtId="200" formatCode="[$-1010409]General"/>
    <numFmt numFmtId="201" formatCode="#,##0.00;\(#,##0.00\)"/>
    <numFmt numFmtId="202" formatCode="&quot;$&quot;#\ &quot;per the Loan Agreement&quot;"/>
    <numFmt numFmtId="203" formatCode="&quot;Greater of actual and &quot;0.00%"/>
    <numFmt numFmtId="204" formatCode="0.00000%"/>
    <numFmt numFmtId="205" formatCode="[$-1010409]#,##0.00"/>
    <numFmt numFmtId="206" formatCode="mm/dd/yy"/>
    <numFmt numFmtId="207" formatCode="&quot;$&quot;#,##0;\(&quot;$&quot;#,##0\);&quot;-&quot;;@"/>
    <numFmt numFmtId="208" formatCode="&quot;as of&quot;\ mm/dd/yyyy"/>
  </numFmts>
  <fonts count="132">
    <font>
      <sz val="10"/>
      <name val="Arial"/>
    </font>
    <font>
      <sz val="11"/>
      <color theme="1"/>
      <name val="Calibri"/>
      <family val="2"/>
      <scheme val="minor"/>
    </font>
    <font>
      <sz val="10"/>
      <name val="Arial MT"/>
    </font>
    <font>
      <b/>
      <sz val="12"/>
      <name val="Arial"/>
      <family val="2"/>
    </font>
    <font>
      <i/>
      <sz val="12"/>
      <name val="Arial"/>
      <family val="2"/>
    </font>
    <font>
      <b/>
      <sz val="10"/>
      <name val="Arial"/>
      <family val="2"/>
    </font>
    <font>
      <sz val="8"/>
      <name val="Arial"/>
      <family val="2"/>
    </font>
    <font>
      <b/>
      <sz val="9"/>
      <name val="Arial"/>
      <family val="2"/>
    </font>
    <font>
      <sz val="9"/>
      <name val="Arial"/>
      <family val="2"/>
    </font>
    <font>
      <sz val="10"/>
      <name val="Arial"/>
      <family val="2"/>
    </font>
    <font>
      <i/>
      <sz val="9"/>
      <name val="Arial"/>
      <family val="2"/>
    </font>
    <font>
      <b/>
      <sz val="8"/>
      <name val="Arial"/>
      <family val="2"/>
    </font>
    <font>
      <b/>
      <u/>
      <sz val="10"/>
      <name val="Arial"/>
      <family val="2"/>
    </font>
    <font>
      <i/>
      <sz val="8"/>
      <name val="Arial"/>
      <family val="2"/>
    </font>
    <font>
      <i/>
      <sz val="10"/>
      <name val="Arial"/>
      <family val="2"/>
    </font>
    <font>
      <b/>
      <i/>
      <sz val="10"/>
      <name val="Arial"/>
      <family val="2"/>
    </font>
    <font>
      <sz val="10"/>
      <name val="Times New Roman"/>
      <family val="1"/>
    </font>
    <font>
      <b/>
      <i/>
      <sz val="12"/>
      <name val="Arial"/>
      <family val="2"/>
    </font>
    <font>
      <sz val="9"/>
      <color indexed="81"/>
      <name val="Tahoma"/>
      <family val="2"/>
    </font>
    <font>
      <b/>
      <sz val="9"/>
      <color indexed="81"/>
      <name val="Tahoma"/>
      <family val="2"/>
    </font>
    <font>
      <b/>
      <sz val="12"/>
      <name val="Tahoma"/>
      <family val="2"/>
    </font>
    <font>
      <sz val="8"/>
      <color rgb="FF505050"/>
      <name val="Tahoma"/>
      <family val="2"/>
    </font>
    <font>
      <sz val="11"/>
      <name val="Calibri"/>
      <family val="2"/>
    </font>
    <font>
      <b/>
      <sz val="8"/>
      <name val="Tahoma"/>
      <family val="2"/>
    </font>
    <font>
      <sz val="8"/>
      <name val="Tahoma"/>
      <family val="2"/>
    </font>
    <font>
      <sz val="10"/>
      <color theme="1"/>
      <name val="Arial"/>
      <family val="2"/>
    </font>
    <font>
      <b/>
      <sz val="10"/>
      <color theme="0"/>
      <name val="Arial"/>
      <family val="2"/>
    </font>
    <font>
      <sz val="10"/>
      <color theme="0"/>
      <name val="Arial"/>
      <family val="2"/>
    </font>
    <font>
      <sz val="10"/>
      <color rgb="FF0000FF"/>
      <name val="Arial"/>
      <family val="2"/>
    </font>
    <font>
      <sz val="10"/>
      <color theme="1"/>
      <name val="Arial"/>
      <family val="2"/>
      <charset val="2"/>
    </font>
    <font>
      <sz val="10"/>
      <color theme="1"/>
      <name val="Wingdings"/>
      <charset val="2"/>
    </font>
    <font>
      <sz val="10"/>
      <color rgb="FF000000"/>
      <name val="Arial"/>
      <family val="2"/>
    </font>
    <font>
      <i/>
      <sz val="8"/>
      <color theme="1"/>
      <name val="Arial"/>
      <family val="2"/>
    </font>
    <font>
      <sz val="8"/>
      <name val="Arial"/>
      <family val="2"/>
    </font>
    <font>
      <b/>
      <sz val="10"/>
      <color rgb="FF000000"/>
      <name val="Arial"/>
      <family val="2"/>
    </font>
    <font>
      <b/>
      <sz val="9"/>
      <color rgb="FF000000"/>
      <name val="Arial"/>
      <family val="2"/>
    </font>
    <font>
      <sz val="10"/>
      <name val="Calibri"/>
      <family val="2"/>
      <scheme val="minor"/>
    </font>
    <font>
      <b/>
      <sz val="10"/>
      <name val="Calibri"/>
      <family val="2"/>
      <scheme val="minor"/>
    </font>
    <font>
      <sz val="10"/>
      <color indexed="8"/>
      <name val="Calibri"/>
      <family val="2"/>
      <scheme val="minor"/>
    </font>
    <font>
      <sz val="10"/>
      <color rgb="FF00B050"/>
      <name val="Arial"/>
      <family val="2"/>
    </font>
    <font>
      <b/>
      <u val="singleAccounting"/>
      <sz val="9"/>
      <color theme="0"/>
      <name val="Arial"/>
      <family val="2"/>
    </font>
    <font>
      <b/>
      <sz val="9"/>
      <color theme="0"/>
      <name val="Arial"/>
      <family val="2"/>
    </font>
    <font>
      <sz val="9"/>
      <color rgb="FF000000"/>
      <name val="Arial"/>
      <family val="2"/>
    </font>
    <font>
      <sz val="9"/>
      <color rgb="FF0000FF"/>
      <name val="Arial"/>
      <family val="2"/>
    </font>
    <font>
      <sz val="11"/>
      <name val="Arial"/>
      <family val="2"/>
    </font>
    <font>
      <b/>
      <i/>
      <sz val="9"/>
      <color theme="1"/>
      <name val="Arial"/>
      <family val="2"/>
    </font>
    <font>
      <i/>
      <sz val="9"/>
      <color theme="1"/>
      <name val="Arial"/>
      <family val="2"/>
    </font>
    <font>
      <sz val="9"/>
      <color rgb="FF00B050"/>
      <name val="Arial"/>
      <family val="2"/>
    </font>
    <font>
      <b/>
      <sz val="9"/>
      <color rgb="FF0000FF"/>
      <name val="Arial"/>
      <family val="2"/>
    </font>
    <font>
      <b/>
      <sz val="10"/>
      <color rgb="FF0000FF"/>
      <name val="Arial"/>
      <family val="2"/>
    </font>
    <font>
      <sz val="10"/>
      <name val="Calibri"/>
      <family val="2"/>
    </font>
    <font>
      <b/>
      <sz val="10"/>
      <name val="Calibri"/>
      <family val="2"/>
    </font>
    <font>
      <i/>
      <sz val="10"/>
      <name val="Calibri"/>
      <family val="2"/>
    </font>
    <font>
      <sz val="10"/>
      <color theme="0"/>
      <name val="Calibri"/>
      <family val="2"/>
    </font>
    <font>
      <b/>
      <sz val="10"/>
      <color theme="0"/>
      <name val="Calibri"/>
      <family val="2"/>
    </font>
    <font>
      <sz val="10"/>
      <color rgb="FF000000"/>
      <name val="Calibri"/>
      <family val="2"/>
    </font>
    <font>
      <sz val="10"/>
      <color rgb="FF0000FF"/>
      <name val="Calibri"/>
      <family val="2"/>
    </font>
    <font>
      <sz val="10"/>
      <color rgb="FFFF0000"/>
      <name val="Arial"/>
      <family val="2"/>
    </font>
    <font>
      <b/>
      <sz val="10"/>
      <color rgb="FF0000FF"/>
      <name val="Calibri"/>
      <family val="2"/>
    </font>
    <font>
      <sz val="8"/>
      <color rgb="FF0000FF"/>
      <name val="Tahoma"/>
      <family val="2"/>
    </font>
    <font>
      <sz val="11"/>
      <color rgb="FF006100"/>
      <name val="Calibri"/>
      <family val="2"/>
      <scheme val="minor"/>
    </font>
    <font>
      <sz val="11"/>
      <color rgb="FF9C0006"/>
      <name val="Calibri"/>
      <family val="2"/>
      <scheme val="minor"/>
    </font>
    <font>
      <sz val="10"/>
      <color rgb="FF9C0006"/>
      <name val="Arial"/>
      <family val="2"/>
    </font>
    <font>
      <sz val="10"/>
      <color rgb="FF0000FF"/>
      <name val="Calibri"/>
      <family val="2"/>
      <scheme val="minor"/>
    </font>
    <font>
      <sz val="10"/>
      <color rgb="FF006100"/>
      <name val="Arial"/>
      <family val="2"/>
    </font>
    <font>
      <b/>
      <sz val="10"/>
      <color rgb="FFFFFFFF"/>
      <name val="Arial"/>
      <family val="2"/>
    </font>
    <font>
      <b/>
      <sz val="8"/>
      <color rgb="FFFFFFFF"/>
      <name val="Arial"/>
      <family val="2"/>
    </font>
    <font>
      <sz val="8"/>
      <color rgb="FF0000FF"/>
      <name val="Tacoma"/>
    </font>
    <font>
      <b/>
      <sz val="10"/>
      <color rgb="FFFFFFFF"/>
      <name val="Calibri"/>
      <family val="2"/>
    </font>
    <font>
      <b/>
      <sz val="10"/>
      <color rgb="FF00B050"/>
      <name val="Arial"/>
      <family val="2"/>
    </font>
    <font>
      <b/>
      <sz val="10"/>
      <color theme="0"/>
      <name val="Calibri"/>
      <family val="2"/>
      <scheme val="minor"/>
    </font>
    <font>
      <u/>
      <sz val="10"/>
      <color theme="10"/>
      <name val="Arial"/>
      <family val="2"/>
    </font>
    <font>
      <b/>
      <sz val="11"/>
      <color rgb="FF9C0006"/>
      <name val="Calibri"/>
      <family val="2"/>
      <scheme val="minor"/>
    </font>
    <font>
      <b/>
      <sz val="11"/>
      <color rgb="FF006100"/>
      <name val="Calibri"/>
      <family val="2"/>
      <scheme val="minor"/>
    </font>
    <font>
      <b/>
      <i/>
      <sz val="10"/>
      <name val="Calibri"/>
      <family val="2"/>
      <scheme val="minor"/>
    </font>
    <font>
      <b/>
      <u/>
      <sz val="9"/>
      <color theme="1"/>
      <name val="Arial"/>
      <family val="2"/>
    </font>
    <font>
      <sz val="10"/>
      <color theme="1"/>
      <name val="Calibri"/>
      <family val="2"/>
      <scheme val="minor"/>
    </font>
    <font>
      <sz val="11"/>
      <color rgb="FF9C5700"/>
      <name val="Calibri"/>
      <family val="2"/>
      <scheme val="minor"/>
    </font>
    <font>
      <sz val="9"/>
      <name val="Tahoma"/>
      <family val="2"/>
    </font>
    <font>
      <b/>
      <sz val="11"/>
      <color rgb="FF9C5700"/>
      <name val="Calibri"/>
      <family val="2"/>
      <scheme val="minor"/>
    </font>
    <font>
      <b/>
      <sz val="11"/>
      <name val="Calibri"/>
      <family val="2"/>
    </font>
    <font>
      <i/>
      <sz val="11"/>
      <name val="Calibri"/>
      <family val="2"/>
    </font>
    <font>
      <b/>
      <sz val="11"/>
      <name val="Calibri"/>
      <family val="2"/>
      <scheme val="minor"/>
    </font>
    <font>
      <b/>
      <sz val="11"/>
      <color theme="0"/>
      <name val="Calibri"/>
      <family val="2"/>
      <scheme val="minor"/>
    </font>
    <font>
      <b/>
      <sz val="10"/>
      <color theme="1"/>
      <name val="Calibri"/>
      <family val="2"/>
      <scheme val="minor"/>
    </font>
    <font>
      <sz val="10"/>
      <color theme="5"/>
      <name val="Calibri"/>
      <family val="2"/>
    </font>
    <font>
      <sz val="11"/>
      <name val="Calibri"/>
      <family val="2"/>
      <scheme val="minor"/>
    </font>
    <font>
      <b/>
      <sz val="10"/>
      <color rgb="FF000000"/>
      <name val="Calibri"/>
      <family val="2"/>
    </font>
    <font>
      <b/>
      <sz val="10"/>
      <color rgb="FF000000"/>
      <name val="Agency FB"/>
      <family val="2"/>
    </font>
    <font>
      <sz val="10"/>
      <color rgb="FF00B050"/>
      <name val="Calibri"/>
      <family val="2"/>
    </font>
    <font>
      <b/>
      <sz val="14"/>
      <name val="Calibri"/>
      <family val="2"/>
    </font>
    <font>
      <b/>
      <sz val="12"/>
      <name val="Calibri"/>
      <family val="2"/>
    </font>
    <font>
      <b/>
      <i/>
      <sz val="11"/>
      <name val="Calibri"/>
      <family val="2"/>
    </font>
    <font>
      <b/>
      <sz val="8"/>
      <color rgb="FFFFFFFF"/>
      <name val="Verdana"/>
      <family val="2"/>
    </font>
    <font>
      <sz val="8"/>
      <color rgb="FF000000"/>
      <name val="Verdana"/>
      <family val="2"/>
    </font>
    <font>
      <b/>
      <sz val="8"/>
      <name val="Verdana"/>
      <family val="2"/>
    </font>
    <font>
      <sz val="8"/>
      <name val="Verdana"/>
      <family val="2"/>
    </font>
    <font>
      <b/>
      <sz val="8"/>
      <color rgb="FF000000"/>
      <name val="Verdana"/>
      <family val="2"/>
    </font>
    <font>
      <sz val="8"/>
      <color rgb="FF0000FF"/>
      <name val="Verdana"/>
      <family val="2"/>
    </font>
    <font>
      <b/>
      <u/>
      <sz val="8"/>
      <name val="Verdana"/>
      <family val="2"/>
    </font>
    <font>
      <b/>
      <sz val="8"/>
      <color rgb="FF008000"/>
      <name val="Verdana"/>
      <family val="2"/>
    </font>
    <font>
      <b/>
      <sz val="8"/>
      <color rgb="FF0000FF"/>
      <name val="Verdana"/>
      <family val="2"/>
    </font>
    <font>
      <b/>
      <u/>
      <sz val="8"/>
      <color rgb="FF000000"/>
      <name val="Verdana"/>
      <family val="2"/>
    </font>
    <font>
      <b/>
      <sz val="10"/>
      <color theme="1"/>
      <name val="Arial"/>
      <family val="2"/>
    </font>
    <font>
      <b/>
      <sz val="8"/>
      <color theme="0"/>
      <name val="Verdana"/>
      <family val="2"/>
    </font>
    <font>
      <sz val="8"/>
      <color theme="1"/>
      <name val="Verdana"/>
      <family val="2"/>
    </font>
    <font>
      <i/>
      <sz val="8"/>
      <color rgb="FF00B050"/>
      <name val="Arial"/>
      <family val="2"/>
    </font>
    <font>
      <b/>
      <sz val="9"/>
      <color rgb="FF00B050"/>
      <name val="Arial"/>
      <family val="2"/>
    </font>
    <font>
      <b/>
      <sz val="10"/>
      <color indexed="8"/>
      <name val="Arial"/>
      <family val="2"/>
    </font>
    <font>
      <sz val="10"/>
      <color indexed="8"/>
      <name val="Arial"/>
      <family val="2"/>
    </font>
    <font>
      <sz val="10"/>
      <name val="Helvetica"/>
      <family val="2"/>
    </font>
    <font>
      <sz val="8"/>
      <name val="Helvetica"/>
      <family val="2"/>
    </font>
    <font>
      <b/>
      <sz val="10"/>
      <name val="Helvetica"/>
      <family val="2"/>
    </font>
    <font>
      <sz val="9"/>
      <color theme="1"/>
      <name val="Arial"/>
      <family val="2"/>
    </font>
    <font>
      <sz val="11"/>
      <color rgb="FF000000"/>
      <name val="Calibri"/>
      <family val="2"/>
      <scheme val="minor"/>
    </font>
    <font>
      <b/>
      <sz val="10"/>
      <color rgb="FF008000"/>
      <name val="Arial"/>
      <family val="2"/>
    </font>
    <font>
      <sz val="10"/>
      <color rgb="FF008000"/>
      <name val="Arial"/>
      <family val="2"/>
    </font>
    <font>
      <u/>
      <sz val="9"/>
      <name val="Arial"/>
      <family val="2"/>
    </font>
    <font>
      <b/>
      <sz val="9"/>
      <color rgb="FF008000"/>
      <name val="Arial"/>
      <family val="2"/>
    </font>
    <font>
      <sz val="9"/>
      <color rgb="FF008000"/>
      <name val="Arial"/>
      <family val="2"/>
    </font>
    <font>
      <vertAlign val="superscript"/>
      <sz val="9"/>
      <color rgb="FF000000"/>
      <name val="Arial"/>
      <family val="2"/>
    </font>
    <font>
      <i/>
      <sz val="9"/>
      <color rgb="FF000000"/>
      <name val="Arial"/>
      <family val="2"/>
    </font>
    <font>
      <b/>
      <sz val="10"/>
      <color indexed="9"/>
      <name val="Arial"/>
      <family val="2"/>
    </font>
    <font>
      <sz val="9"/>
      <color indexed="8"/>
      <name val="Arial"/>
      <family val="2"/>
    </font>
    <font>
      <b/>
      <sz val="11"/>
      <color rgb="FF000000"/>
      <name val="Calibri"/>
      <family val="2"/>
      <scheme val="minor"/>
    </font>
    <font>
      <sz val="10"/>
      <color rgb="FF800080"/>
      <name val="Arial"/>
      <family val="2"/>
    </font>
    <font>
      <b/>
      <i/>
      <sz val="9"/>
      <name val="Arial"/>
      <family val="2"/>
    </font>
    <font>
      <b/>
      <sz val="10"/>
      <color rgb="FF000000"/>
      <name val="Helvetica"/>
    </font>
    <font>
      <sz val="10"/>
      <color rgb="FF000000"/>
      <name val="Helvetica"/>
    </font>
    <font>
      <sz val="10"/>
      <color indexed="8"/>
      <name val="Arial"/>
      <family val="2"/>
    </font>
    <font>
      <b/>
      <sz val="10"/>
      <color indexed="8"/>
      <name val="Arial"/>
      <family val="2"/>
    </font>
    <font>
      <b/>
      <sz val="10"/>
      <color indexed="8"/>
      <name val="Arial"/>
      <family val="2"/>
    </font>
  </fonts>
  <fills count="39">
    <fill>
      <patternFill patternType="none"/>
    </fill>
    <fill>
      <patternFill patternType="gray125"/>
    </fill>
    <fill>
      <patternFill patternType="solid">
        <fgColor indexed="58"/>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theme="1"/>
        <bgColor indexed="64"/>
      </patternFill>
    </fill>
    <fill>
      <patternFill patternType="solid">
        <fgColor rgb="FF000000"/>
        <bgColor rgb="FF000000"/>
      </patternFill>
    </fill>
    <fill>
      <patternFill patternType="solid">
        <fgColor rgb="FFF2F2F2"/>
        <bgColor rgb="FF000000"/>
      </patternFill>
    </fill>
    <fill>
      <patternFill patternType="solid">
        <fgColor rgb="FF305496"/>
        <bgColor rgb="FF000000"/>
      </patternFill>
    </fill>
    <fill>
      <patternFill patternType="solid">
        <fgColor rgb="FFD0CECE"/>
        <bgColor rgb="FF000000"/>
      </patternFill>
    </fill>
    <fill>
      <patternFill patternType="solid">
        <fgColor theme="3" tint="0.79998168889431442"/>
        <bgColor indexed="64"/>
      </patternFill>
    </fill>
    <fill>
      <patternFill patternType="solid">
        <fgColor rgb="FF000078"/>
        <bgColor rgb="FF000000"/>
      </patternFill>
    </fill>
    <fill>
      <patternFill patternType="solid">
        <fgColor rgb="FFD9D9D9"/>
        <bgColor rgb="FF000000"/>
      </patternFill>
    </fill>
    <fill>
      <patternFill patternType="solid">
        <fgColor theme="2" tint="-0.249977111117893"/>
        <bgColor indexed="64"/>
      </patternFill>
    </fill>
    <fill>
      <patternFill patternType="solid">
        <fgColor theme="9" tint="0.79998168889431442"/>
        <bgColor indexed="64"/>
      </patternFill>
    </fill>
    <fill>
      <patternFill patternType="solid">
        <fgColor rgb="FFFFEB9C"/>
      </patternFill>
    </fill>
    <fill>
      <patternFill patternType="solid">
        <fgColor theme="2" tint="-0.49998474074526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002060"/>
        <bgColor rgb="FF000000"/>
      </patternFill>
    </fill>
    <fill>
      <patternFill patternType="solid">
        <fgColor theme="0"/>
        <bgColor indexed="64"/>
      </patternFill>
    </fill>
    <fill>
      <patternFill patternType="solid">
        <fgColor rgb="FF000080"/>
        <bgColor rgb="FF000000"/>
      </patternFill>
    </fill>
    <fill>
      <patternFill patternType="solid">
        <fgColor rgb="FFFFFFFF"/>
        <bgColor rgb="FF000000"/>
      </patternFill>
    </fill>
    <fill>
      <patternFill patternType="solid">
        <fgColor rgb="FFFFFF00"/>
        <bgColor rgb="FF000000"/>
      </patternFill>
    </fill>
    <fill>
      <patternFill patternType="solid">
        <fgColor rgb="FFFF0000"/>
        <bgColor rgb="FF000000"/>
      </patternFill>
    </fill>
    <fill>
      <patternFill patternType="solid">
        <fgColor indexed="22"/>
      </patternFill>
    </fill>
    <fill>
      <patternFill patternType="solid">
        <fgColor theme="2"/>
        <bgColor indexed="64"/>
      </patternFill>
    </fill>
    <fill>
      <patternFill patternType="solid">
        <fgColor theme="7" tint="0.79998168889431442"/>
        <bgColor indexed="64"/>
      </patternFill>
    </fill>
    <fill>
      <patternFill patternType="solid">
        <fgColor rgb="FFFFFFFF"/>
        <bgColor indexed="64"/>
      </patternFill>
    </fill>
    <fill>
      <patternFill patternType="solid">
        <fgColor rgb="FFE7E6E6"/>
        <bgColor rgb="FF000000"/>
      </patternFill>
    </fill>
  </fills>
  <borders count="83">
    <border>
      <left/>
      <right/>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bottom style="thin">
        <color rgb="FF000000"/>
      </bottom>
      <diagonal/>
    </border>
    <border>
      <left/>
      <right/>
      <top style="thin">
        <color rgb="FF000000"/>
      </top>
      <bottom/>
      <diagonal/>
    </border>
    <border>
      <left/>
      <right/>
      <top/>
      <bottom style="thin">
        <color rgb="FFCCCCCC"/>
      </bottom>
      <diagonal/>
    </border>
    <border>
      <left/>
      <right/>
      <top style="thin">
        <color rgb="FFCCCCCC"/>
      </top>
      <bottom style="double">
        <color rgb="FFCCCCCC"/>
      </bottom>
      <diagonal/>
    </border>
    <border>
      <left/>
      <right/>
      <top style="double">
        <color rgb="FFCCCCCC"/>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theme="0"/>
      </right>
      <top style="thin">
        <color indexed="64"/>
      </top>
      <bottom/>
      <diagonal/>
    </border>
    <border>
      <left style="thin">
        <color theme="0"/>
      </left>
      <right/>
      <top style="thin">
        <color indexed="64"/>
      </top>
      <bottom/>
      <diagonal/>
    </border>
    <border>
      <left style="thin">
        <color theme="0"/>
      </left>
      <right/>
      <top/>
      <bottom/>
      <diagonal/>
    </border>
    <border>
      <left/>
      <right style="thin">
        <color theme="0"/>
      </right>
      <top/>
      <bottom/>
      <diagonal/>
    </border>
    <border>
      <left/>
      <right style="thin">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style="thin">
        <color theme="0"/>
      </right>
      <top/>
      <bottom/>
      <diagonal/>
    </border>
    <border>
      <left style="medium">
        <color indexed="64"/>
      </left>
      <right style="thin">
        <color indexed="64"/>
      </right>
      <top/>
      <bottom/>
      <diagonal/>
    </border>
    <border>
      <left style="medium">
        <color indexed="64"/>
      </left>
      <right style="thin">
        <color indexed="64"/>
      </right>
      <top/>
      <bottom style="medium">
        <color auto="1"/>
      </bottom>
      <diagonal/>
    </border>
    <border>
      <left style="thin">
        <color auto="1"/>
      </left>
      <right style="thin">
        <color auto="1"/>
      </right>
      <top/>
      <bottom style="medium">
        <color indexed="64"/>
      </bottom>
      <diagonal/>
    </border>
    <border>
      <left/>
      <right/>
      <top style="medium">
        <color indexed="64"/>
      </top>
      <bottom/>
      <diagonal/>
    </border>
    <border>
      <left style="thick">
        <color indexed="64"/>
      </left>
      <right style="thin">
        <color indexed="64"/>
      </right>
      <top/>
      <bottom/>
      <diagonal/>
    </border>
    <border>
      <left style="thick">
        <color indexed="64"/>
      </left>
      <right style="thin">
        <color indexed="64"/>
      </right>
      <top/>
      <bottom style="medium">
        <color auto="1"/>
      </bottom>
      <diagonal/>
    </border>
    <border>
      <left style="thick">
        <color indexed="64"/>
      </left>
      <right style="thin">
        <color indexed="64"/>
      </right>
      <top/>
      <bottom style="thin">
        <color auto="1"/>
      </bottom>
      <diagonal/>
    </border>
    <border>
      <left/>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ck">
        <color indexed="64"/>
      </left>
      <right style="thin">
        <color indexed="64"/>
      </right>
      <top style="medium">
        <color indexed="64"/>
      </top>
      <bottom/>
      <diagonal/>
    </border>
    <border>
      <left style="thin">
        <color auto="1"/>
      </left>
      <right style="thin">
        <color auto="1"/>
      </right>
      <top style="medium">
        <color indexed="64"/>
      </top>
      <bottom/>
      <diagonal/>
    </border>
    <border>
      <left/>
      <right/>
      <top style="hair">
        <color auto="1"/>
      </top>
      <bottom style="hair">
        <color auto="1"/>
      </bottom>
      <diagonal/>
    </border>
    <border>
      <left style="thick">
        <color indexed="64"/>
      </left>
      <right style="thin">
        <color indexed="64"/>
      </right>
      <top style="hair">
        <color auto="1"/>
      </top>
      <bottom style="hair">
        <color auto="1"/>
      </bottom>
      <diagonal/>
    </border>
    <border>
      <left style="thin">
        <color indexed="64"/>
      </left>
      <right style="thin">
        <color indexed="64"/>
      </right>
      <top style="hair">
        <color auto="1"/>
      </top>
      <bottom style="hair">
        <color auto="1"/>
      </bottom>
      <diagonal/>
    </border>
    <border>
      <left style="thick">
        <color indexed="64"/>
      </left>
      <right style="thin">
        <color indexed="64"/>
      </right>
      <top style="hair">
        <color auto="1"/>
      </top>
      <bottom/>
      <diagonal/>
    </border>
    <border>
      <left/>
      <right/>
      <top/>
      <bottom style="hair">
        <color auto="1"/>
      </bottom>
      <diagonal/>
    </border>
    <border>
      <left style="thick">
        <color indexed="64"/>
      </left>
      <right style="thin">
        <color indexed="64"/>
      </right>
      <top/>
      <bottom style="hair">
        <color auto="1"/>
      </bottom>
      <diagonal/>
    </border>
    <border>
      <left style="thin">
        <color auto="1"/>
      </left>
      <right style="thin">
        <color auto="1"/>
      </right>
      <top/>
      <bottom style="hair">
        <color indexed="64"/>
      </bottom>
      <diagonal/>
    </border>
    <border>
      <left style="thin">
        <color auto="1"/>
      </left>
      <right style="thin">
        <color auto="1"/>
      </right>
      <top style="hair">
        <color auto="1"/>
      </top>
      <bottom/>
      <diagonal/>
    </border>
    <border>
      <left style="thin">
        <color indexed="64"/>
      </left>
      <right style="thin">
        <color indexed="64"/>
      </right>
      <top style="hair">
        <color auto="1"/>
      </top>
      <bottom style="medium">
        <color auto="1"/>
      </bottom>
      <diagonal/>
    </border>
    <border>
      <left/>
      <right/>
      <top style="hair">
        <color auto="1"/>
      </top>
      <bottom/>
      <diagonal/>
    </border>
    <border>
      <left style="hair">
        <color auto="1"/>
      </left>
      <right/>
      <top style="hair">
        <color auto="1"/>
      </top>
      <bottom style="hair">
        <color auto="1"/>
      </bottom>
      <diagonal/>
    </border>
    <border>
      <left/>
      <right/>
      <top style="medium">
        <color auto="1"/>
      </top>
      <bottom style="medium">
        <color indexed="64"/>
      </bottom>
      <diagonal/>
    </border>
    <border>
      <left style="thick">
        <color indexed="64"/>
      </left>
      <right style="thin">
        <color indexed="64"/>
      </right>
      <top style="medium">
        <color indexed="64"/>
      </top>
      <bottom style="medium">
        <color auto="1"/>
      </bottom>
      <diagonal/>
    </border>
    <border>
      <left style="thin">
        <color indexed="64"/>
      </left>
      <right style="thin">
        <color indexed="64"/>
      </right>
      <top style="medium">
        <color auto="1"/>
      </top>
      <bottom style="medium">
        <color auto="1"/>
      </bottom>
      <diagonal/>
    </border>
    <border>
      <left/>
      <right style="hair">
        <color indexed="64"/>
      </right>
      <top style="hair">
        <color indexed="64"/>
      </top>
      <bottom style="hair">
        <color indexed="64"/>
      </bottom>
      <diagonal/>
    </border>
    <border>
      <left style="medium">
        <color auto="1"/>
      </left>
      <right/>
      <top style="medium">
        <color auto="1"/>
      </top>
      <bottom style="medium">
        <color auto="1"/>
      </bottom>
      <diagonal/>
    </border>
    <border>
      <left/>
      <right style="medium">
        <color indexed="64"/>
      </right>
      <top style="medium">
        <color indexed="64"/>
      </top>
      <bottom style="medium">
        <color indexed="64"/>
      </bottom>
      <diagonal/>
    </border>
    <border>
      <left style="mediumDashed">
        <color indexed="64"/>
      </left>
      <right style="mediumDashed">
        <color indexed="64"/>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diagonal/>
    </border>
    <border>
      <left/>
      <right/>
      <top style="thin">
        <color auto="1"/>
      </top>
      <bottom style="thin">
        <color auto="1"/>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right/>
      <top style="medium">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s>
  <cellStyleXfs count="18">
    <xf numFmtId="0" fontId="0" fillId="0" borderId="0"/>
    <xf numFmtId="43" fontId="9" fillId="0" borderId="0" applyFont="0" applyFill="0" applyBorder="0" applyAlignment="0" applyProtection="0"/>
    <xf numFmtId="41"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9" fontId="9" fillId="0" borderId="0" applyFont="0" applyFill="0" applyBorder="0" applyAlignment="0" applyProtection="0"/>
    <xf numFmtId="37" fontId="2" fillId="0" borderId="0"/>
    <xf numFmtId="37" fontId="2" fillId="0" borderId="0"/>
    <xf numFmtId="0" fontId="9" fillId="0" borderId="0"/>
    <xf numFmtId="0" fontId="22" fillId="0" borderId="0"/>
    <xf numFmtId="0" fontId="25" fillId="0" borderId="0"/>
    <xf numFmtId="9" fontId="1" fillId="0" borderId="0" applyFont="0" applyFill="0" applyBorder="0" applyAlignment="0" applyProtection="0"/>
    <xf numFmtId="0" fontId="60" fillId="9" borderId="0" applyNumberFormat="0" applyBorder="0" applyAlignment="0" applyProtection="0"/>
    <xf numFmtId="0" fontId="61" fillId="10" borderId="0" applyNumberFormat="0" applyBorder="0" applyAlignment="0" applyProtection="0"/>
    <xf numFmtId="0" fontId="71" fillId="0" borderId="0" applyNumberFormat="0" applyFill="0" applyBorder="0" applyAlignment="0" applyProtection="0"/>
    <xf numFmtId="0" fontId="77" fillId="21" borderId="0" applyNumberFormat="0" applyBorder="0" applyAlignment="0" applyProtection="0"/>
    <xf numFmtId="43" fontId="9" fillId="0" borderId="0" applyFont="0" applyFill="0" applyBorder="0" applyAlignment="0" applyProtection="0"/>
    <xf numFmtId="0" fontId="113" fillId="0" borderId="0"/>
  </cellStyleXfs>
  <cellXfs count="1376">
    <xf numFmtId="0" fontId="0" fillId="0" borderId="0" xfId="0"/>
    <xf numFmtId="37" fontId="5" fillId="0" borderId="1" xfId="7" applyFont="1" applyBorder="1" applyAlignment="1">
      <alignment horizontal="left"/>
    </xf>
    <xf numFmtId="37" fontId="6" fillId="0" borderId="2" xfId="7" applyFont="1" applyBorder="1"/>
    <xf numFmtId="37" fontId="6" fillId="0" borderId="2" xfId="7" applyFont="1" applyBorder="1" applyAlignment="1">
      <alignment horizontal="right"/>
    </xf>
    <xf numFmtId="37" fontId="6" fillId="0" borderId="2" xfId="7" applyFont="1" applyBorder="1" applyAlignment="1">
      <alignment horizontal="center"/>
    </xf>
    <xf numFmtId="37" fontId="6" fillId="0" borderId="0" xfId="7" applyFont="1"/>
    <xf numFmtId="37" fontId="7" fillId="0" borderId="3" xfId="7" applyFont="1" applyBorder="1" applyAlignment="1">
      <alignment horizontal="left"/>
    </xf>
    <xf numFmtId="37" fontId="6" fillId="0" borderId="4" xfId="7" applyFont="1" applyBorder="1" applyAlignment="1">
      <alignment horizontal="center" wrapText="1"/>
    </xf>
    <xf numFmtId="37" fontId="6" fillId="0" borderId="5" xfId="7" applyFont="1" applyBorder="1"/>
    <xf numFmtId="37" fontId="6" fillId="0" borderId="0" xfId="7" applyFont="1" applyAlignment="1">
      <alignment horizontal="center" wrapText="1"/>
    </xf>
    <xf numFmtId="37" fontId="6" fillId="0" borderId="0" xfId="7" quotePrefix="1" applyFont="1" applyAlignment="1">
      <alignment horizontal="center"/>
    </xf>
    <xf numFmtId="37" fontId="8" fillId="0" borderId="3" xfId="7" applyFont="1" applyBorder="1" applyAlignment="1">
      <alignment horizontal="left"/>
    </xf>
    <xf numFmtId="5" fontId="8" fillId="0" borderId="7" xfId="6" applyNumberFormat="1" applyFont="1" applyBorder="1" applyAlignment="1">
      <alignment horizontal="center"/>
    </xf>
    <xf numFmtId="44" fontId="8" fillId="0" borderId="7" xfId="3" applyFont="1" applyFill="1" applyBorder="1" applyAlignment="1">
      <alignment horizontal="right"/>
    </xf>
    <xf numFmtId="10" fontId="8" fillId="0" borderId="0" xfId="5" applyNumberFormat="1" applyFont="1" applyBorder="1"/>
    <xf numFmtId="37" fontId="8" fillId="0" borderId="0" xfId="7" applyFont="1"/>
    <xf numFmtId="37" fontId="8" fillId="0" borderId="3" xfId="7" quotePrefix="1" applyFont="1" applyBorder="1" applyAlignment="1">
      <alignment horizontal="left"/>
    </xf>
    <xf numFmtId="37" fontId="8" fillId="0" borderId="3" xfId="7" applyFont="1" applyBorder="1"/>
    <xf numFmtId="37" fontId="7" fillId="0" borderId="0" xfId="7" applyFont="1"/>
    <xf numFmtId="37" fontId="8" fillId="0" borderId="3" xfId="6" applyFont="1" applyBorder="1" applyAlignment="1">
      <alignment horizontal="left"/>
    </xf>
    <xf numFmtId="37" fontId="8" fillId="0" borderId="7" xfId="7" applyFont="1" applyBorder="1" applyAlignment="1" applyProtection="1">
      <alignment horizontal="right"/>
      <protection locked="0"/>
    </xf>
    <xf numFmtId="1" fontId="7" fillId="0" borderId="0" xfId="6" applyNumberFormat="1" applyFont="1" applyAlignment="1" applyProtection="1">
      <alignment horizontal="right"/>
      <protection locked="0"/>
    </xf>
    <xf numFmtId="37" fontId="8" fillId="0" borderId="0" xfId="6" applyFont="1"/>
    <xf numFmtId="165" fontId="8" fillId="0" borderId="7" xfId="3" applyNumberFormat="1" applyFont="1" applyFill="1" applyBorder="1" applyAlignment="1">
      <alignment horizontal="right"/>
    </xf>
    <xf numFmtId="37" fontId="8" fillId="0" borderId="3" xfId="6" applyFont="1" applyBorder="1"/>
    <xf numFmtId="12" fontId="7" fillId="0" borderId="7" xfId="7" applyNumberFormat="1" applyFont="1" applyBorder="1" applyAlignment="1">
      <alignment horizontal="center"/>
    </xf>
    <xf numFmtId="37" fontId="8" fillId="0" borderId="3" xfId="6" quotePrefix="1" applyFont="1" applyBorder="1" applyAlignment="1">
      <alignment horizontal="left"/>
    </xf>
    <xf numFmtId="7" fontId="10" fillId="0" borderId="0" xfId="7" applyNumberFormat="1" applyFont="1"/>
    <xf numFmtId="7" fontId="8" fillId="0" borderId="0" xfId="7" applyNumberFormat="1" applyFont="1"/>
    <xf numFmtId="7" fontId="7" fillId="0" borderId="0" xfId="7" applyNumberFormat="1" applyFont="1"/>
    <xf numFmtId="37" fontId="8" fillId="0" borderId="13" xfId="7" applyFont="1" applyBorder="1"/>
    <xf numFmtId="37" fontId="10" fillId="0" borderId="14" xfId="7" applyFont="1" applyBorder="1" applyAlignment="1">
      <alignment horizontal="left"/>
    </xf>
    <xf numFmtId="37" fontId="7" fillId="0" borderId="14" xfId="7" applyFont="1" applyBorder="1"/>
    <xf numFmtId="37" fontId="9" fillId="0" borderId="0" xfId="7" applyFont="1"/>
    <xf numFmtId="37" fontId="5" fillId="0" borderId="0" xfId="7" quotePrefix="1" applyFont="1" applyAlignment="1">
      <alignment horizontal="left"/>
    </xf>
    <xf numFmtId="37" fontId="12" fillId="0" borderId="0" xfId="7" applyFont="1" applyAlignment="1">
      <alignment horizontal="center"/>
    </xf>
    <xf numFmtId="37" fontId="11" fillId="0" borderId="0" xfId="7" quotePrefix="1" applyFont="1" applyAlignment="1">
      <alignment horizontal="right"/>
    </xf>
    <xf numFmtId="37" fontId="9" fillId="0" borderId="0" xfId="7" applyFont="1" applyAlignment="1">
      <alignment horizontal="left"/>
    </xf>
    <xf numFmtId="37" fontId="9" fillId="0" borderId="7" xfId="7" applyFont="1" applyBorder="1"/>
    <xf numFmtId="37" fontId="5" fillId="0" borderId="7" xfId="7" applyFont="1" applyBorder="1"/>
    <xf numFmtId="1" fontId="5" fillId="0" borderId="16" xfId="7" applyNumberFormat="1" applyFont="1" applyBorder="1" applyAlignment="1">
      <alignment horizontal="center"/>
    </xf>
    <xf numFmtId="37" fontId="9" fillId="0" borderId="0" xfId="7" quotePrefix="1" applyFont="1" applyAlignment="1">
      <alignment horizontal="left"/>
    </xf>
    <xf numFmtId="7" fontId="9" fillId="0" borderId="7" xfId="2" applyNumberFormat="1" applyFont="1" applyFill="1" applyBorder="1" applyProtection="1">
      <protection locked="0"/>
    </xf>
    <xf numFmtId="37" fontId="14" fillId="0" borderId="0" xfId="7" applyFont="1" applyAlignment="1">
      <alignment horizontal="left"/>
    </xf>
    <xf numFmtId="37" fontId="15" fillId="0" borderId="0" xfId="7" applyFont="1" applyAlignment="1">
      <alignment horizontal="center"/>
    </xf>
    <xf numFmtId="7" fontId="9" fillId="0" borderId="0" xfId="7" applyNumberFormat="1" applyFont="1"/>
    <xf numFmtId="37" fontId="5" fillId="0" borderId="0" xfId="7" applyFont="1" applyAlignment="1">
      <alignment horizontal="left"/>
    </xf>
    <xf numFmtId="5" fontId="7" fillId="0" borderId="0" xfId="7" applyNumberFormat="1" applyFont="1"/>
    <xf numFmtId="37" fontId="16" fillId="0" borderId="0" xfId="7" applyFont="1"/>
    <xf numFmtId="5" fontId="11" fillId="0" borderId="0" xfId="7" applyNumberFormat="1" applyFont="1"/>
    <xf numFmtId="5" fontId="11" fillId="0" borderId="0" xfId="7" quotePrefix="1" applyNumberFormat="1" applyFont="1" applyAlignment="1">
      <alignment horizontal="left"/>
    </xf>
    <xf numFmtId="5" fontId="5" fillId="0" borderId="0" xfId="7" applyNumberFormat="1" applyFont="1"/>
    <xf numFmtId="9" fontId="5" fillId="0" borderId="7" xfId="7" applyNumberFormat="1" applyFont="1" applyBorder="1"/>
    <xf numFmtId="9" fontId="5" fillId="0" borderId="0" xfId="7" applyNumberFormat="1" applyFont="1"/>
    <xf numFmtId="37" fontId="5" fillId="0" borderId="0" xfId="7" applyFont="1"/>
    <xf numFmtId="37" fontId="9" fillId="0" borderId="0" xfId="6" applyFont="1" applyAlignment="1">
      <alignment horizontal="left"/>
    </xf>
    <xf numFmtId="37" fontId="5" fillId="0" borderId="0" xfId="6" applyFont="1" applyAlignment="1">
      <alignment horizontal="left"/>
    </xf>
    <xf numFmtId="7" fontId="5" fillId="0" borderId="9" xfId="7" applyNumberFormat="1" applyFont="1" applyBorder="1"/>
    <xf numFmtId="7" fontId="5" fillId="0" borderId="0" xfId="7" applyNumberFormat="1" applyFont="1"/>
    <xf numFmtId="37" fontId="5" fillId="0" borderId="17" xfId="7" quotePrefix="1" applyFont="1" applyBorder="1" applyAlignment="1">
      <alignment horizontal="left"/>
    </xf>
    <xf numFmtId="37" fontId="10" fillId="0" borderId="17" xfId="7" quotePrefix="1" applyFont="1" applyBorder="1" applyAlignment="1">
      <alignment horizontal="left"/>
    </xf>
    <xf numFmtId="37" fontId="9" fillId="0" borderId="17" xfId="7" applyFont="1" applyBorder="1"/>
    <xf numFmtId="7" fontId="5" fillId="0" borderId="11" xfId="7" applyNumberFormat="1" applyFont="1" applyBorder="1"/>
    <xf numFmtId="0" fontId="3" fillId="0" borderId="0" xfId="0" applyFont="1"/>
    <xf numFmtId="37" fontId="5" fillId="0" borderId="15" xfId="7" applyFont="1" applyBorder="1"/>
    <xf numFmtId="10" fontId="0" fillId="0" borderId="0" xfId="0" applyNumberFormat="1"/>
    <xf numFmtId="37" fontId="9" fillId="0" borderId="0" xfId="7" applyFont="1" applyAlignment="1">
      <alignment horizontal="right"/>
    </xf>
    <xf numFmtId="1" fontId="7" fillId="0" borderId="0" xfId="7" applyNumberFormat="1" applyFont="1" applyAlignment="1">
      <alignment horizontal="center"/>
    </xf>
    <xf numFmtId="164" fontId="8" fillId="0" borderId="0" xfId="6" applyNumberFormat="1" applyFont="1" applyAlignment="1">
      <alignment horizontal="right"/>
    </xf>
    <xf numFmtId="0" fontId="24" fillId="0" borderId="0" xfId="0" applyFont="1" applyAlignment="1">
      <alignment horizontal="left" vertical="center"/>
    </xf>
    <xf numFmtId="4" fontId="24" fillId="0" borderId="0" xfId="0" applyNumberFormat="1" applyFont="1" applyAlignment="1">
      <alignment horizontal="right" vertical="center"/>
    </xf>
    <xf numFmtId="37" fontId="16" fillId="0" borderId="17" xfId="7" applyFont="1" applyBorder="1"/>
    <xf numFmtId="0" fontId="9" fillId="0" borderId="0" xfId="0" applyFont="1"/>
    <xf numFmtId="8" fontId="0" fillId="0" borderId="0" xfId="0" applyNumberFormat="1"/>
    <xf numFmtId="9" fontId="5" fillId="0" borderId="7" xfId="5" applyFont="1" applyFill="1" applyBorder="1" applyProtection="1">
      <protection locked="0"/>
    </xf>
    <xf numFmtId="170" fontId="5" fillId="0" borderId="7" xfId="7" applyNumberFormat="1" applyFont="1" applyBorder="1"/>
    <xf numFmtId="1" fontId="5" fillId="0" borderId="7" xfId="7" applyNumberFormat="1" applyFont="1" applyBorder="1" applyAlignment="1">
      <alignment horizontal="center"/>
    </xf>
    <xf numFmtId="42" fontId="5" fillId="0" borderId="0" xfId="4" applyFont="1" applyFill="1" applyBorder="1" applyProtection="1"/>
    <xf numFmtId="7" fontId="13" fillId="0" borderId="9" xfId="6" applyNumberFormat="1" applyFont="1" applyBorder="1" applyAlignment="1" applyProtection="1">
      <alignment vertical="top"/>
      <protection locked="0"/>
    </xf>
    <xf numFmtId="7" fontId="9" fillId="0" borderId="0" xfId="7" applyNumberFormat="1" applyFont="1" applyAlignment="1">
      <alignment horizontal="right"/>
    </xf>
    <xf numFmtId="7" fontId="7" fillId="0" borderId="0" xfId="7" applyNumberFormat="1" applyFont="1" applyAlignment="1">
      <alignment horizontal="right"/>
    </xf>
    <xf numFmtId="7" fontId="11" fillId="0" borderId="0" xfId="7" applyNumberFormat="1" applyFont="1" applyAlignment="1">
      <alignment horizontal="right"/>
    </xf>
    <xf numFmtId="9" fontId="5" fillId="0" borderId="0" xfId="7" applyNumberFormat="1" applyFont="1" applyAlignment="1">
      <alignment horizontal="right"/>
    </xf>
    <xf numFmtId="169" fontId="8" fillId="0" borderId="7" xfId="6" applyNumberFormat="1" applyFont="1" applyBorder="1" applyAlignment="1">
      <alignment horizontal="right"/>
    </xf>
    <xf numFmtId="1" fontId="8" fillId="0" borderId="7" xfId="6" applyNumberFormat="1" applyFont="1" applyBorder="1" applyAlignment="1">
      <alignment horizontal="right"/>
    </xf>
    <xf numFmtId="14" fontId="7" fillId="0" borderId="7" xfId="7" applyNumberFormat="1" applyFont="1" applyBorder="1" applyAlignment="1">
      <alignment horizontal="center"/>
    </xf>
    <xf numFmtId="2" fontId="5" fillId="0" borderId="0" xfId="7" applyNumberFormat="1" applyFont="1"/>
    <xf numFmtId="170" fontId="5" fillId="0" borderId="0" xfId="7" applyNumberFormat="1" applyFont="1"/>
    <xf numFmtId="7" fontId="5" fillId="0" borderId="0" xfId="7" applyNumberFormat="1" applyFont="1" applyAlignment="1">
      <alignment horizontal="right"/>
    </xf>
    <xf numFmtId="166" fontId="5" fillId="0" borderId="16" xfId="7" applyNumberFormat="1" applyFont="1" applyBorder="1" applyAlignment="1" applyProtection="1">
      <alignment horizontal="center"/>
      <protection locked="0"/>
    </xf>
    <xf numFmtId="37" fontId="5" fillId="0" borderId="6" xfId="7" applyFont="1" applyBorder="1" applyAlignment="1">
      <alignment horizontal="center"/>
    </xf>
    <xf numFmtId="0" fontId="26" fillId="3" borderId="0" xfId="10" applyFont="1" applyFill="1" applyAlignment="1">
      <alignment horizontal="centerContinuous"/>
    </xf>
    <xf numFmtId="0" fontId="27" fillId="3" borderId="0" xfId="10" applyFont="1" applyFill="1" applyAlignment="1">
      <alignment horizontal="centerContinuous"/>
    </xf>
    <xf numFmtId="0" fontId="25" fillId="0" borderId="0" xfId="10"/>
    <xf numFmtId="171" fontId="28" fillId="0" borderId="0" xfId="10" applyNumberFormat="1" applyFont="1" applyAlignment="1">
      <alignment horizontal="right"/>
    </xf>
    <xf numFmtId="0" fontId="29" fillId="0" borderId="0" xfId="10" applyFont="1"/>
    <xf numFmtId="0" fontId="25" fillId="0" borderId="0" xfId="10" applyAlignment="1">
      <alignment horizontal="right"/>
    </xf>
    <xf numFmtId="172" fontId="31" fillId="0" borderId="0" xfId="10" applyNumberFormat="1" applyFont="1" applyAlignment="1">
      <alignment horizontal="right"/>
    </xf>
    <xf numFmtId="172" fontId="28" fillId="0" borderId="0" xfId="10" applyNumberFormat="1" applyFont="1" applyAlignment="1">
      <alignment horizontal="right"/>
    </xf>
    <xf numFmtId="0" fontId="25" fillId="0" borderId="9" xfId="10" applyBorder="1"/>
    <xf numFmtId="172" fontId="31" fillId="0" borderId="9" xfId="10" applyNumberFormat="1" applyFont="1" applyBorder="1" applyAlignment="1">
      <alignment horizontal="right"/>
    </xf>
    <xf numFmtId="173" fontId="25" fillId="0" borderId="9" xfId="10" applyNumberFormat="1" applyBorder="1"/>
    <xf numFmtId="171" fontId="25" fillId="0" borderId="9" xfId="10" applyNumberFormat="1" applyBorder="1" applyAlignment="1">
      <alignment horizontal="right"/>
    </xf>
    <xf numFmtId="0" fontId="32" fillId="0" borderId="0" xfId="10" applyFont="1" applyAlignment="1">
      <alignment horizontal="right" vertical="top"/>
    </xf>
    <xf numFmtId="174" fontId="28" fillId="0" borderId="0" xfId="10" applyNumberFormat="1" applyFont="1" applyAlignment="1">
      <alignment horizontal="right"/>
    </xf>
    <xf numFmtId="174" fontId="25" fillId="0" borderId="9" xfId="10" applyNumberFormat="1" applyBorder="1" applyAlignment="1">
      <alignment horizontal="right"/>
    </xf>
    <xf numFmtId="9" fontId="25" fillId="0" borderId="0" xfId="5" applyFont="1"/>
    <xf numFmtId="44" fontId="25" fillId="0" borderId="0" xfId="10" applyNumberFormat="1"/>
    <xf numFmtId="0" fontId="9" fillId="0" borderId="0" xfId="8"/>
    <xf numFmtId="7" fontId="31" fillId="0" borderId="0" xfId="7" applyNumberFormat="1" applyFont="1"/>
    <xf numFmtId="37" fontId="34" fillId="0" borderId="7" xfId="7" applyFont="1" applyBorder="1"/>
    <xf numFmtId="0" fontId="24" fillId="0" borderId="0" xfId="0" applyFont="1" applyAlignment="1">
      <alignment horizontal="center" vertical="center"/>
    </xf>
    <xf numFmtId="4" fontId="24" fillId="0" borderId="18" xfId="0" applyNumberFormat="1" applyFont="1" applyBorder="1" applyAlignment="1">
      <alignment horizontal="right" vertical="center"/>
    </xf>
    <xf numFmtId="0" fontId="23" fillId="0" borderId="0" xfId="0" applyFont="1" applyAlignment="1">
      <alignment horizontal="center" vertical="center"/>
    </xf>
    <xf numFmtId="0" fontId="23" fillId="0" borderId="0" xfId="0" applyFont="1" applyAlignment="1">
      <alignment horizontal="left" vertical="center"/>
    </xf>
    <xf numFmtId="4" fontId="23" fillId="0" borderId="19" xfId="0" applyNumberFormat="1" applyFont="1" applyBorder="1" applyAlignment="1">
      <alignment horizontal="right" vertical="center"/>
    </xf>
    <xf numFmtId="0" fontId="23" fillId="0" borderId="0" xfId="0" applyFont="1" applyAlignment="1">
      <alignment horizontal="right" vertical="center"/>
    </xf>
    <xf numFmtId="0" fontId="24" fillId="0" borderId="18" xfId="0" applyFont="1" applyBorder="1" applyAlignment="1">
      <alignment horizontal="center" vertical="center"/>
    </xf>
    <xf numFmtId="0" fontId="24" fillId="0" borderId="20" xfId="0" applyFont="1" applyBorder="1" applyAlignment="1">
      <alignment horizontal="center" vertical="center"/>
    </xf>
    <xf numFmtId="4" fontId="23" fillId="0" borderId="21" xfId="0" applyNumberFormat="1" applyFont="1" applyBorder="1" applyAlignment="1">
      <alignment horizontal="right" vertical="center"/>
    </xf>
    <xf numFmtId="0" fontId="24" fillId="0" borderId="22" xfId="0" applyFont="1" applyBorder="1" applyAlignment="1">
      <alignment horizontal="center" vertical="center"/>
    </xf>
    <xf numFmtId="4" fontId="23" fillId="0" borderId="0" xfId="0" applyNumberFormat="1" applyFont="1" applyAlignment="1">
      <alignment horizontal="right" vertical="center"/>
    </xf>
    <xf numFmtId="0" fontId="36" fillId="0" borderId="0" xfId="0" applyFont="1" applyAlignment="1">
      <alignment horizontal="left"/>
    </xf>
    <xf numFmtId="0" fontId="6" fillId="0" borderId="0" xfId="8" applyFont="1"/>
    <xf numFmtId="4" fontId="23" fillId="0" borderId="0" xfId="8" applyNumberFormat="1" applyFont="1" applyAlignment="1">
      <alignment horizontal="right" vertical="center"/>
    </xf>
    <xf numFmtId="5" fontId="9" fillId="0" borderId="7" xfId="7" applyNumberFormat="1" applyFont="1" applyBorder="1"/>
    <xf numFmtId="5" fontId="9" fillId="0" borderId="0" xfId="7" applyNumberFormat="1" applyFont="1"/>
    <xf numFmtId="5" fontId="5" fillId="0" borderId="7" xfId="7" applyNumberFormat="1" applyFont="1" applyBorder="1"/>
    <xf numFmtId="5" fontId="10" fillId="0" borderId="0" xfId="7" applyNumberFormat="1" applyFont="1" applyAlignment="1">
      <alignment horizontal="left"/>
    </xf>
    <xf numFmtId="5" fontId="16" fillId="0" borderId="0" xfId="7" applyNumberFormat="1" applyFont="1"/>
    <xf numFmtId="5" fontId="9" fillId="0" borderId="7" xfId="7" applyNumberFormat="1" applyFont="1" applyBorder="1" applyAlignment="1" applyProtection="1">
      <alignment horizontal="right"/>
      <protection locked="0"/>
    </xf>
    <xf numFmtId="5" fontId="5" fillId="0" borderId="7" xfId="4" applyNumberFormat="1" applyFont="1" applyFill="1" applyBorder="1" applyProtection="1"/>
    <xf numFmtId="5" fontId="9" fillId="2" borderId="7" xfId="6" quotePrefix="1" applyNumberFormat="1" applyFont="1" applyFill="1" applyBorder="1" applyAlignment="1">
      <alignment horizontal="right"/>
    </xf>
    <xf numFmtId="5" fontId="5" fillId="0" borderId="7" xfId="7" applyNumberFormat="1" applyFont="1" applyBorder="1" applyProtection="1">
      <protection locked="0"/>
    </xf>
    <xf numFmtId="0" fontId="0" fillId="0" borderId="0" xfId="0" applyAlignment="1">
      <alignment vertical="center"/>
    </xf>
    <xf numFmtId="1" fontId="49" fillId="0" borderId="16" xfId="7" applyNumberFormat="1" applyFont="1" applyBorder="1" applyAlignment="1">
      <alignment horizontal="center"/>
    </xf>
    <xf numFmtId="5" fontId="39" fillId="0" borderId="7" xfId="7" applyNumberFormat="1" applyFont="1" applyBorder="1"/>
    <xf numFmtId="0" fontId="50" fillId="0" borderId="0" xfId="8" applyFont="1"/>
    <xf numFmtId="43" fontId="9" fillId="0" borderId="0" xfId="1"/>
    <xf numFmtId="8" fontId="50" fillId="0" borderId="0" xfId="8" applyNumberFormat="1" applyFont="1"/>
    <xf numFmtId="0" fontId="50" fillId="0" borderId="12" xfId="8" applyFont="1" applyBorder="1"/>
    <xf numFmtId="0" fontId="50" fillId="0" borderId="5" xfId="8" applyFont="1" applyBorder="1"/>
    <xf numFmtId="37" fontId="5" fillId="0" borderId="7" xfId="7" applyFont="1" applyBorder="1" applyAlignment="1">
      <alignment horizontal="center"/>
    </xf>
    <xf numFmtId="14" fontId="8" fillId="0" borderId="7" xfId="6" applyNumberFormat="1" applyFont="1" applyBorder="1" applyAlignment="1">
      <alignment horizontal="center"/>
    </xf>
    <xf numFmtId="0" fontId="36" fillId="0" borderId="0" xfId="8" applyFont="1"/>
    <xf numFmtId="5" fontId="0" fillId="0" borderId="0" xfId="0" applyNumberFormat="1"/>
    <xf numFmtId="6" fontId="47" fillId="0" borderId="6" xfId="3" applyNumberFormat="1" applyFont="1" applyFill="1" applyBorder="1" applyAlignment="1">
      <alignment horizontal="right"/>
    </xf>
    <xf numFmtId="37" fontId="7" fillId="0" borderId="12" xfId="6" applyFont="1" applyBorder="1" applyProtection="1">
      <protection locked="0"/>
    </xf>
    <xf numFmtId="37" fontId="7" fillId="0" borderId="0" xfId="6" applyFont="1" applyProtection="1">
      <protection locked="0"/>
    </xf>
    <xf numFmtId="37" fontId="8" fillId="0" borderId="23" xfId="6" applyFont="1" applyBorder="1"/>
    <xf numFmtId="37" fontId="10" fillId="0" borderId="8" xfId="6" applyFont="1" applyBorder="1" applyProtection="1">
      <protection locked="0"/>
    </xf>
    <xf numFmtId="37" fontId="10" fillId="0" borderId="9" xfId="6" applyFont="1" applyBorder="1" applyProtection="1">
      <protection locked="0"/>
    </xf>
    <xf numFmtId="1" fontId="7" fillId="0" borderId="10" xfId="6" applyNumberFormat="1" applyFont="1" applyBorder="1" applyAlignment="1" applyProtection="1">
      <alignment horizontal="right"/>
      <protection locked="0"/>
    </xf>
    <xf numFmtId="37" fontId="8" fillId="0" borderId="10" xfId="6" applyFont="1" applyBorder="1"/>
    <xf numFmtId="9" fontId="8" fillId="0" borderId="7" xfId="5" applyFont="1" applyFill="1" applyBorder="1" applyAlignment="1">
      <alignment horizontal="center"/>
    </xf>
    <xf numFmtId="9" fontId="47" fillId="0" borderId="7" xfId="5" applyFont="1" applyFill="1" applyBorder="1" applyAlignment="1">
      <alignment horizontal="center"/>
    </xf>
    <xf numFmtId="9" fontId="8" fillId="0" borderId="7" xfId="5" applyFont="1" applyFill="1" applyBorder="1"/>
    <xf numFmtId="6" fontId="56" fillId="5" borderId="0" xfId="8" applyNumberFormat="1" applyFont="1" applyFill="1" applyAlignment="1">
      <alignment horizontal="center"/>
    </xf>
    <xf numFmtId="6" fontId="50" fillId="5" borderId="0" xfId="3" applyNumberFormat="1" applyFont="1" applyFill="1" applyBorder="1" applyAlignment="1">
      <alignment horizontal="center" vertical="center"/>
    </xf>
    <xf numFmtId="6" fontId="56" fillId="4" borderId="0" xfId="3" applyNumberFormat="1" applyFont="1" applyFill="1" applyBorder="1" applyAlignment="1">
      <alignment horizontal="center" vertical="center"/>
    </xf>
    <xf numFmtId="6" fontId="50" fillId="4" borderId="0" xfId="3" applyNumberFormat="1" applyFont="1" applyFill="1" applyBorder="1" applyAlignment="1">
      <alignment horizontal="center" vertical="center"/>
    </xf>
    <xf numFmtId="0" fontId="53" fillId="6" borderId="8" xfId="8" applyFont="1" applyFill="1" applyBorder="1"/>
    <xf numFmtId="0" fontId="54" fillId="6" borderId="9" xfId="8" applyFont="1" applyFill="1" applyBorder="1" applyAlignment="1">
      <alignment horizontal="center"/>
    </xf>
    <xf numFmtId="0" fontId="55" fillId="5" borderId="12" xfId="0" applyFont="1" applyFill="1" applyBorder="1" applyAlignment="1">
      <alignment vertical="center"/>
    </xf>
    <xf numFmtId="8" fontId="56" fillId="5" borderId="0" xfId="3" applyNumberFormat="1" applyFont="1" applyFill="1" applyBorder="1" applyAlignment="1">
      <alignment horizontal="center" vertical="center"/>
    </xf>
    <xf numFmtId="0" fontId="55" fillId="8" borderId="12" xfId="0" applyFont="1" applyFill="1" applyBorder="1" applyAlignment="1">
      <alignment vertical="center"/>
    </xf>
    <xf numFmtId="6" fontId="56" fillId="8" borderId="0" xfId="3" applyNumberFormat="1" applyFont="1" applyFill="1" applyBorder="1" applyAlignment="1">
      <alignment horizontal="center" vertical="center"/>
    </xf>
    <xf numFmtId="0" fontId="56" fillId="8" borderId="0" xfId="1" applyNumberFormat="1" applyFont="1" applyFill="1" applyBorder="1" applyAlignment="1">
      <alignment horizontal="center" vertical="center"/>
    </xf>
    <xf numFmtId="0" fontId="50" fillId="5" borderId="12" xfId="0" applyFont="1" applyFill="1" applyBorder="1" applyAlignment="1">
      <alignment vertical="center"/>
    </xf>
    <xf numFmtId="6" fontId="56" fillId="5" borderId="0" xfId="3" applyNumberFormat="1" applyFont="1" applyFill="1" applyBorder="1" applyAlignment="1">
      <alignment horizontal="center" vertical="center"/>
    </xf>
    <xf numFmtId="0" fontId="51" fillId="5" borderId="12" xfId="8" applyFont="1" applyFill="1" applyBorder="1"/>
    <xf numFmtId="8" fontId="58" fillId="4" borderId="5" xfId="3" applyNumberFormat="1" applyFont="1" applyFill="1" applyBorder="1" applyAlignment="1">
      <alignment horizontal="center" vertical="center"/>
    </xf>
    <xf numFmtId="9" fontId="51" fillId="4" borderId="5" xfId="3" applyNumberFormat="1" applyFont="1" applyFill="1" applyBorder="1" applyAlignment="1">
      <alignment horizontal="center" vertical="center"/>
    </xf>
    <xf numFmtId="0" fontId="51" fillId="0" borderId="0" xfId="0" applyFont="1" applyAlignment="1">
      <alignment vertical="center"/>
    </xf>
    <xf numFmtId="0" fontId="63" fillId="0" borderId="0" xfId="8" applyFont="1"/>
    <xf numFmtId="8" fontId="28" fillId="0" borderId="0" xfId="0" applyNumberFormat="1" applyFont="1"/>
    <xf numFmtId="5" fontId="9" fillId="0" borderId="0" xfId="8" applyNumberFormat="1"/>
    <xf numFmtId="182" fontId="65" fillId="0" borderId="0" xfId="8" applyNumberFormat="1" applyFont="1" applyAlignment="1">
      <alignment horizontal="center" vertical="center"/>
    </xf>
    <xf numFmtId="180" fontId="26" fillId="0" borderId="0" xfId="8" applyNumberFormat="1" applyFont="1" applyAlignment="1">
      <alignment horizontal="center"/>
    </xf>
    <xf numFmtId="183" fontId="66" fillId="12" borderId="11" xfId="0" applyNumberFormat="1" applyFont="1" applyFill="1" applyBorder="1" applyAlignment="1">
      <alignment vertical="center"/>
    </xf>
    <xf numFmtId="183" fontId="66" fillId="12" borderId="30" xfId="0" applyNumberFormat="1" applyFont="1" applyFill="1" applyBorder="1" applyAlignment="1">
      <alignment vertical="center"/>
    </xf>
    <xf numFmtId="181" fontId="66" fillId="12" borderId="0" xfId="0" applyNumberFormat="1" applyFont="1" applyFill="1" applyAlignment="1">
      <alignment horizontal="right" vertical="center"/>
    </xf>
    <xf numFmtId="181" fontId="66" fillId="12" borderId="23" xfId="0" applyNumberFormat="1" applyFont="1" applyFill="1" applyBorder="1" applyAlignment="1">
      <alignment horizontal="right" vertical="center"/>
    </xf>
    <xf numFmtId="9" fontId="61" fillId="10" borderId="0" xfId="13" applyNumberFormat="1"/>
    <xf numFmtId="9" fontId="60" fillId="9" borderId="0" xfId="12" applyNumberFormat="1"/>
    <xf numFmtId="0" fontId="9" fillId="0" borderId="0" xfId="8" applyAlignment="1">
      <alignment vertical="center"/>
    </xf>
    <xf numFmtId="0" fontId="67" fillId="0" borderId="0" xfId="8" applyFont="1" applyAlignment="1">
      <alignment vertical="center"/>
    </xf>
    <xf numFmtId="6" fontId="56" fillId="15" borderId="0" xfId="3" applyNumberFormat="1" applyFont="1" applyFill="1" applyBorder="1" applyAlignment="1">
      <alignment horizontal="center" vertical="center"/>
    </xf>
    <xf numFmtId="0" fontId="56" fillId="15" borderId="0" xfId="1" applyNumberFormat="1" applyFont="1" applyFill="1" applyBorder="1" applyAlignment="1">
      <alignment horizontal="center" vertical="center"/>
    </xf>
    <xf numFmtId="6" fontId="56" fillId="13" borderId="0" xfId="3" applyNumberFormat="1" applyFont="1" applyFill="1" applyBorder="1" applyAlignment="1">
      <alignment horizontal="center" vertical="center"/>
    </xf>
    <xf numFmtId="10" fontId="34" fillId="0" borderId="0" xfId="5" applyNumberFormat="1" applyFont="1" applyFill="1" applyBorder="1" applyProtection="1">
      <protection locked="0"/>
    </xf>
    <xf numFmtId="10" fontId="31" fillId="0" borderId="0" xfId="5" applyNumberFormat="1" applyFont="1" applyFill="1" applyBorder="1" applyProtection="1">
      <protection locked="0"/>
    </xf>
    <xf numFmtId="170" fontId="69" fillId="0" borderId="7" xfId="7" applyNumberFormat="1" applyFont="1" applyBorder="1"/>
    <xf numFmtId="0" fontId="5" fillId="0" borderId="0" xfId="0" applyFont="1"/>
    <xf numFmtId="10" fontId="28" fillId="0" borderId="0" xfId="5" applyNumberFormat="1" applyFont="1" applyFill="1" applyBorder="1" applyProtection="1">
      <protection locked="0"/>
    </xf>
    <xf numFmtId="37" fontId="5" fillId="5" borderId="25" xfId="7" quotePrefix="1" applyFont="1" applyFill="1" applyBorder="1" applyAlignment="1">
      <alignment horizontal="left"/>
    </xf>
    <xf numFmtId="37" fontId="5" fillId="0" borderId="11" xfId="7" applyFont="1" applyBorder="1" applyAlignment="1">
      <alignment horizontal="center"/>
    </xf>
    <xf numFmtId="37" fontId="5" fillId="5" borderId="12" xfId="7" quotePrefix="1" applyFont="1" applyFill="1" applyBorder="1" applyAlignment="1">
      <alignment horizontal="left"/>
    </xf>
    <xf numFmtId="37" fontId="16" fillId="5" borderId="12" xfId="7" applyFont="1" applyFill="1" applyBorder="1"/>
    <xf numFmtId="37" fontId="16" fillId="5" borderId="23" xfId="7" applyFont="1" applyFill="1" applyBorder="1"/>
    <xf numFmtId="37" fontId="5" fillId="0" borderId="12" xfId="7" quotePrefix="1" applyFont="1" applyBorder="1" applyAlignment="1">
      <alignment horizontal="left"/>
    </xf>
    <xf numFmtId="5" fontId="5" fillId="0" borderId="23" xfId="7" applyNumberFormat="1" applyFont="1" applyBorder="1"/>
    <xf numFmtId="37" fontId="9" fillId="0" borderId="12" xfId="6" applyFont="1" applyBorder="1" applyAlignment="1">
      <alignment horizontal="left"/>
    </xf>
    <xf numFmtId="37" fontId="9" fillId="0" borderId="12" xfId="7" quotePrefix="1" applyFont="1" applyBorder="1" applyAlignment="1">
      <alignment horizontal="left"/>
    </xf>
    <xf numFmtId="10" fontId="31" fillId="0" borderId="23" xfId="5" applyNumberFormat="1" applyFont="1" applyFill="1" applyBorder="1" applyProtection="1">
      <protection locked="0"/>
    </xf>
    <xf numFmtId="10" fontId="34" fillId="0" borderId="23" xfId="5" applyNumberFormat="1" applyFont="1" applyFill="1" applyBorder="1" applyProtection="1">
      <protection locked="0"/>
    </xf>
    <xf numFmtId="5" fontId="9" fillId="0" borderId="23" xfId="7" applyNumberFormat="1" applyFont="1" applyBorder="1"/>
    <xf numFmtId="37" fontId="5" fillId="0" borderId="12" xfId="6" applyFont="1" applyBorder="1" applyAlignment="1">
      <alignment horizontal="left"/>
    </xf>
    <xf numFmtId="170" fontId="9" fillId="0" borderId="23" xfId="7" applyNumberFormat="1" applyFont="1" applyBorder="1"/>
    <xf numFmtId="37" fontId="5" fillId="0" borderId="15" xfId="7" quotePrefix="1" applyFont="1" applyBorder="1" applyAlignment="1">
      <alignment horizontal="left"/>
    </xf>
    <xf numFmtId="5" fontId="39" fillId="0" borderId="23" xfId="7" applyNumberFormat="1" applyFont="1" applyBorder="1"/>
    <xf numFmtId="37" fontId="5" fillId="0" borderId="30" xfId="7" applyFont="1" applyBorder="1" applyAlignment="1">
      <alignment horizontal="center"/>
    </xf>
    <xf numFmtId="14" fontId="7" fillId="0" borderId="0" xfId="7" applyNumberFormat="1" applyFont="1" applyAlignment="1">
      <alignment horizontal="center"/>
    </xf>
    <xf numFmtId="37" fontId="16" fillId="5" borderId="0" xfId="7" applyFont="1" applyFill="1"/>
    <xf numFmtId="5" fontId="49" fillId="0" borderId="0" xfId="7" applyNumberFormat="1" applyFont="1"/>
    <xf numFmtId="170" fontId="9" fillId="0" borderId="0" xfId="7" applyNumberFormat="1" applyFont="1"/>
    <xf numFmtId="6" fontId="50" fillId="0" borderId="0" xfId="8" applyNumberFormat="1" applyFont="1"/>
    <xf numFmtId="0" fontId="50" fillId="0" borderId="8" xfId="8" applyFont="1" applyBorder="1"/>
    <xf numFmtId="0" fontId="50" fillId="0" borderId="9" xfId="8" applyFont="1" applyBorder="1"/>
    <xf numFmtId="0" fontId="50" fillId="0" borderId="15" xfId="8" applyFont="1" applyBorder="1"/>
    <xf numFmtId="5" fontId="69" fillId="0" borderId="7" xfId="7" applyNumberFormat="1" applyFont="1" applyBorder="1"/>
    <xf numFmtId="175" fontId="38" fillId="0" borderId="0" xfId="0" applyNumberFormat="1" applyFont="1" applyAlignment="1">
      <alignment horizontal="right" vertical="center"/>
    </xf>
    <xf numFmtId="167" fontId="50" fillId="0" borderId="0" xfId="8" applyNumberFormat="1" applyFont="1" applyAlignment="1">
      <alignment horizontal="center"/>
    </xf>
    <xf numFmtId="0" fontId="70" fillId="6" borderId="9" xfId="8" applyFont="1" applyFill="1" applyBorder="1" applyAlignment="1">
      <alignment horizontal="center"/>
    </xf>
    <xf numFmtId="175" fontId="36" fillId="0" borderId="0" xfId="1" applyNumberFormat="1" applyFont="1" applyBorder="1" applyAlignment="1">
      <alignment horizontal="center"/>
    </xf>
    <xf numFmtId="175" fontId="63" fillId="0" borderId="0" xfId="1" applyNumberFormat="1" applyFont="1" applyBorder="1" applyAlignment="1">
      <alignment horizontal="center"/>
    </xf>
    <xf numFmtId="0" fontId="8" fillId="0" borderId="0" xfId="0" applyFont="1"/>
    <xf numFmtId="0" fontId="50" fillId="16" borderId="12" xfId="0" applyFont="1" applyFill="1" applyBorder="1" applyAlignment="1">
      <alignment vertical="center"/>
    </xf>
    <xf numFmtId="175" fontId="36" fillId="16" borderId="0" xfId="1" applyNumberFormat="1" applyFont="1" applyFill="1" applyBorder="1" applyAlignment="1">
      <alignment horizontal="center"/>
    </xf>
    <xf numFmtId="6" fontId="63" fillId="16" borderId="0" xfId="3" applyNumberFormat="1" applyFont="1" applyFill="1" applyBorder="1" applyAlignment="1">
      <alignment horizontal="center" vertical="center"/>
    </xf>
    <xf numFmtId="175" fontId="36" fillId="16" borderId="5" xfId="1" applyNumberFormat="1" applyFont="1" applyFill="1" applyBorder="1" applyAlignment="1">
      <alignment horizontal="center"/>
    </xf>
    <xf numFmtId="6" fontId="36" fillId="16" borderId="5" xfId="1" applyNumberFormat="1" applyFont="1" applyFill="1" applyBorder="1" applyAlignment="1">
      <alignment horizontal="center"/>
    </xf>
    <xf numFmtId="0" fontId="51" fillId="4" borderId="8" xfId="0" applyFont="1" applyFill="1" applyBorder="1" applyAlignment="1">
      <alignment vertical="center"/>
    </xf>
    <xf numFmtId="0" fontId="50" fillId="5" borderId="12" xfId="8" applyFont="1" applyFill="1" applyBorder="1"/>
    <xf numFmtId="0" fontId="50" fillId="16" borderId="12" xfId="8" applyFont="1" applyFill="1" applyBorder="1"/>
    <xf numFmtId="6" fontId="50" fillId="0" borderId="5" xfId="8" applyNumberFormat="1" applyFont="1" applyBorder="1"/>
    <xf numFmtId="1" fontId="9" fillId="0" borderId="0" xfId="8" applyNumberFormat="1"/>
    <xf numFmtId="6" fontId="50" fillId="13" borderId="0" xfId="3" applyNumberFormat="1" applyFont="1" applyFill="1" applyBorder="1" applyAlignment="1">
      <alignment horizontal="center" vertical="center"/>
    </xf>
    <xf numFmtId="5" fontId="49" fillId="0" borderId="7" xfId="7" applyNumberFormat="1" applyFont="1" applyBorder="1"/>
    <xf numFmtId="5" fontId="28" fillId="0" borderId="0" xfId="7" applyNumberFormat="1" applyFont="1"/>
    <xf numFmtId="8" fontId="56" fillId="5" borderId="0" xfId="8" applyNumberFormat="1" applyFont="1" applyFill="1" applyAlignment="1">
      <alignment horizontal="center"/>
    </xf>
    <xf numFmtId="8" fontId="56" fillId="8" borderId="0" xfId="8" applyNumberFormat="1" applyFont="1" applyFill="1" applyAlignment="1">
      <alignment horizontal="center"/>
    </xf>
    <xf numFmtId="9" fontId="50" fillId="5" borderId="0" xfId="9" applyNumberFormat="1" applyFont="1" applyFill="1" applyAlignment="1">
      <alignment horizontal="center"/>
    </xf>
    <xf numFmtId="9" fontId="51" fillId="5" borderId="0" xfId="9" applyNumberFormat="1" applyFont="1" applyFill="1" applyAlignment="1">
      <alignment horizontal="center"/>
    </xf>
    <xf numFmtId="6" fontId="56" fillId="0" borderId="0" xfId="8" applyNumberFormat="1" applyFont="1"/>
    <xf numFmtId="0" fontId="71" fillId="0" borderId="0" xfId="14"/>
    <xf numFmtId="6" fontId="50" fillId="0" borderId="9" xfId="8" applyNumberFormat="1" applyFont="1" applyBorder="1"/>
    <xf numFmtId="0" fontId="54" fillId="3" borderId="8" xfId="8" applyFont="1" applyFill="1" applyBorder="1"/>
    <xf numFmtId="0" fontId="54" fillId="3" borderId="9" xfId="8" applyFont="1" applyFill="1" applyBorder="1"/>
    <xf numFmtId="175" fontId="36" fillId="0" borderId="0" xfId="1" applyNumberFormat="1" applyFont="1" applyBorder="1" applyAlignment="1">
      <alignment horizontal="left"/>
    </xf>
    <xf numFmtId="0" fontId="51" fillId="7" borderId="12" xfId="8" applyFont="1" applyFill="1" applyBorder="1"/>
    <xf numFmtId="0" fontId="50" fillId="5" borderId="15" xfId="8" applyFont="1" applyFill="1" applyBorder="1"/>
    <xf numFmtId="1" fontId="50" fillId="5" borderId="5" xfId="8" applyNumberFormat="1" applyFont="1" applyFill="1" applyBorder="1"/>
    <xf numFmtId="5" fontId="49" fillId="0" borderId="23" xfId="7" applyNumberFormat="1" applyFont="1" applyBorder="1"/>
    <xf numFmtId="10" fontId="28" fillId="0" borderId="23" xfId="5" applyNumberFormat="1" applyFont="1" applyFill="1" applyBorder="1" applyProtection="1">
      <protection locked="0"/>
    </xf>
    <xf numFmtId="0" fontId="23" fillId="0" borderId="0" xfId="8" applyFont="1" applyAlignment="1">
      <alignment horizontal="center" vertical="center"/>
    </xf>
    <xf numFmtId="0" fontId="70" fillId="6" borderId="8" xfId="8" applyFont="1" applyFill="1" applyBorder="1" applyAlignment="1">
      <alignment horizontal="left"/>
    </xf>
    <xf numFmtId="6" fontId="49" fillId="0" borderId="0" xfId="0" applyNumberFormat="1" applyFont="1" applyAlignment="1">
      <alignment horizontal="right" vertical="center"/>
    </xf>
    <xf numFmtId="5" fontId="39" fillId="0" borderId="0" xfId="0" applyNumberFormat="1" applyFont="1" applyAlignment="1">
      <alignment horizontal="right" vertical="center"/>
    </xf>
    <xf numFmtId="0" fontId="65" fillId="17" borderId="0" xfId="0" applyFont="1" applyFill="1" applyAlignment="1">
      <alignment horizontal="left" vertical="center"/>
    </xf>
    <xf numFmtId="0" fontId="34" fillId="18" borderId="17" xfId="0" applyFont="1" applyFill="1" applyBorder="1" applyAlignment="1">
      <alignment horizontal="left" vertical="center"/>
    </xf>
    <xf numFmtId="0" fontId="31" fillId="18" borderId="17" xfId="0" applyFont="1" applyFill="1" applyBorder="1" applyAlignment="1">
      <alignment horizontal="left" vertical="center"/>
    </xf>
    <xf numFmtId="14" fontId="34" fillId="18" borderId="17" xfId="0" applyNumberFormat="1" applyFont="1" applyFill="1" applyBorder="1" applyAlignment="1">
      <alignment horizontal="right" vertical="center"/>
    </xf>
    <xf numFmtId="0" fontId="31" fillId="0" borderId="0" xfId="0" applyFont="1" applyAlignment="1">
      <alignment horizontal="left" vertical="center"/>
    </xf>
    <xf numFmtId="0" fontId="31" fillId="0" borderId="0" xfId="0" applyFont="1" applyAlignment="1">
      <alignment horizontal="right" vertical="center"/>
    </xf>
    <xf numFmtId="0" fontId="34" fillId="0" borderId="0" xfId="0" applyFont="1" applyAlignment="1">
      <alignment horizontal="left" vertical="center"/>
    </xf>
    <xf numFmtId="0" fontId="34" fillId="0" borderId="0" xfId="0" applyFont="1" applyAlignment="1">
      <alignment horizontal="right" vertical="center"/>
    </xf>
    <xf numFmtId="0" fontId="31" fillId="13" borderId="34" xfId="0" applyFont="1" applyFill="1" applyBorder="1" applyAlignment="1">
      <alignment horizontal="left" vertical="center"/>
    </xf>
    <xf numFmtId="0" fontId="31" fillId="13" borderId="34" xfId="0" applyFont="1" applyFill="1" applyBorder="1" applyAlignment="1">
      <alignment horizontal="right" vertical="center"/>
    </xf>
    <xf numFmtId="6" fontId="31" fillId="13" borderId="34" xfId="0" applyNumberFormat="1" applyFont="1" applyFill="1" applyBorder="1" applyAlignment="1">
      <alignment horizontal="right" vertical="center"/>
    </xf>
    <xf numFmtId="0" fontId="31" fillId="0" borderId="5" xfId="0" applyFont="1" applyBorder="1" applyAlignment="1">
      <alignment horizontal="left" vertical="center"/>
    </xf>
    <xf numFmtId="0" fontId="31" fillId="0" borderId="5" xfId="0" applyFont="1" applyBorder="1" applyAlignment="1">
      <alignment horizontal="right" vertical="center"/>
    </xf>
    <xf numFmtId="10" fontId="31" fillId="0" borderId="5" xfId="0" applyNumberFormat="1" applyFont="1" applyBorder="1" applyAlignment="1">
      <alignment horizontal="right" vertical="center"/>
    </xf>
    <xf numFmtId="10" fontId="39" fillId="0" borderId="0" xfId="0" applyNumberFormat="1" applyFont="1" applyAlignment="1">
      <alignment horizontal="right" vertical="center"/>
    </xf>
    <xf numFmtId="167" fontId="5" fillId="0" borderId="7" xfId="7" applyNumberFormat="1" applyFont="1" applyBorder="1"/>
    <xf numFmtId="0" fontId="0" fillId="0" borderId="16" xfId="0" applyBorder="1"/>
    <xf numFmtId="0" fontId="0" fillId="0" borderId="33" xfId="0" applyBorder="1"/>
    <xf numFmtId="0" fontId="0" fillId="0" borderId="23" xfId="0" applyBorder="1"/>
    <xf numFmtId="0" fontId="0" fillId="0" borderId="6" xfId="0" applyBorder="1"/>
    <xf numFmtId="0" fontId="0" fillId="0" borderId="24" xfId="0" applyBorder="1"/>
    <xf numFmtId="0" fontId="0" fillId="0" borderId="24" xfId="0" applyBorder="1" applyAlignment="1">
      <alignment horizontal="left" vertical="top" wrapText="1"/>
    </xf>
    <xf numFmtId="0" fontId="9" fillId="0" borderId="30" xfId="0" applyFont="1" applyBorder="1"/>
    <xf numFmtId="0" fontId="0" fillId="0" borderId="16" xfId="0" applyBorder="1" applyAlignment="1">
      <alignment vertical="top"/>
    </xf>
    <xf numFmtId="0" fontId="9" fillId="0" borderId="16" xfId="0" applyFont="1" applyBorder="1"/>
    <xf numFmtId="0" fontId="9" fillId="0" borderId="30" xfId="0" applyFont="1" applyBorder="1" applyAlignment="1">
      <alignment vertical="center"/>
    </xf>
    <xf numFmtId="0" fontId="9" fillId="0" borderId="33" xfId="0" applyFont="1" applyBorder="1"/>
    <xf numFmtId="167" fontId="50" fillId="0" borderId="0" xfId="8" applyNumberFormat="1" applyFont="1"/>
    <xf numFmtId="167" fontId="50" fillId="0" borderId="9" xfId="8" applyNumberFormat="1" applyFont="1" applyBorder="1"/>
    <xf numFmtId="0" fontId="9" fillId="0" borderId="30" xfId="0" applyFont="1" applyBorder="1" applyAlignment="1">
      <alignment horizontal="left" vertical="top" wrapText="1"/>
    </xf>
    <xf numFmtId="0" fontId="53" fillId="6" borderId="8" xfId="8" applyFont="1" applyFill="1" applyBorder="1" applyAlignment="1">
      <alignment vertical="center"/>
    </xf>
    <xf numFmtId="0" fontId="54" fillId="6" borderId="9" xfId="8" applyFont="1" applyFill="1" applyBorder="1" applyAlignment="1">
      <alignment horizontal="center" vertical="center"/>
    </xf>
    <xf numFmtId="0" fontId="54" fillId="6" borderId="10" xfId="8" applyFont="1" applyFill="1" applyBorder="1" applyAlignment="1">
      <alignment horizontal="center" vertical="center"/>
    </xf>
    <xf numFmtId="0" fontId="50" fillId="5" borderId="12" xfId="0" applyFont="1" applyFill="1" applyBorder="1"/>
    <xf numFmtId="187" fontId="56" fillId="5" borderId="0" xfId="8" applyNumberFormat="1" applyFont="1" applyFill="1" applyAlignment="1">
      <alignment horizontal="center"/>
    </xf>
    <xf numFmtId="167" fontId="50" fillId="5" borderId="23" xfId="8" applyNumberFormat="1" applyFont="1" applyFill="1" applyBorder="1" applyAlignment="1">
      <alignment horizontal="center"/>
    </xf>
    <xf numFmtId="0" fontId="55" fillId="5" borderId="12" xfId="0" applyFont="1" applyFill="1" applyBorder="1"/>
    <xf numFmtId="37" fontId="56" fillId="5" borderId="0" xfId="8" applyNumberFormat="1" applyFont="1" applyFill="1" applyAlignment="1">
      <alignment horizontal="center"/>
    </xf>
    <xf numFmtId="0" fontId="55" fillId="4" borderId="12" xfId="0" applyFont="1" applyFill="1" applyBorder="1"/>
    <xf numFmtId="187" fontId="56" fillId="4" borderId="0" xfId="8" applyNumberFormat="1" applyFont="1" applyFill="1" applyAlignment="1">
      <alignment horizontal="center"/>
    </xf>
    <xf numFmtId="37" fontId="56" fillId="4" borderId="0" xfId="8" applyNumberFormat="1" applyFont="1" applyFill="1" applyAlignment="1">
      <alignment horizontal="center"/>
    </xf>
    <xf numFmtId="167" fontId="50" fillId="4" borderId="23" xfId="8" applyNumberFormat="1" applyFont="1" applyFill="1" applyBorder="1" applyAlignment="1">
      <alignment horizontal="center"/>
    </xf>
    <xf numFmtId="0" fontId="55" fillId="8" borderId="12" xfId="0" applyFont="1" applyFill="1" applyBorder="1"/>
    <xf numFmtId="187" fontId="56" fillId="8" borderId="0" xfId="8" applyNumberFormat="1" applyFont="1" applyFill="1" applyAlignment="1">
      <alignment horizontal="center"/>
    </xf>
    <xf numFmtId="37" fontId="56" fillId="8" borderId="0" xfId="8" applyNumberFormat="1" applyFont="1" applyFill="1" applyAlignment="1">
      <alignment horizontal="center"/>
    </xf>
    <xf numFmtId="167" fontId="50" fillId="8" borderId="23" xfId="8" applyNumberFormat="1" applyFont="1" applyFill="1" applyBorder="1" applyAlignment="1">
      <alignment horizontal="center"/>
    </xf>
    <xf numFmtId="0" fontId="74" fillId="16" borderId="12" xfId="0" applyFont="1" applyFill="1" applyBorder="1"/>
    <xf numFmtId="0" fontId="63" fillId="16" borderId="0" xfId="0" applyFont="1" applyFill="1"/>
    <xf numFmtId="0" fontId="63" fillId="16" borderId="23" xfId="0" applyFont="1" applyFill="1" applyBorder="1"/>
    <xf numFmtId="0" fontId="36" fillId="16" borderId="12" xfId="0" applyFont="1" applyFill="1" applyBorder="1"/>
    <xf numFmtId="37" fontId="50" fillId="4" borderId="0" xfId="8" applyNumberFormat="1" applyFont="1" applyFill="1" applyAlignment="1">
      <alignment horizontal="center"/>
    </xf>
    <xf numFmtId="6" fontId="9" fillId="0" borderId="0" xfId="0" applyNumberFormat="1" applyFont="1" applyAlignment="1">
      <alignment horizontal="right" vertical="center"/>
    </xf>
    <xf numFmtId="0" fontId="9" fillId="0" borderId="23" xfId="0" applyFont="1" applyBorder="1"/>
    <xf numFmtId="0" fontId="14" fillId="0" borderId="33" xfId="0" applyFont="1" applyBorder="1" applyAlignment="1">
      <alignment horizontal="left" vertical="center" wrapText="1"/>
    </xf>
    <xf numFmtId="0" fontId="9" fillId="0" borderId="23" xfId="0" applyFont="1" applyBorder="1" applyAlignment="1">
      <alignment horizontal="left" vertical="top" wrapText="1"/>
    </xf>
    <xf numFmtId="0" fontId="9" fillId="0" borderId="12" xfId="0" applyFont="1" applyBorder="1"/>
    <xf numFmtId="0" fontId="9" fillId="0" borderId="16" xfId="0" applyFont="1" applyBorder="1" applyAlignment="1">
      <alignment horizontal="left" wrapText="1"/>
    </xf>
    <xf numFmtId="0" fontId="9" fillId="0" borderId="33" xfId="0" applyFont="1" applyBorder="1" applyAlignment="1">
      <alignment horizontal="left" wrapText="1"/>
    </xf>
    <xf numFmtId="0" fontId="0" fillId="19" borderId="0" xfId="0" applyFill="1"/>
    <xf numFmtId="9" fontId="28" fillId="0" borderId="0" xfId="7" applyNumberFormat="1" applyFont="1"/>
    <xf numFmtId="170" fontId="5" fillId="0" borderId="23" xfId="7" applyNumberFormat="1" applyFont="1" applyBorder="1"/>
    <xf numFmtId="167" fontId="5" fillId="0" borderId="5" xfId="7" applyNumberFormat="1" applyFont="1" applyBorder="1"/>
    <xf numFmtId="0" fontId="56" fillId="8" borderId="0" xfId="8" applyFont="1" applyFill="1"/>
    <xf numFmtId="0" fontId="37" fillId="0" borderId="0" xfId="0" applyFont="1" applyAlignment="1" applyProtection="1">
      <alignment horizontal="center" vertical="center"/>
      <protection locked="0"/>
    </xf>
    <xf numFmtId="179" fontId="37" fillId="0" borderId="0" xfId="0" applyNumberFormat="1" applyFont="1" applyAlignment="1" applyProtection="1">
      <alignment horizontal="center" vertical="center"/>
      <protection locked="0"/>
    </xf>
    <xf numFmtId="186" fontId="37" fillId="0" borderId="0" xfId="0" applyNumberFormat="1" applyFont="1" applyAlignment="1" applyProtection="1">
      <alignment horizontal="center" vertical="center"/>
      <protection locked="0"/>
    </xf>
    <xf numFmtId="14" fontId="50" fillId="0" borderId="0" xfId="0" applyNumberFormat="1" applyFont="1" applyAlignment="1" applyProtection="1">
      <alignment horizontal="center" vertical="center" wrapText="1"/>
      <protection locked="0"/>
    </xf>
    <xf numFmtId="179" fontId="50" fillId="0" borderId="0" xfId="0" applyNumberFormat="1" applyFont="1" applyAlignment="1" applyProtection="1">
      <alignment horizontal="center" vertical="center" wrapText="1"/>
      <protection locked="0"/>
    </xf>
    <xf numFmtId="179" fontId="50" fillId="0" borderId="0" xfId="0" applyNumberFormat="1" applyFont="1" applyAlignment="1">
      <alignment horizontal="center"/>
    </xf>
    <xf numFmtId="14" fontId="51" fillId="0" borderId="0" xfId="0" applyNumberFormat="1" applyFont="1" applyAlignment="1" applyProtection="1">
      <alignment horizontal="center" vertical="center" wrapText="1"/>
      <protection locked="0"/>
    </xf>
    <xf numFmtId="179" fontId="51" fillId="0" borderId="0" xfId="0" applyNumberFormat="1" applyFont="1" applyAlignment="1" applyProtection="1">
      <alignment horizontal="center" vertical="center" wrapText="1"/>
      <protection locked="0"/>
    </xf>
    <xf numFmtId="179" fontId="51" fillId="0" borderId="0" xfId="0" applyNumberFormat="1" applyFont="1" applyAlignment="1">
      <alignment horizontal="center"/>
    </xf>
    <xf numFmtId="14" fontId="22" fillId="0" borderId="0" xfId="0" applyNumberFormat="1" applyFont="1" applyAlignment="1" applyProtection="1">
      <alignment horizontal="center" vertical="center" wrapText="1"/>
      <protection locked="0"/>
    </xf>
    <xf numFmtId="179" fontId="22" fillId="0" borderId="0" xfId="0" applyNumberFormat="1" applyFont="1" applyAlignment="1">
      <alignment horizontal="center"/>
    </xf>
    <xf numFmtId="0" fontId="26" fillId="11" borderId="25" xfId="0" applyFont="1" applyFill="1" applyBorder="1"/>
    <xf numFmtId="37" fontId="26" fillId="11" borderId="11" xfId="0" applyNumberFormat="1" applyFont="1" applyFill="1" applyBorder="1" applyAlignment="1">
      <alignment horizontal="right"/>
    </xf>
    <xf numFmtId="0" fontId="26" fillId="11" borderId="11" xfId="0" applyFont="1" applyFill="1" applyBorder="1" applyAlignment="1">
      <alignment horizontal="right"/>
    </xf>
    <xf numFmtId="0" fontId="27" fillId="11" borderId="11" xfId="0" applyFont="1" applyFill="1" applyBorder="1"/>
    <xf numFmtId="0" fontId="27" fillId="11" borderId="15" xfId="0" applyFont="1" applyFill="1" applyBorder="1"/>
    <xf numFmtId="181" fontId="26" fillId="11" borderId="5" xfId="0" applyNumberFormat="1" applyFont="1" applyFill="1" applyBorder="1" applyAlignment="1">
      <alignment horizontal="right"/>
    </xf>
    <xf numFmtId="181" fontId="26" fillId="11" borderId="5" xfId="0" applyNumberFormat="1" applyFont="1" applyFill="1" applyBorder="1"/>
    <xf numFmtId="0" fontId="27" fillId="11" borderId="5" xfId="0" applyFont="1" applyFill="1" applyBorder="1"/>
    <xf numFmtId="0" fontId="0" fillId="5" borderId="0" xfId="0" applyFill="1"/>
    <xf numFmtId="0" fontId="0" fillId="22" borderId="0" xfId="0" applyFill="1"/>
    <xf numFmtId="9" fontId="39" fillId="0" borderId="7" xfId="0" applyNumberFormat="1" applyFont="1" applyBorder="1"/>
    <xf numFmtId="9" fontId="0" fillId="0" borderId="7" xfId="0" applyNumberFormat="1" applyBorder="1"/>
    <xf numFmtId="0" fontId="9" fillId="22" borderId="0" xfId="0" applyFont="1" applyFill="1"/>
    <xf numFmtId="0" fontId="9" fillId="5" borderId="0" xfId="0" applyFont="1" applyFill="1" applyAlignment="1">
      <alignment horizontal="center"/>
    </xf>
    <xf numFmtId="37" fontId="5" fillId="5" borderId="0" xfId="7" applyFont="1" applyFill="1"/>
    <xf numFmtId="0" fontId="27" fillId="5" borderId="0" xfId="0" applyFont="1" applyFill="1"/>
    <xf numFmtId="0" fontId="26" fillId="22" borderId="0" xfId="0" applyFont="1" applyFill="1" applyAlignment="1">
      <alignment horizontal="right"/>
    </xf>
    <xf numFmtId="0" fontId="26" fillId="5" borderId="0" xfId="0" applyFont="1" applyFill="1" applyAlignment="1">
      <alignment horizontal="right"/>
    </xf>
    <xf numFmtId="0" fontId="26" fillId="0" borderId="0" xfId="0" applyFont="1" applyAlignment="1">
      <alignment horizontal="right"/>
    </xf>
    <xf numFmtId="6" fontId="5" fillId="5" borderId="0" xfId="0" applyNumberFormat="1" applyFont="1" applyFill="1"/>
    <xf numFmtId="0" fontId="5" fillId="5" borderId="0" xfId="0" applyFont="1" applyFill="1"/>
    <xf numFmtId="37" fontId="5" fillId="22" borderId="0" xfId="0" applyNumberFormat="1" applyFont="1" applyFill="1"/>
    <xf numFmtId="9" fontId="5" fillId="5" borderId="0" xfId="5" applyFont="1" applyFill="1" applyBorder="1"/>
    <xf numFmtId="5" fontId="5" fillId="5" borderId="0" xfId="0" applyNumberFormat="1" applyFont="1" applyFill="1"/>
    <xf numFmtId="6" fontId="5" fillId="0" borderId="0" xfId="0" applyNumberFormat="1" applyFont="1"/>
    <xf numFmtId="37" fontId="0" fillId="22" borderId="0" xfId="0" applyNumberFormat="1" applyFill="1"/>
    <xf numFmtId="9" fontId="0" fillId="5" borderId="0" xfId="5" applyFont="1" applyFill="1" applyBorder="1"/>
    <xf numFmtId="5" fontId="0" fillId="5" borderId="0" xfId="0" applyNumberFormat="1" applyFill="1"/>
    <xf numFmtId="6" fontId="0" fillId="0" borderId="0" xfId="0" applyNumberFormat="1"/>
    <xf numFmtId="14" fontId="5" fillId="0" borderId="7" xfId="7" quotePrefix="1" applyNumberFormat="1" applyFont="1" applyBorder="1" applyAlignment="1">
      <alignment horizontal="center"/>
    </xf>
    <xf numFmtId="5" fontId="9" fillId="0" borderId="7" xfId="0" applyNumberFormat="1" applyFont="1" applyBorder="1"/>
    <xf numFmtId="5" fontId="39" fillId="0" borderId="7" xfId="0" applyNumberFormat="1" applyFont="1" applyBorder="1" applyAlignment="1">
      <alignment vertical="center"/>
    </xf>
    <xf numFmtId="37" fontId="62" fillId="0" borderId="0" xfId="13" applyNumberFormat="1" applyFont="1" applyFill="1" applyBorder="1"/>
    <xf numFmtId="9" fontId="0" fillId="5" borderId="0" xfId="0" applyNumberFormat="1" applyFill="1"/>
    <xf numFmtId="5" fontId="9" fillId="2" borderId="9" xfId="6" quotePrefix="1" applyNumberFormat="1" applyFont="1" applyFill="1" applyBorder="1" applyAlignment="1">
      <alignment horizontal="right" vertical="center"/>
    </xf>
    <xf numFmtId="5" fontId="60" fillId="9" borderId="0" xfId="12" applyNumberFormat="1"/>
    <xf numFmtId="5" fontId="61" fillId="10" borderId="0" xfId="13" applyNumberFormat="1"/>
    <xf numFmtId="5" fontId="77" fillId="21" borderId="0" xfId="15" applyNumberFormat="1"/>
    <xf numFmtId="9" fontId="77" fillId="21" borderId="0" xfId="15" applyNumberFormat="1"/>
    <xf numFmtId="37" fontId="78" fillId="0" borderId="0" xfId="13" applyNumberFormat="1" applyFont="1" applyFill="1" applyBorder="1"/>
    <xf numFmtId="5" fontId="9" fillId="5" borderId="0" xfId="7" applyNumberFormat="1" applyFont="1" applyFill="1"/>
    <xf numFmtId="5" fontId="9" fillId="5" borderId="0" xfId="0" applyNumberFormat="1" applyFont="1" applyFill="1"/>
    <xf numFmtId="5" fontId="39" fillId="5" borderId="0" xfId="0" applyNumberFormat="1" applyFont="1" applyFill="1" applyAlignment="1">
      <alignment vertical="center"/>
    </xf>
    <xf numFmtId="6" fontId="64" fillId="0" borderId="0" xfId="12" applyNumberFormat="1" applyFont="1" applyFill="1" applyBorder="1"/>
    <xf numFmtId="5" fontId="5" fillId="0" borderId="7" xfId="0" applyNumberFormat="1" applyFont="1" applyBorder="1"/>
    <xf numFmtId="5" fontId="72" fillId="10" borderId="0" xfId="13" applyNumberFormat="1" applyFont="1"/>
    <xf numFmtId="9" fontId="72" fillId="10" borderId="0" xfId="13" applyNumberFormat="1" applyFont="1"/>
    <xf numFmtId="5" fontId="69" fillId="0" borderId="7" xfId="0" applyNumberFormat="1" applyFont="1" applyBorder="1" applyAlignment="1">
      <alignment vertical="center"/>
    </xf>
    <xf numFmtId="7" fontId="7" fillId="5" borderId="0" xfId="7" applyNumberFormat="1" applyFont="1" applyFill="1"/>
    <xf numFmtId="5" fontId="28" fillId="5" borderId="0" xfId="0" applyNumberFormat="1" applyFont="1" applyFill="1"/>
    <xf numFmtId="7" fontId="11" fillId="5" borderId="0" xfId="7" applyNumberFormat="1" applyFont="1" applyFill="1"/>
    <xf numFmtId="37" fontId="9" fillId="5" borderId="0" xfId="7" applyFont="1" applyFill="1"/>
    <xf numFmtId="5" fontId="69" fillId="5" borderId="0" xfId="0" applyNumberFormat="1" applyFont="1" applyFill="1" applyAlignment="1">
      <alignment vertical="center"/>
    </xf>
    <xf numFmtId="5" fontId="39" fillId="0" borderId="7" xfId="5" applyNumberFormat="1" applyFont="1" applyFill="1" applyBorder="1" applyAlignment="1">
      <alignment vertical="center"/>
    </xf>
    <xf numFmtId="5" fontId="9" fillId="0" borderId="7" xfId="0" applyNumberFormat="1" applyFont="1" applyBorder="1" applyAlignment="1">
      <alignment vertical="top"/>
    </xf>
    <xf numFmtId="184" fontId="0" fillId="0" borderId="0" xfId="0" applyNumberFormat="1"/>
    <xf numFmtId="5" fontId="5" fillId="0" borderId="7" xfId="0" applyNumberFormat="1" applyFont="1" applyBorder="1" applyAlignment="1">
      <alignment vertical="top"/>
    </xf>
    <xf numFmtId="5" fontId="73" fillId="9" borderId="0" xfId="12" applyNumberFormat="1" applyFont="1"/>
    <xf numFmtId="9" fontId="73" fillId="9" borderId="0" xfId="12" applyNumberFormat="1" applyFont="1"/>
    <xf numFmtId="5" fontId="79" fillId="21" borderId="0" xfId="15" applyNumberFormat="1" applyFont="1"/>
    <xf numFmtId="9" fontId="79" fillId="21" borderId="0" xfId="15" applyNumberFormat="1" applyFont="1"/>
    <xf numFmtId="7" fontId="9" fillId="5" borderId="0" xfId="7" applyNumberFormat="1" applyFont="1" applyFill="1"/>
    <xf numFmtId="5" fontId="5" fillId="5" borderId="0" xfId="0" applyNumberFormat="1" applyFont="1" applyFill="1" applyAlignment="1">
      <alignment vertical="top"/>
    </xf>
    <xf numFmtId="9" fontId="69" fillId="0" borderId="7" xfId="7" applyNumberFormat="1" applyFont="1" applyBorder="1"/>
    <xf numFmtId="9" fontId="5" fillId="0" borderId="7" xfId="0" applyNumberFormat="1" applyFont="1" applyBorder="1" applyAlignment="1">
      <alignment vertical="top"/>
    </xf>
    <xf numFmtId="9" fontId="69" fillId="0" borderId="7" xfId="0" applyNumberFormat="1" applyFont="1" applyBorder="1" applyAlignment="1">
      <alignment vertical="center"/>
    </xf>
    <xf numFmtId="9" fontId="5" fillId="5" borderId="0" xfId="7" applyNumberFormat="1" applyFont="1" applyFill="1"/>
    <xf numFmtId="5" fontId="39" fillId="0" borderId="16" xfId="0" applyNumberFormat="1" applyFont="1" applyBorder="1" applyAlignment="1">
      <alignment vertical="center"/>
    </xf>
    <xf numFmtId="5" fontId="39" fillId="2" borderId="9" xfId="6" quotePrefix="1" applyNumberFormat="1" applyFont="1" applyFill="1" applyBorder="1" applyAlignment="1">
      <alignment horizontal="right" vertical="center"/>
    </xf>
    <xf numFmtId="5" fontId="9" fillId="2" borderId="0" xfId="6" quotePrefix="1" applyNumberFormat="1" applyFont="1" applyFill="1" applyAlignment="1">
      <alignment horizontal="right" vertical="center"/>
    </xf>
    <xf numFmtId="5" fontId="69" fillId="0" borderId="6" xfId="0" applyNumberFormat="1" applyFont="1" applyBorder="1" applyAlignment="1">
      <alignment vertical="center"/>
    </xf>
    <xf numFmtId="5" fontId="5" fillId="5" borderId="9" xfId="7" applyNumberFormat="1" applyFont="1" applyFill="1" applyBorder="1"/>
    <xf numFmtId="10" fontId="69" fillId="0" borderId="0" xfId="7" applyNumberFormat="1" applyFont="1"/>
    <xf numFmtId="5" fontId="10" fillId="0" borderId="0" xfId="0" applyNumberFormat="1" applyFont="1"/>
    <xf numFmtId="37" fontId="9" fillId="0" borderId="7" xfId="2" applyNumberFormat="1" applyFont="1" applyFill="1" applyBorder="1" applyProtection="1">
      <protection locked="0"/>
    </xf>
    <xf numFmtId="37" fontId="39" fillId="0" borderId="7" xfId="7" applyFont="1" applyBorder="1"/>
    <xf numFmtId="37" fontId="9" fillId="2" borderId="7" xfId="7" applyFont="1" applyFill="1" applyBorder="1"/>
    <xf numFmtId="37" fontId="31" fillId="2" borderId="7" xfId="7" applyFont="1" applyFill="1" applyBorder="1"/>
    <xf numFmtId="37" fontId="7" fillId="0" borderId="10" xfId="6" applyFont="1" applyBorder="1" applyAlignment="1">
      <alignment horizontal="left"/>
    </xf>
    <xf numFmtId="164" fontId="8" fillId="0" borderId="7" xfId="6" applyNumberFormat="1" applyFont="1" applyBorder="1" applyAlignment="1">
      <alignment horizontal="left"/>
    </xf>
    <xf numFmtId="165" fontId="7" fillId="0" borderId="7" xfId="3" applyNumberFormat="1" applyFont="1" applyFill="1" applyBorder="1" applyAlignment="1">
      <alignment horizontal="left"/>
    </xf>
    <xf numFmtId="7" fontId="69" fillId="0" borderId="9" xfId="7" applyNumberFormat="1" applyFont="1" applyBorder="1"/>
    <xf numFmtId="2" fontId="69" fillId="0" borderId="0" xfId="7" applyNumberFormat="1" applyFont="1"/>
    <xf numFmtId="167" fontId="69" fillId="0" borderId="8" xfId="5" applyNumberFormat="1" applyFont="1" applyFill="1" applyBorder="1"/>
    <xf numFmtId="5" fontId="69" fillId="0" borderId="0" xfId="7" applyNumberFormat="1" applyFont="1"/>
    <xf numFmtId="188" fontId="69" fillId="0" borderId="7" xfId="7" applyNumberFormat="1" applyFont="1" applyBorder="1"/>
    <xf numFmtId="188" fontId="69" fillId="0" borderId="0" xfId="7" applyNumberFormat="1" applyFont="1"/>
    <xf numFmtId="167" fontId="5" fillId="0" borderId="7" xfId="5" applyNumberFormat="1" applyFont="1" applyFill="1" applyBorder="1"/>
    <xf numFmtId="0" fontId="26" fillId="11" borderId="25" xfId="0" applyFont="1" applyFill="1" applyBorder="1" applyAlignment="1">
      <alignment vertical="center"/>
    </xf>
    <xf numFmtId="0" fontId="26" fillId="11" borderId="12" xfId="0" applyFont="1" applyFill="1" applyBorder="1" applyAlignment="1">
      <alignment vertical="center"/>
    </xf>
    <xf numFmtId="181" fontId="66" fillId="12" borderId="5" xfId="0" applyNumberFormat="1" applyFont="1" applyFill="1" applyBorder="1" applyAlignment="1">
      <alignment horizontal="right" vertical="center"/>
    </xf>
    <xf numFmtId="5" fontId="39" fillId="0" borderId="7" xfId="0" applyNumberFormat="1" applyFont="1" applyBorder="1"/>
    <xf numFmtId="184" fontId="0" fillId="0" borderId="7" xfId="0" applyNumberFormat="1" applyBorder="1"/>
    <xf numFmtId="188" fontId="5" fillId="0" borderId="7" xfId="7" applyNumberFormat="1" applyFont="1" applyBorder="1"/>
    <xf numFmtId="188" fontId="5" fillId="0" borderId="0" xfId="7" applyNumberFormat="1" applyFont="1"/>
    <xf numFmtId="167" fontId="69" fillId="0" borderId="7" xfId="5" applyNumberFormat="1" applyFont="1" applyFill="1" applyBorder="1"/>
    <xf numFmtId="5" fontId="0" fillId="22" borderId="0" xfId="0" applyNumberFormat="1" applyFill="1"/>
    <xf numFmtId="0" fontId="75" fillId="0" borderId="25" xfId="0" applyFont="1" applyBorder="1"/>
    <xf numFmtId="0" fontId="0" fillId="0" borderId="11" xfId="0" applyBorder="1"/>
    <xf numFmtId="0" fontId="0" fillId="0" borderId="30" xfId="0" applyBorder="1"/>
    <xf numFmtId="0" fontId="0" fillId="0" borderId="12" xfId="0" applyBorder="1"/>
    <xf numFmtId="185" fontId="54" fillId="6" borderId="9" xfId="8" applyNumberFormat="1" applyFont="1" applyFill="1" applyBorder="1" applyAlignment="1">
      <alignment horizontal="center" vertical="center"/>
    </xf>
    <xf numFmtId="9" fontId="50" fillId="8" borderId="0" xfId="8" applyNumberFormat="1" applyFont="1" applyFill="1" applyAlignment="1">
      <alignment horizontal="center"/>
    </xf>
    <xf numFmtId="167" fontId="56" fillId="4" borderId="0" xfId="8" applyNumberFormat="1" applyFont="1" applyFill="1" applyAlignment="1">
      <alignment horizontal="center"/>
    </xf>
    <xf numFmtId="0" fontId="50" fillId="7" borderId="12" xfId="0" applyFont="1" applyFill="1" applyBorder="1" applyAlignment="1">
      <alignment vertical="center"/>
    </xf>
    <xf numFmtId="8" fontId="56" fillId="7" borderId="0" xfId="3" applyNumberFormat="1" applyFont="1" applyFill="1" applyBorder="1" applyAlignment="1">
      <alignment horizontal="center" vertical="center"/>
    </xf>
    <xf numFmtId="6" fontId="50" fillId="7" borderId="0" xfId="3" applyNumberFormat="1" applyFont="1" applyFill="1" applyBorder="1" applyAlignment="1">
      <alignment horizontal="center" vertical="center"/>
    </xf>
    <xf numFmtId="6" fontId="56" fillId="7" borderId="0" xfId="3" applyNumberFormat="1" applyFont="1" applyFill="1" applyBorder="1" applyAlignment="1">
      <alignment horizontal="center" vertical="center"/>
    </xf>
    <xf numFmtId="0" fontId="55" fillId="4" borderId="12" xfId="0" applyFont="1" applyFill="1" applyBorder="1" applyAlignment="1">
      <alignment vertical="center"/>
    </xf>
    <xf numFmtId="8" fontId="56" fillId="4" borderId="0" xfId="8" applyNumberFormat="1" applyFont="1" applyFill="1" applyAlignment="1">
      <alignment horizontal="center"/>
    </xf>
    <xf numFmtId="0" fontId="56" fillId="4" borderId="0" xfId="3" applyNumberFormat="1" applyFont="1" applyFill="1" applyBorder="1" applyAlignment="1">
      <alignment horizontal="center" vertical="center"/>
    </xf>
    <xf numFmtId="0" fontId="51" fillId="4" borderId="15" xfId="8" applyFont="1" applyFill="1" applyBorder="1"/>
    <xf numFmtId="9" fontId="50" fillId="4" borderId="5" xfId="9" applyNumberFormat="1" applyFont="1" applyFill="1" applyBorder="1" applyAlignment="1">
      <alignment horizontal="center"/>
    </xf>
    <xf numFmtId="9" fontId="51" fillId="4" borderId="5" xfId="9" applyNumberFormat="1" applyFont="1" applyFill="1" applyBorder="1" applyAlignment="1">
      <alignment horizontal="center"/>
    </xf>
    <xf numFmtId="6" fontId="36" fillId="16" borderId="0" xfId="3" applyNumberFormat="1" applyFont="1" applyFill="1" applyBorder="1" applyAlignment="1">
      <alignment horizontal="center" vertical="center"/>
    </xf>
    <xf numFmtId="9" fontId="50" fillId="4" borderId="0" xfId="8" applyNumberFormat="1" applyFont="1" applyFill="1" applyAlignment="1">
      <alignment horizontal="center"/>
    </xf>
    <xf numFmtId="6" fontId="56" fillId="7" borderId="0" xfId="8" applyNumberFormat="1" applyFont="1" applyFill="1" applyAlignment="1">
      <alignment horizontal="center"/>
    </xf>
    <xf numFmtId="167" fontId="50" fillId="7" borderId="0" xfId="9" applyNumberFormat="1" applyFont="1" applyFill="1" applyAlignment="1">
      <alignment horizontal="center"/>
    </xf>
    <xf numFmtId="0" fontId="53" fillId="6" borderId="25" xfId="8" applyFont="1" applyFill="1" applyBorder="1"/>
    <xf numFmtId="0" fontId="54" fillId="6" borderId="11" xfId="8" applyFont="1" applyFill="1" applyBorder="1" applyAlignment="1">
      <alignment horizontal="center"/>
    </xf>
    <xf numFmtId="0" fontId="54" fillId="6" borderId="30" xfId="8" applyFont="1" applyFill="1" applyBorder="1" applyAlignment="1">
      <alignment horizontal="center"/>
    </xf>
    <xf numFmtId="0" fontId="55" fillId="5" borderId="12" xfId="0" applyFont="1" applyFill="1" applyBorder="1" applyAlignment="1">
      <alignment vertical="center" wrapText="1"/>
    </xf>
    <xf numFmtId="0" fontId="50" fillId="4" borderId="12" xfId="0" applyFont="1" applyFill="1" applyBorder="1" applyAlignment="1">
      <alignment vertical="center"/>
    </xf>
    <xf numFmtId="0" fontId="51" fillId="4" borderId="12" xfId="8" applyFont="1" applyFill="1" applyBorder="1"/>
    <xf numFmtId="0" fontId="50" fillId="4" borderId="23" xfId="8" applyFont="1" applyFill="1" applyBorder="1"/>
    <xf numFmtId="167" fontId="50" fillId="7" borderId="23" xfId="8" applyNumberFormat="1" applyFont="1" applyFill="1" applyBorder="1" applyAlignment="1">
      <alignment horizontal="center"/>
    </xf>
    <xf numFmtId="0" fontId="51" fillId="7" borderId="15" xfId="8" applyFont="1" applyFill="1" applyBorder="1"/>
    <xf numFmtId="9" fontId="50" fillId="7" borderId="5" xfId="9" applyNumberFormat="1" applyFont="1" applyFill="1" applyBorder="1" applyAlignment="1">
      <alignment horizontal="center"/>
    </xf>
    <xf numFmtId="167" fontId="50" fillId="7" borderId="24" xfId="8" applyNumberFormat="1" applyFont="1" applyFill="1" applyBorder="1" applyAlignment="1">
      <alignment horizontal="center"/>
    </xf>
    <xf numFmtId="0" fontId="55" fillId="7" borderId="25" xfId="0" applyFont="1" applyFill="1" applyBorder="1" applyAlignment="1">
      <alignment vertical="center"/>
    </xf>
    <xf numFmtId="6" fontId="56" fillId="7" borderId="11" xfId="8" applyNumberFormat="1" applyFont="1" applyFill="1" applyBorder="1" applyAlignment="1">
      <alignment horizontal="center"/>
    </xf>
    <xf numFmtId="167" fontId="50" fillId="7" borderId="30" xfId="8" applyNumberFormat="1" applyFont="1" applyFill="1" applyBorder="1" applyAlignment="1">
      <alignment horizontal="center"/>
    </xf>
    <xf numFmtId="178" fontId="54" fillId="6" borderId="0" xfId="8" applyNumberFormat="1" applyFont="1" applyFill="1" applyAlignment="1">
      <alignment horizontal="center"/>
    </xf>
    <xf numFmtId="0" fontId="53" fillId="6" borderId="12" xfId="8" applyFont="1" applyFill="1" applyBorder="1"/>
    <xf numFmtId="175" fontId="56" fillId="5" borderId="0" xfId="1" applyNumberFormat="1" applyFont="1" applyFill="1" applyBorder="1" applyAlignment="1"/>
    <xf numFmtId="175" fontId="50" fillId="5" borderId="0" xfId="8" applyNumberFormat="1" applyFont="1" applyFill="1"/>
    <xf numFmtId="175" fontId="50" fillId="5" borderId="23" xfId="8" applyNumberFormat="1" applyFont="1" applyFill="1" applyBorder="1"/>
    <xf numFmtId="37" fontId="50" fillId="5" borderId="0" xfId="8" applyNumberFormat="1" applyFont="1" applyFill="1" applyAlignment="1">
      <alignment horizontal="right"/>
    </xf>
    <xf numFmtId="37" fontId="50" fillId="5" borderId="23" xfId="8" applyNumberFormat="1" applyFont="1" applyFill="1" applyBorder="1" applyAlignment="1">
      <alignment horizontal="right"/>
    </xf>
    <xf numFmtId="0" fontId="51" fillId="23" borderId="15" xfId="8" applyFont="1" applyFill="1" applyBorder="1"/>
    <xf numFmtId="0" fontId="50" fillId="23" borderId="5" xfId="8" applyFont="1" applyFill="1" applyBorder="1"/>
    <xf numFmtId="6" fontId="51" fillId="23" borderId="24" xfId="8" applyNumberFormat="1" applyFont="1" applyFill="1" applyBorder="1"/>
    <xf numFmtId="0" fontId="36" fillId="0" borderId="12" xfId="0" applyFont="1" applyBorder="1"/>
    <xf numFmtId="0" fontId="63" fillId="0" borderId="0" xfId="0" applyFont="1" applyAlignment="1">
      <alignment horizontal="left"/>
    </xf>
    <xf numFmtId="0" fontId="37" fillId="23" borderId="15" xfId="0" applyFont="1" applyFill="1" applyBorder="1"/>
    <xf numFmtId="0" fontId="37" fillId="23" borderId="5" xfId="0" applyFont="1" applyFill="1" applyBorder="1" applyAlignment="1">
      <alignment horizontal="left"/>
    </xf>
    <xf numFmtId="6" fontId="37" fillId="23" borderId="5" xfId="0" applyNumberFormat="1" applyFont="1" applyFill="1" applyBorder="1" applyAlignment="1">
      <alignment horizontal="left"/>
    </xf>
    <xf numFmtId="0" fontId="70" fillId="6" borderId="25" xfId="0" applyFont="1" applyFill="1" applyBorder="1" applyAlignment="1">
      <alignment vertical="top"/>
    </xf>
    <xf numFmtId="0" fontId="70" fillId="6" borderId="11" xfId="0" applyFont="1" applyFill="1" applyBorder="1" applyAlignment="1">
      <alignment vertical="top"/>
    </xf>
    <xf numFmtId="0" fontId="70" fillId="6" borderId="15" xfId="0" applyFont="1" applyFill="1" applyBorder="1" applyAlignment="1">
      <alignment vertical="top"/>
    </xf>
    <xf numFmtId="0" fontId="70" fillId="6" borderId="5" xfId="0" applyFont="1" applyFill="1" applyBorder="1" applyAlignment="1">
      <alignment vertical="top"/>
    </xf>
    <xf numFmtId="0" fontId="54" fillId="6" borderId="8" xfId="8" applyFont="1" applyFill="1" applyBorder="1"/>
    <xf numFmtId="175" fontId="37" fillId="23" borderId="8" xfId="1" applyNumberFormat="1" applyFont="1" applyFill="1" applyBorder="1" applyAlignment="1">
      <alignment horizontal="left"/>
    </xf>
    <xf numFmtId="175" fontId="37" fillId="23" borderId="9" xfId="1" applyNumberFormat="1" applyFont="1" applyFill="1" applyBorder="1" applyAlignment="1">
      <alignment horizontal="center"/>
    </xf>
    <xf numFmtId="6" fontId="37" fillId="23" borderId="9" xfId="1" applyNumberFormat="1" applyFont="1" applyFill="1" applyBorder="1" applyAlignment="1">
      <alignment horizontal="center"/>
    </xf>
    <xf numFmtId="0" fontId="54" fillId="6" borderId="25" xfId="8" applyFont="1" applyFill="1" applyBorder="1"/>
    <xf numFmtId="14" fontId="54" fillId="6" borderId="11" xfId="8" applyNumberFormat="1" applyFont="1" applyFill="1" applyBorder="1"/>
    <xf numFmtId="0" fontId="54" fillId="6" borderId="15" xfId="8" applyFont="1" applyFill="1" applyBorder="1"/>
    <xf numFmtId="14" fontId="54" fillId="6" borderId="5" xfId="8" applyNumberFormat="1" applyFont="1" applyFill="1" applyBorder="1"/>
    <xf numFmtId="189" fontId="54" fillId="6" borderId="11" xfId="8" applyNumberFormat="1" applyFont="1" applyFill="1" applyBorder="1"/>
    <xf numFmtId="0" fontId="50" fillId="8" borderId="12" xfId="8" applyFont="1" applyFill="1" applyBorder="1"/>
    <xf numFmtId="0" fontId="51" fillId="8" borderId="12" xfId="8" applyFont="1" applyFill="1" applyBorder="1"/>
    <xf numFmtId="9" fontId="50" fillId="8" borderId="0" xfId="8" applyNumberFormat="1" applyFont="1" applyFill="1" applyAlignment="1">
      <alignment horizontal="right"/>
    </xf>
    <xf numFmtId="0" fontId="55" fillId="16" borderId="12" xfId="0" applyFont="1" applyFill="1" applyBorder="1" applyAlignment="1">
      <alignment vertical="center"/>
    </xf>
    <xf numFmtId="0" fontId="55" fillId="24" borderId="12" xfId="0" applyFont="1" applyFill="1" applyBorder="1" applyAlignment="1">
      <alignment vertical="center"/>
    </xf>
    <xf numFmtId="14" fontId="56" fillId="5" borderId="0" xfId="8" applyNumberFormat="1" applyFont="1" applyFill="1"/>
    <xf numFmtId="14" fontId="50" fillId="5" borderId="0" xfId="8" applyNumberFormat="1" applyFont="1" applyFill="1"/>
    <xf numFmtId="1" fontId="36" fillId="5" borderId="0" xfId="8" applyNumberFormat="1" applyFont="1" applyFill="1"/>
    <xf numFmtId="0" fontId="58" fillId="8" borderId="0" xfId="8" applyFont="1" applyFill="1"/>
    <xf numFmtId="8" fontId="56" fillId="16" borderId="0" xfId="8" applyNumberFormat="1" applyFont="1" applyFill="1" applyAlignment="1">
      <alignment horizontal="center"/>
    </xf>
    <xf numFmtId="0" fontId="56" fillId="16" borderId="0" xfId="8" applyFont="1" applyFill="1"/>
    <xf numFmtId="1" fontId="50" fillId="16" borderId="0" xfId="8" applyNumberFormat="1" applyFont="1" applyFill="1"/>
    <xf numFmtId="8" fontId="56" fillId="24" borderId="0" xfId="8" applyNumberFormat="1" applyFont="1" applyFill="1" applyAlignment="1">
      <alignment horizontal="center"/>
    </xf>
    <xf numFmtId="1" fontId="50" fillId="24" borderId="0" xfId="8" applyNumberFormat="1" applyFont="1" applyFill="1"/>
    <xf numFmtId="0" fontId="52" fillId="24" borderId="15" xfId="8" applyFont="1" applyFill="1" applyBorder="1"/>
    <xf numFmtId="1" fontId="52" fillId="24" borderId="5" xfId="8" applyNumberFormat="1" applyFont="1" applyFill="1" applyBorder="1"/>
    <xf numFmtId="14" fontId="53" fillId="6" borderId="5" xfId="8" applyNumberFormat="1" applyFont="1" applyFill="1" applyBorder="1"/>
    <xf numFmtId="0" fontId="51" fillId="8" borderId="0" xfId="8" applyFont="1" applyFill="1"/>
    <xf numFmtId="6" fontId="9" fillId="0" borderId="0" xfId="8" applyNumberFormat="1"/>
    <xf numFmtId="10" fontId="28" fillId="0" borderId="0" xfId="0" applyNumberFormat="1" applyFont="1" applyAlignment="1">
      <alignment horizontal="right" vertical="center"/>
    </xf>
    <xf numFmtId="0" fontId="3" fillId="0" borderId="0" xfId="0" applyFont="1" applyAlignment="1">
      <alignment horizontal="center"/>
    </xf>
    <xf numFmtId="37" fontId="3" fillId="0" borderId="0" xfId="6" applyFont="1" applyAlignment="1">
      <alignment horizontal="center"/>
    </xf>
    <xf numFmtId="0" fontId="44" fillId="0" borderId="0" xfId="7" applyNumberFormat="1" applyFont="1" applyAlignment="1" applyProtection="1">
      <alignment vertical="top" wrapText="1"/>
      <protection locked="0"/>
    </xf>
    <xf numFmtId="37" fontId="6" fillId="0" borderId="0" xfId="7" applyFont="1" applyAlignment="1">
      <alignment horizontal="center"/>
    </xf>
    <xf numFmtId="10" fontId="8" fillId="0" borderId="0" xfId="5" applyNumberFormat="1" applyFont="1" applyFill="1" applyBorder="1"/>
    <xf numFmtId="14" fontId="8" fillId="0" borderId="0" xfId="5" applyNumberFormat="1" applyFont="1" applyFill="1" applyBorder="1"/>
    <xf numFmtId="1" fontId="5" fillId="0" borderId="25" xfId="7" applyNumberFormat="1" applyFont="1" applyBorder="1" applyAlignment="1">
      <alignment horizontal="center"/>
    </xf>
    <xf numFmtId="37" fontId="5" fillId="0" borderId="15" xfId="7" quotePrefix="1" applyFont="1" applyBorder="1" applyAlignment="1">
      <alignment horizontal="right"/>
    </xf>
    <xf numFmtId="7" fontId="9" fillId="0" borderId="8" xfId="7" applyNumberFormat="1" applyFont="1" applyBorder="1" applyAlignment="1">
      <alignment horizontal="right"/>
    </xf>
    <xf numFmtId="7" fontId="9" fillId="2" borderId="8" xfId="7" applyNumberFormat="1" applyFont="1" applyFill="1" applyBorder="1" applyAlignment="1">
      <alignment horizontal="right"/>
    </xf>
    <xf numFmtId="7" fontId="5" fillId="0" borderId="8" xfId="7" applyNumberFormat="1" applyFont="1" applyBorder="1" applyAlignment="1">
      <alignment horizontal="right"/>
    </xf>
    <xf numFmtId="42" fontId="5" fillId="0" borderId="8" xfId="4" applyFont="1" applyFill="1" applyBorder="1" applyAlignment="1" applyProtection="1">
      <alignment horizontal="right"/>
      <protection locked="0"/>
    </xf>
    <xf numFmtId="7" fontId="5" fillId="0" borderId="8" xfId="4" applyNumberFormat="1" applyFont="1" applyFill="1" applyBorder="1" applyAlignment="1" applyProtection="1">
      <alignment horizontal="right"/>
    </xf>
    <xf numFmtId="7" fontId="9" fillId="2" borderId="8" xfId="6" quotePrefix="1" applyNumberFormat="1" applyFont="1" applyFill="1" applyBorder="1" applyAlignment="1">
      <alignment horizontal="right"/>
    </xf>
    <xf numFmtId="175" fontId="36" fillId="5" borderId="0" xfId="1" applyNumberFormat="1" applyFont="1" applyFill="1" applyBorder="1" applyAlignment="1">
      <alignment horizontal="center"/>
    </xf>
    <xf numFmtId="6" fontId="63" fillId="5" borderId="0" xfId="3" applyNumberFormat="1" applyFont="1" applyFill="1" applyBorder="1" applyAlignment="1">
      <alignment horizontal="center" vertical="center"/>
    </xf>
    <xf numFmtId="6" fontId="63" fillId="5" borderId="0" xfId="1" applyNumberFormat="1" applyFont="1" applyFill="1" applyBorder="1" applyAlignment="1">
      <alignment horizontal="center" vertical="center"/>
    </xf>
    <xf numFmtId="6" fontId="63" fillId="5" borderId="0" xfId="1" applyNumberFormat="1" applyFont="1" applyFill="1" applyBorder="1" applyAlignment="1">
      <alignment horizontal="center"/>
    </xf>
    <xf numFmtId="6" fontId="63" fillId="5" borderId="5" xfId="1" applyNumberFormat="1" applyFont="1" applyFill="1" applyBorder="1" applyAlignment="1">
      <alignment horizontal="center" vertical="center"/>
    </xf>
    <xf numFmtId="185" fontId="68" fillId="14" borderId="9" xfId="8" applyNumberFormat="1" applyFont="1" applyFill="1" applyBorder="1" applyAlignment="1">
      <alignment horizontal="center"/>
    </xf>
    <xf numFmtId="185" fontId="54" fillId="6" borderId="9" xfId="8" applyNumberFormat="1" applyFont="1" applyFill="1" applyBorder="1" applyAlignment="1">
      <alignment horizontal="center"/>
    </xf>
    <xf numFmtId="185" fontId="54" fillId="6" borderId="0" xfId="8" applyNumberFormat="1" applyFont="1" applyFill="1" applyAlignment="1">
      <alignment horizontal="center"/>
    </xf>
    <xf numFmtId="185" fontId="54" fillId="6" borderId="23" xfId="8" applyNumberFormat="1" applyFont="1" applyFill="1" applyBorder="1" applyAlignment="1">
      <alignment horizontal="center"/>
    </xf>
    <xf numFmtId="185" fontId="68" fillId="14" borderId="0" xfId="8" applyNumberFormat="1" applyFont="1" applyFill="1" applyAlignment="1">
      <alignment horizontal="center"/>
    </xf>
    <xf numFmtId="3" fontId="0" fillId="0" borderId="0" xfId="0" applyNumberFormat="1"/>
    <xf numFmtId="0" fontId="70" fillId="3" borderId="7" xfId="0" applyFont="1" applyFill="1" applyBorder="1" applyAlignment="1">
      <alignment horizontal="center" vertical="center" wrapText="1"/>
    </xf>
    <xf numFmtId="0" fontId="76" fillId="0" borderId="0" xfId="0" applyFont="1"/>
    <xf numFmtId="37" fontId="76" fillId="0" borderId="0" xfId="0" applyNumberFormat="1" applyFont="1"/>
    <xf numFmtId="0" fontId="84" fillId="0" borderId="9" xfId="0" applyFont="1" applyBorder="1"/>
    <xf numFmtId="37" fontId="84" fillId="0" borderId="9" xfId="0" applyNumberFormat="1" applyFont="1" applyBorder="1"/>
    <xf numFmtId="0" fontId="76" fillId="20" borderId="0" xfId="0" applyFont="1" applyFill="1"/>
    <xf numFmtId="37" fontId="76" fillId="20" borderId="0" xfId="0" applyNumberFormat="1" applyFont="1" applyFill="1"/>
    <xf numFmtId="9" fontId="76" fillId="20" borderId="0" xfId="0" applyNumberFormat="1" applyFont="1" applyFill="1"/>
    <xf numFmtId="9" fontId="76" fillId="0" borderId="0" xfId="0" applyNumberFormat="1" applyFont="1"/>
    <xf numFmtId="9" fontId="84" fillId="0" borderId="9" xfId="0" applyNumberFormat="1" applyFont="1" applyBorder="1"/>
    <xf numFmtId="6" fontId="85" fillId="5" borderId="0" xfId="8" applyNumberFormat="1" applyFont="1" applyFill="1" applyAlignment="1">
      <alignment horizontal="center"/>
    </xf>
    <xf numFmtId="37" fontId="85" fillId="5" borderId="0" xfId="8" applyNumberFormat="1" applyFont="1" applyFill="1" applyAlignment="1">
      <alignment horizontal="center"/>
    </xf>
    <xf numFmtId="167" fontId="85" fillId="4" borderId="0" xfId="8" applyNumberFormat="1" applyFont="1" applyFill="1" applyAlignment="1">
      <alignment horizontal="center"/>
    </xf>
    <xf numFmtId="37" fontId="85" fillId="4" borderId="0" xfId="8" applyNumberFormat="1" applyFont="1" applyFill="1" applyAlignment="1">
      <alignment horizontal="center"/>
    </xf>
    <xf numFmtId="37" fontId="85" fillId="8" borderId="0" xfId="8" applyNumberFormat="1" applyFont="1" applyFill="1" applyAlignment="1">
      <alignment horizontal="center"/>
    </xf>
    <xf numFmtId="0" fontId="83" fillId="27" borderId="7" xfId="0" applyFont="1" applyFill="1" applyBorder="1" applyAlignment="1">
      <alignment horizontal="center" vertical="center" wrapText="1"/>
    </xf>
    <xf numFmtId="37" fontId="86" fillId="0" borderId="0" xfId="7" applyFont="1"/>
    <xf numFmtId="6" fontId="36" fillId="0" borderId="0" xfId="0" applyNumberFormat="1" applyFont="1" applyAlignment="1">
      <alignment horizontal="left"/>
    </xf>
    <xf numFmtId="0" fontId="54" fillId="3" borderId="25" xfId="0" applyFont="1" applyFill="1" applyBorder="1" applyAlignment="1" applyProtection="1">
      <alignment horizontal="center" vertical="center" wrapText="1"/>
      <protection locked="0"/>
    </xf>
    <xf numFmtId="0" fontId="54" fillId="3" borderId="11" xfId="0" applyFont="1" applyFill="1" applyBorder="1" applyAlignment="1" applyProtection="1">
      <alignment horizontal="center" vertical="center" wrapText="1"/>
      <protection locked="0"/>
    </xf>
    <xf numFmtId="0" fontId="54" fillId="28" borderId="11" xfId="0" applyFont="1" applyFill="1" applyBorder="1" applyAlignment="1" applyProtection="1">
      <alignment horizontal="center" vertical="center" wrapText="1"/>
      <protection locked="0"/>
    </xf>
    <xf numFmtId="14" fontId="54" fillId="28" borderId="11" xfId="0" applyNumberFormat="1" applyFont="1" applyFill="1" applyBorder="1" applyAlignment="1" applyProtection="1">
      <alignment horizontal="center" vertical="center" wrapText="1"/>
      <protection locked="0"/>
    </xf>
    <xf numFmtId="14" fontId="53" fillId="28" borderId="11" xfId="0" applyNumberFormat="1" applyFont="1" applyFill="1" applyBorder="1" applyAlignment="1" applyProtection="1">
      <alignment horizontal="center" vertical="center"/>
      <protection locked="0"/>
    </xf>
    <xf numFmtId="191" fontId="54" fillId="28" borderId="11" xfId="0" applyNumberFormat="1" applyFont="1" applyFill="1" applyBorder="1" applyAlignment="1" applyProtection="1">
      <alignment horizontal="center" vertical="center" wrapText="1"/>
      <protection locked="0"/>
    </xf>
    <xf numFmtId="0" fontId="54" fillId="28" borderId="11" xfId="0" applyFont="1" applyFill="1" applyBorder="1" applyAlignment="1" applyProtection="1">
      <alignment horizontal="center" vertical="center"/>
      <protection locked="0"/>
    </xf>
    <xf numFmtId="191" fontId="54" fillId="28" borderId="30" xfId="0" applyNumberFormat="1" applyFont="1" applyFill="1" applyBorder="1" applyAlignment="1" applyProtection="1">
      <alignment horizontal="center" vertical="center" wrapText="1"/>
      <protection locked="0"/>
    </xf>
    <xf numFmtId="0" fontId="55" fillId="0" borderId="1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lignment horizontal="center"/>
    </xf>
    <xf numFmtId="179" fontId="55" fillId="0" borderId="0" xfId="0" applyNumberFormat="1" applyFont="1" applyAlignment="1" applyProtection="1">
      <alignment horizontal="center"/>
      <protection locked="0"/>
    </xf>
    <xf numFmtId="14" fontId="55" fillId="0" borderId="0" xfId="0" applyNumberFormat="1" applyFont="1" applyAlignment="1" applyProtection="1">
      <alignment horizontal="center"/>
      <protection locked="0"/>
    </xf>
    <xf numFmtId="179" fontId="55" fillId="0" borderId="0" xfId="0" applyNumberFormat="1" applyFont="1" applyAlignment="1" applyProtection="1">
      <alignment horizontal="center" vertical="center" wrapText="1"/>
      <protection locked="0"/>
    </xf>
    <xf numFmtId="179" fontId="55" fillId="0" borderId="23" xfId="0" applyNumberFormat="1" applyFont="1" applyBorder="1" applyAlignment="1" applyProtection="1">
      <alignment horizontal="center" vertical="center" wrapText="1"/>
      <protection locked="0"/>
    </xf>
    <xf numFmtId="0" fontId="21" fillId="0" borderId="0" xfId="0" applyFont="1" applyAlignment="1">
      <alignment vertical="center"/>
    </xf>
    <xf numFmtId="0" fontId="20" fillId="0" borderId="0" xfId="0" applyFont="1" applyAlignment="1">
      <alignment vertical="center"/>
    </xf>
    <xf numFmtId="7" fontId="9" fillId="0" borderId="0" xfId="8" applyNumberFormat="1"/>
    <xf numFmtId="0" fontId="36" fillId="5" borderId="12" xfId="1" applyNumberFormat="1" applyFont="1" applyFill="1" applyBorder="1" applyAlignment="1">
      <alignment horizontal="left"/>
    </xf>
    <xf numFmtId="0" fontId="50" fillId="8" borderId="0" xfId="1" applyNumberFormat="1" applyFont="1" applyFill="1" applyBorder="1" applyAlignment="1">
      <alignment horizontal="center" vertical="center"/>
    </xf>
    <xf numFmtId="5" fontId="36" fillId="0" borderId="0" xfId="0" applyNumberFormat="1" applyFont="1" applyAlignment="1">
      <alignment horizontal="left"/>
    </xf>
    <xf numFmtId="37" fontId="9" fillId="0" borderId="7" xfId="7" applyFont="1" applyBorder="1" applyProtection="1">
      <protection locked="0"/>
    </xf>
    <xf numFmtId="4" fontId="59" fillId="26" borderId="18" xfId="0" applyNumberFormat="1" applyFont="1" applyFill="1" applyBorder="1" applyAlignment="1">
      <alignment horizontal="right" vertical="center"/>
    </xf>
    <xf numFmtId="1" fontId="5" fillId="0" borderId="0" xfId="7" applyNumberFormat="1" applyFont="1" applyAlignment="1">
      <alignment horizontal="center"/>
    </xf>
    <xf numFmtId="37" fontId="5" fillId="0" borderId="0" xfId="7" quotePrefix="1" applyFont="1" applyAlignment="1">
      <alignment horizontal="right"/>
    </xf>
    <xf numFmtId="42" fontId="5" fillId="0" borderId="0" xfId="4" applyFont="1" applyFill="1" applyBorder="1" applyAlignment="1" applyProtection="1">
      <alignment horizontal="right"/>
      <protection locked="0"/>
    </xf>
    <xf numFmtId="7" fontId="5" fillId="0" borderId="0" xfId="4" applyNumberFormat="1" applyFont="1" applyFill="1" applyBorder="1" applyAlignment="1" applyProtection="1">
      <alignment horizontal="right"/>
    </xf>
    <xf numFmtId="7" fontId="9" fillId="0" borderId="0" xfId="6" quotePrefix="1" applyNumberFormat="1" applyFont="1" applyAlignment="1">
      <alignment horizontal="right"/>
    </xf>
    <xf numFmtId="7" fontId="5" fillId="0" borderId="0" xfId="7" applyNumberFormat="1" applyFont="1" applyAlignment="1" applyProtection="1">
      <alignment horizontal="right"/>
      <protection locked="0"/>
    </xf>
    <xf numFmtId="190" fontId="9" fillId="0" borderId="0" xfId="7" applyNumberFormat="1" applyFont="1" applyAlignment="1">
      <alignment horizontal="right"/>
    </xf>
    <xf numFmtId="175" fontId="89" fillId="5" borderId="23" xfId="1" applyNumberFormat="1" applyFont="1" applyFill="1" applyBorder="1" applyAlignment="1">
      <alignment horizontal="center"/>
    </xf>
    <xf numFmtId="0" fontId="63" fillId="0" borderId="11" xfId="0" applyFont="1" applyBorder="1" applyAlignment="1">
      <alignment horizontal="left"/>
    </xf>
    <xf numFmtId="0" fontId="87" fillId="25" borderId="8" xfId="0" applyFont="1" applyFill="1" applyBorder="1" applyAlignment="1" applyProtection="1">
      <alignment horizontal="center"/>
      <protection locked="0"/>
    </xf>
    <xf numFmtId="191" fontId="88" fillId="25" borderId="9" xfId="0" applyNumberFormat="1" applyFont="1" applyFill="1" applyBorder="1" applyAlignment="1" applyProtection="1">
      <alignment horizontal="left"/>
      <protection locked="0"/>
    </xf>
    <xf numFmtId="0" fontId="87" fillId="25" borderId="9" xfId="0" applyFont="1" applyFill="1" applyBorder="1" applyAlignment="1" applyProtection="1">
      <alignment horizontal="center"/>
      <protection locked="0"/>
    </xf>
    <xf numFmtId="179" fontId="87" fillId="25" borderId="9" xfId="0" applyNumberFormat="1" applyFont="1" applyFill="1" applyBorder="1" applyAlignment="1" applyProtection="1">
      <alignment horizontal="center"/>
      <protection locked="0"/>
    </xf>
    <xf numFmtId="14" fontId="87" fillId="25" borderId="9" xfId="0" applyNumberFormat="1" applyFont="1" applyFill="1" applyBorder="1" applyAlignment="1" applyProtection="1">
      <alignment horizontal="center"/>
      <protection locked="0"/>
    </xf>
    <xf numFmtId="179" fontId="87" fillId="25" borderId="9" xfId="0" applyNumberFormat="1" applyFont="1" applyFill="1" applyBorder="1" applyAlignment="1" applyProtection="1">
      <alignment horizontal="center" vertical="center" wrapText="1"/>
      <protection locked="0"/>
    </xf>
    <xf numFmtId="179" fontId="87" fillId="25" borderId="10" xfId="0" applyNumberFormat="1" applyFont="1" applyFill="1" applyBorder="1" applyAlignment="1" applyProtection="1">
      <alignment horizontal="center" vertical="center" wrapText="1"/>
      <protection locked="0"/>
    </xf>
    <xf numFmtId="0" fontId="90" fillId="0" borderId="0" xfId="0" applyFont="1"/>
    <xf numFmtId="0" fontId="91" fillId="0" borderId="0" xfId="0" applyFont="1"/>
    <xf numFmtId="0" fontId="52" fillId="0" borderId="0" xfId="0" applyFont="1"/>
    <xf numFmtId="17" fontId="80" fillId="0" borderId="24" xfId="0" applyNumberFormat="1" applyFont="1" applyBorder="1" applyAlignment="1">
      <alignment horizontal="center"/>
    </xf>
    <xf numFmtId="0" fontId="80" fillId="0" borderId="11" xfId="0" applyFont="1" applyBorder="1"/>
    <xf numFmtId="0" fontId="80" fillId="0" borderId="23" xfId="0" applyFont="1" applyBorder="1" applyAlignment="1">
      <alignment horizontal="right"/>
    </xf>
    <xf numFmtId="0" fontId="80" fillId="0" borderId="25" xfId="0" applyFont="1" applyBorder="1" applyAlignment="1">
      <alignment horizontal="right"/>
    </xf>
    <xf numFmtId="0" fontId="80" fillId="0" borderId="11" xfId="0" applyFont="1" applyBorder="1" applyAlignment="1">
      <alignment horizontal="right"/>
    </xf>
    <xf numFmtId="41" fontId="22" fillId="0" borderId="0" xfId="0" applyNumberFormat="1" applyFont="1" applyAlignment="1">
      <alignment horizontal="left"/>
    </xf>
    <xf numFmtId="41" fontId="22" fillId="0" borderId="23" xfId="0" applyNumberFormat="1" applyFont="1" applyBorder="1" applyAlignment="1">
      <alignment horizontal="left"/>
    </xf>
    <xf numFmtId="41" fontId="22" fillId="0" borderId="12" xfId="0" applyNumberFormat="1" applyFont="1" applyBorder="1" applyAlignment="1">
      <alignment horizontal="left"/>
    </xf>
    <xf numFmtId="10" fontId="22" fillId="0" borderId="23" xfId="0" applyNumberFormat="1" applyFont="1" applyBorder="1" applyAlignment="1">
      <alignment horizontal="right"/>
    </xf>
    <xf numFmtId="10" fontId="22" fillId="0" borderId="33" xfId="0" applyNumberFormat="1" applyFont="1" applyBorder="1" applyAlignment="1">
      <alignment horizontal="right"/>
    </xf>
    <xf numFmtId="10" fontId="22" fillId="0" borderId="0" xfId="0" applyNumberFormat="1" applyFont="1" applyAlignment="1">
      <alignment horizontal="right"/>
    </xf>
    <xf numFmtId="0" fontId="92" fillId="0" borderId="11" xfId="0" applyFont="1" applyBorder="1" applyAlignment="1">
      <alignment horizontal="left"/>
    </xf>
    <xf numFmtId="0" fontId="92" fillId="0" borderId="30" xfId="0" applyFont="1" applyBorder="1" applyAlignment="1">
      <alignment horizontal="left"/>
    </xf>
    <xf numFmtId="41" fontId="92" fillId="0" borderId="11" xfId="0" applyNumberFormat="1" applyFont="1" applyBorder="1" applyAlignment="1">
      <alignment horizontal="right"/>
    </xf>
    <xf numFmtId="10" fontId="92" fillId="0" borderId="30" xfId="0" applyNumberFormat="1" applyFont="1" applyBorder="1" applyAlignment="1">
      <alignment horizontal="right"/>
    </xf>
    <xf numFmtId="41" fontId="92" fillId="0" borderId="30" xfId="0" applyNumberFormat="1" applyFont="1" applyBorder="1" applyAlignment="1">
      <alignment horizontal="right"/>
    </xf>
    <xf numFmtId="10" fontId="92" fillId="0" borderId="16" xfId="0" applyNumberFormat="1" applyFont="1" applyBorder="1" applyAlignment="1">
      <alignment horizontal="right"/>
    </xf>
    <xf numFmtId="10" fontId="92" fillId="0" borderId="11" xfId="0" applyNumberFormat="1" applyFont="1" applyBorder="1" applyAlignment="1">
      <alignment horizontal="right"/>
    </xf>
    <xf numFmtId="9" fontId="0" fillId="26" borderId="0" xfId="0" applyNumberFormat="1" applyFill="1"/>
    <xf numFmtId="10" fontId="5" fillId="26" borderId="0" xfId="0" applyNumberFormat="1" applyFont="1" applyFill="1"/>
    <xf numFmtId="6" fontId="0" fillId="0" borderId="12" xfId="0" applyNumberFormat="1" applyBorder="1"/>
    <xf numFmtId="184" fontId="94" fillId="0" borderId="0" xfId="0" applyNumberFormat="1" applyFont="1" applyAlignment="1">
      <alignment horizontal="center" vertical="center"/>
    </xf>
    <xf numFmtId="7" fontId="94" fillId="0" borderId="17" xfId="0" applyNumberFormat="1" applyFont="1" applyBorder="1" applyAlignment="1">
      <alignment horizontal="center" vertical="center"/>
    </xf>
    <xf numFmtId="0" fontId="96" fillId="0" borderId="5" xfId="0" applyFont="1" applyBorder="1" applyAlignment="1">
      <alignment horizontal="left" indent="4"/>
    </xf>
    <xf numFmtId="42" fontId="97" fillId="0" borderId="33" xfId="0" applyNumberFormat="1" applyFont="1" applyBorder="1" applyAlignment="1">
      <alignment horizontal="center" vertical="center"/>
    </xf>
    <xf numFmtId="184" fontId="95" fillId="0" borderId="33" xfId="0" applyNumberFormat="1" applyFont="1" applyBorder="1" applyAlignment="1">
      <alignment horizontal="center" vertical="center"/>
    </xf>
    <xf numFmtId="184" fontId="95" fillId="0" borderId="0" xfId="0" applyNumberFormat="1" applyFont="1" applyAlignment="1">
      <alignment horizontal="center" vertical="center"/>
    </xf>
    <xf numFmtId="184" fontId="95" fillId="0" borderId="6" xfId="0" applyNumberFormat="1" applyFont="1" applyBorder="1" applyAlignment="1">
      <alignment horizontal="center" vertical="center"/>
    </xf>
    <xf numFmtId="5" fontId="97" fillId="0" borderId="0" xfId="0" applyNumberFormat="1" applyFont="1" applyAlignment="1">
      <alignment horizontal="center" vertical="center"/>
    </xf>
    <xf numFmtId="194" fontId="97" fillId="0" borderId="0" xfId="0" applyNumberFormat="1" applyFont="1" applyAlignment="1">
      <alignment horizontal="center" vertical="center"/>
    </xf>
    <xf numFmtId="10" fontId="97" fillId="0" borderId="0" xfId="0" applyNumberFormat="1" applyFont="1" applyAlignment="1">
      <alignment horizontal="center" vertical="center"/>
    </xf>
    <xf numFmtId="184" fontId="97" fillId="0" borderId="0" xfId="0" applyNumberFormat="1" applyFont="1" applyAlignment="1">
      <alignment horizontal="center" vertical="center"/>
    </xf>
    <xf numFmtId="182" fontId="93" fillId="0" borderId="0" xfId="0" applyNumberFormat="1" applyFont="1" applyAlignment="1">
      <alignment horizontal="center" vertical="center"/>
    </xf>
    <xf numFmtId="10" fontId="96" fillId="0" borderId="0" xfId="5" quotePrefix="1" applyNumberFormat="1" applyFont="1" applyFill="1" applyBorder="1" applyAlignment="1">
      <alignment horizontal="right" vertical="center"/>
    </xf>
    <xf numFmtId="10" fontId="96" fillId="0" borderId="39" xfId="5" applyNumberFormat="1" applyFont="1" applyFill="1" applyBorder="1" applyAlignment="1">
      <alignment horizontal="center" vertical="center"/>
    </xf>
    <xf numFmtId="0" fontId="96" fillId="0" borderId="0" xfId="0" applyFont="1" applyAlignment="1">
      <alignment vertical="center"/>
    </xf>
    <xf numFmtId="5" fontId="96" fillId="0" borderId="40" xfId="0" applyNumberFormat="1" applyFont="1" applyBorder="1" applyAlignment="1">
      <alignment horizontal="center" vertical="center"/>
    </xf>
    <xf numFmtId="184" fontId="96" fillId="0" borderId="0" xfId="0" applyNumberFormat="1" applyFont="1" applyAlignment="1">
      <alignment horizontal="center" vertical="center"/>
    </xf>
    <xf numFmtId="0" fontId="96" fillId="0" borderId="48" xfId="0" applyFont="1" applyBorder="1" applyAlignment="1">
      <alignment vertical="center"/>
    </xf>
    <xf numFmtId="5" fontId="96" fillId="0" borderId="49" xfId="0" applyNumberFormat="1" applyFont="1" applyBorder="1" applyAlignment="1">
      <alignment horizontal="center" vertical="center"/>
    </xf>
    <xf numFmtId="184" fontId="96" fillId="0" borderId="0" xfId="5" applyNumberFormat="1" applyFont="1" applyFill="1" applyBorder="1" applyAlignment="1">
      <alignment horizontal="center" vertical="center"/>
    </xf>
    <xf numFmtId="5" fontId="96" fillId="0" borderId="48" xfId="5" applyNumberFormat="1" applyFont="1" applyFill="1" applyBorder="1" applyAlignment="1">
      <alignment horizontal="center" vertical="center"/>
    </xf>
    <xf numFmtId="0" fontId="96" fillId="0" borderId="52" xfId="0" applyFont="1" applyBorder="1" applyAlignment="1">
      <alignment vertical="center"/>
    </xf>
    <xf numFmtId="9" fontId="96" fillId="0" borderId="53" xfId="0" applyNumberFormat="1" applyFont="1" applyBorder="1" applyAlignment="1">
      <alignment horizontal="center" vertical="center"/>
    </xf>
    <xf numFmtId="9" fontId="96" fillId="0" borderId="52" xfId="0" applyNumberFormat="1" applyFont="1" applyBorder="1" applyAlignment="1">
      <alignment horizontal="center" vertical="center"/>
    </xf>
    <xf numFmtId="0" fontId="96" fillId="0" borderId="0" xfId="0" applyFont="1"/>
    <xf numFmtId="41" fontId="93" fillId="30" borderId="31" xfId="0" applyNumberFormat="1" applyFont="1" applyFill="1" applyBorder="1" applyAlignment="1">
      <alignment vertical="center"/>
    </xf>
    <xf numFmtId="192" fontId="93" fillId="30" borderId="36" xfId="0" applyNumberFormat="1" applyFont="1" applyFill="1" applyBorder="1" applyAlignment="1">
      <alignment horizontal="center" vertical="center"/>
    </xf>
    <xf numFmtId="180" fontId="93" fillId="30" borderId="33" xfId="0" applyNumberFormat="1" applyFont="1" applyFill="1" applyBorder="1" applyAlignment="1">
      <alignment vertical="center"/>
    </xf>
    <xf numFmtId="182" fontId="93" fillId="30" borderId="0" xfId="0" applyNumberFormat="1" applyFont="1" applyFill="1" applyAlignment="1">
      <alignment horizontal="center" vertical="center"/>
    </xf>
    <xf numFmtId="0" fontId="94" fillId="0" borderId="0" xfId="0" applyFont="1" applyAlignment="1">
      <alignment vertical="center"/>
    </xf>
    <xf numFmtId="0" fontId="93" fillId="30" borderId="0" xfId="0" applyFont="1" applyFill="1" applyAlignment="1">
      <alignment horizontal="right" vertical="center"/>
    </xf>
    <xf numFmtId="182" fontId="93" fillId="30" borderId="0" xfId="0" applyNumberFormat="1" applyFont="1" applyFill="1" applyAlignment="1">
      <alignment vertical="center"/>
    </xf>
    <xf numFmtId="0" fontId="93" fillId="30" borderId="32" xfId="0" applyFont="1" applyFill="1" applyBorder="1" applyAlignment="1">
      <alignment vertical="center"/>
    </xf>
    <xf numFmtId="180" fontId="93" fillId="30" borderId="37" xfId="0" applyNumberFormat="1" applyFont="1" applyFill="1" applyBorder="1" applyAlignment="1">
      <alignment horizontal="center"/>
    </xf>
    <xf numFmtId="180" fontId="93" fillId="30" borderId="38" xfId="0" applyNumberFormat="1" applyFont="1" applyFill="1" applyBorder="1" applyAlignment="1">
      <alignment vertical="center"/>
    </xf>
    <xf numFmtId="180" fontId="93" fillId="30" borderId="17" xfId="0" applyNumberFormat="1" applyFont="1" applyFill="1" applyBorder="1" applyAlignment="1">
      <alignment horizontal="center"/>
    </xf>
    <xf numFmtId="193" fontId="93" fillId="30" borderId="0" xfId="0" applyNumberFormat="1" applyFont="1" applyFill="1" applyAlignment="1">
      <alignment vertical="center"/>
    </xf>
    <xf numFmtId="0" fontId="94" fillId="31" borderId="0" xfId="0" applyFont="1" applyFill="1" applyAlignment="1">
      <alignment vertical="center"/>
    </xf>
    <xf numFmtId="184" fontId="94" fillId="31" borderId="36" xfId="0" applyNumberFormat="1" applyFont="1" applyFill="1" applyBorder="1" applyAlignment="1">
      <alignment horizontal="center" vertical="center"/>
    </xf>
    <xf numFmtId="184" fontId="94" fillId="31" borderId="33" xfId="0" applyNumberFormat="1" applyFont="1" applyFill="1" applyBorder="1" applyAlignment="1">
      <alignment horizontal="center" vertical="center"/>
    </xf>
    <xf numFmtId="184" fontId="94" fillId="31" borderId="0" xfId="0" applyNumberFormat="1" applyFont="1" applyFill="1" applyAlignment="1">
      <alignment horizontal="center" vertical="center"/>
    </xf>
    <xf numFmtId="0" fontId="102" fillId="0" borderId="0" xfId="0" applyFont="1" applyAlignment="1">
      <alignment horizontal="left"/>
    </xf>
    <xf numFmtId="10" fontId="94" fillId="0" borderId="0" xfId="5" applyNumberFormat="1" applyFont="1" applyFill="1" applyBorder="1"/>
    <xf numFmtId="0" fontId="94" fillId="0" borderId="0" xfId="0" applyFont="1"/>
    <xf numFmtId="0" fontId="94" fillId="31" borderId="17" xfId="0" applyFont="1" applyFill="1" applyBorder="1" applyAlignment="1">
      <alignment vertical="center"/>
    </xf>
    <xf numFmtId="7" fontId="94" fillId="31" borderId="37" xfId="0" applyNumberFormat="1" applyFont="1" applyFill="1" applyBorder="1" applyAlignment="1">
      <alignment horizontal="center" vertical="center"/>
    </xf>
    <xf numFmtId="7" fontId="94" fillId="31" borderId="38" xfId="0" applyNumberFormat="1" applyFont="1" applyFill="1" applyBorder="1" applyAlignment="1">
      <alignment horizontal="center" vertical="center"/>
    </xf>
    <xf numFmtId="7" fontId="94" fillId="31" borderId="17" xfId="0" applyNumberFormat="1" applyFont="1" applyFill="1" applyBorder="1" applyAlignment="1">
      <alignment horizontal="center" vertical="center"/>
    </xf>
    <xf numFmtId="0" fontId="94" fillId="0" borderId="0" xfId="0" applyFont="1" applyAlignment="1">
      <alignment horizontal="left"/>
    </xf>
    <xf numFmtId="1" fontId="94" fillId="0" borderId="0" xfId="0" applyNumberFormat="1" applyFont="1" applyAlignment="1">
      <alignment horizontal="center"/>
    </xf>
    <xf numFmtId="0" fontId="94" fillId="31" borderId="39" xfId="0" applyFont="1" applyFill="1" applyBorder="1" applyAlignment="1">
      <alignment vertical="center"/>
    </xf>
    <xf numFmtId="7" fontId="94" fillId="31" borderId="0" xfId="0" applyNumberFormat="1" applyFont="1" applyFill="1" applyAlignment="1">
      <alignment vertical="center"/>
    </xf>
    <xf numFmtId="10" fontId="94" fillId="31" borderId="0" xfId="5" applyNumberFormat="1" applyFont="1" applyFill="1" applyBorder="1" applyAlignment="1">
      <alignment horizontal="center" vertical="center"/>
    </xf>
    <xf numFmtId="10" fontId="94" fillId="31" borderId="39" xfId="5" applyNumberFormat="1" applyFont="1" applyFill="1" applyBorder="1" applyAlignment="1">
      <alignment horizontal="center" vertical="center"/>
    </xf>
    <xf numFmtId="0" fontId="94" fillId="0" borderId="39" xfId="0" applyFont="1" applyBorder="1" applyAlignment="1">
      <alignment vertical="center"/>
    </xf>
    <xf numFmtId="0" fontId="95" fillId="31" borderId="39" xfId="0" applyFont="1" applyFill="1" applyBorder="1" applyAlignment="1">
      <alignment horizontal="center" vertical="center"/>
    </xf>
    <xf numFmtId="0" fontId="94" fillId="0" borderId="11" xfId="0" applyFont="1" applyBorder="1" applyAlignment="1">
      <alignment horizontal="left" indent="4"/>
    </xf>
    <xf numFmtId="0" fontId="94" fillId="0" borderId="11" xfId="0" applyFont="1" applyBorder="1" applyAlignment="1">
      <alignment horizontal="center"/>
    </xf>
    <xf numFmtId="182" fontId="93" fillId="30" borderId="40" xfId="0" applyNumberFormat="1" applyFont="1" applyFill="1" applyBorder="1" applyAlignment="1">
      <alignment horizontal="center" vertical="center"/>
    </xf>
    <xf numFmtId="0" fontId="94" fillId="0" borderId="5" xfId="0" applyFont="1" applyBorder="1" applyAlignment="1">
      <alignment horizontal="center"/>
    </xf>
    <xf numFmtId="180" fontId="93" fillId="30" borderId="41" xfId="0" applyNumberFormat="1" applyFont="1" applyFill="1" applyBorder="1" applyAlignment="1">
      <alignment horizontal="center"/>
    </xf>
    <xf numFmtId="167" fontId="96" fillId="31" borderId="0" xfId="5" applyNumberFormat="1" applyFont="1" applyFill="1" applyBorder="1" applyAlignment="1">
      <alignment horizontal="left" vertical="center"/>
    </xf>
    <xf numFmtId="1" fontId="96" fillId="31" borderId="0" xfId="1" applyNumberFormat="1" applyFont="1" applyFill="1" applyBorder="1" applyAlignment="1">
      <alignment horizontal="center" vertical="center"/>
    </xf>
    <xf numFmtId="0" fontId="96" fillId="31" borderId="0" xfId="0" applyFont="1" applyFill="1" applyAlignment="1">
      <alignment vertical="center"/>
    </xf>
    <xf numFmtId="5" fontId="94" fillId="31" borderId="40" xfId="0" applyNumberFormat="1" applyFont="1" applyFill="1" applyBorder="1" applyAlignment="1">
      <alignment horizontal="center" vertical="center"/>
    </xf>
    <xf numFmtId="0" fontId="97" fillId="0" borderId="9" xfId="0" applyFont="1" applyBorder="1" applyAlignment="1">
      <alignment horizontal="left"/>
    </xf>
    <xf numFmtId="167" fontId="97" fillId="0" borderId="9" xfId="5" applyNumberFormat="1" applyFont="1" applyFill="1" applyBorder="1" applyAlignment="1">
      <alignment horizontal="center"/>
    </xf>
    <xf numFmtId="5" fontId="96" fillId="31" borderId="40" xfId="0" applyNumberFormat="1" applyFont="1" applyFill="1" applyBorder="1" applyAlignment="1">
      <alignment horizontal="center" vertical="center"/>
    </xf>
    <xf numFmtId="0" fontId="97" fillId="0" borderId="0" xfId="0" applyFont="1" applyAlignment="1">
      <alignment horizontal="left"/>
    </xf>
    <xf numFmtId="167" fontId="97" fillId="0" borderId="0" xfId="5" applyNumberFormat="1" applyFont="1" applyFill="1" applyBorder="1" applyAlignment="1">
      <alignment horizontal="center"/>
    </xf>
    <xf numFmtId="179" fontId="97" fillId="0" borderId="0" xfId="5" applyNumberFormat="1" applyFont="1" applyFill="1" applyBorder="1" applyAlignment="1">
      <alignment horizontal="center"/>
    </xf>
    <xf numFmtId="0" fontId="94" fillId="31" borderId="5" xfId="0" applyFont="1" applyFill="1" applyBorder="1" applyAlignment="1">
      <alignment vertical="center"/>
    </xf>
    <xf numFmtId="5" fontId="98" fillId="31" borderId="42" xfId="0" applyNumberFormat="1" applyFont="1" applyFill="1" applyBorder="1" applyAlignment="1">
      <alignment horizontal="center" vertical="center"/>
    </xf>
    <xf numFmtId="184" fontId="94" fillId="0" borderId="5" xfId="0" applyNumberFormat="1" applyFont="1" applyBorder="1" applyAlignment="1">
      <alignment horizontal="center" vertical="center"/>
    </xf>
    <xf numFmtId="184" fontId="94" fillId="31" borderId="5" xfId="0" applyNumberFormat="1" applyFont="1" applyFill="1" applyBorder="1" applyAlignment="1">
      <alignment horizontal="center" vertical="center"/>
    </xf>
    <xf numFmtId="0" fontId="97" fillId="18" borderId="43" xfId="0" applyFont="1" applyFill="1" applyBorder="1" applyAlignment="1">
      <alignment vertical="center"/>
    </xf>
    <xf numFmtId="5" fontId="97" fillId="18" borderId="44" xfId="0" applyNumberFormat="1" applyFont="1" applyFill="1" applyBorder="1" applyAlignment="1">
      <alignment horizontal="center" vertical="center"/>
    </xf>
    <xf numFmtId="184" fontId="95" fillId="18" borderId="45" xfId="0" applyNumberFormat="1" applyFont="1" applyFill="1" applyBorder="1" applyAlignment="1">
      <alignment horizontal="center" vertical="center"/>
    </xf>
    <xf numFmtId="184" fontId="97" fillId="18" borderId="43" xfId="0" applyNumberFormat="1" applyFont="1" applyFill="1" applyBorder="1" applyAlignment="1">
      <alignment horizontal="center" vertical="center"/>
    </xf>
    <xf numFmtId="8" fontId="97" fillId="0" borderId="0" xfId="5" applyNumberFormat="1" applyFont="1" applyFill="1" applyBorder="1" applyAlignment="1">
      <alignment horizontal="center"/>
    </xf>
    <xf numFmtId="0" fontId="97" fillId="0" borderId="0" xfId="0" applyFont="1" applyAlignment="1">
      <alignment vertical="center"/>
    </xf>
    <xf numFmtId="167" fontId="93" fillId="12" borderId="17" xfId="5" applyNumberFormat="1" applyFont="1" applyFill="1" applyBorder="1" applyAlignment="1">
      <alignment horizontal="left" vertical="center"/>
    </xf>
    <xf numFmtId="179" fontId="93" fillId="12" borderId="17" xfId="5" applyNumberFormat="1" applyFont="1" applyFill="1" applyBorder="1" applyAlignment="1">
      <alignment horizontal="center" vertical="center"/>
    </xf>
    <xf numFmtId="41" fontId="93" fillId="30" borderId="31" xfId="0" applyNumberFormat="1" applyFont="1" applyFill="1" applyBorder="1" applyAlignment="1">
      <alignment horizontal="left" vertical="center"/>
    </xf>
    <xf numFmtId="0" fontId="93" fillId="30" borderId="0" xfId="0" applyFont="1" applyFill="1" applyAlignment="1">
      <alignment horizontal="left" vertical="center"/>
    </xf>
    <xf numFmtId="0" fontId="99" fillId="31" borderId="39" xfId="0" applyFont="1" applyFill="1" applyBorder="1" applyAlignment="1">
      <alignment vertical="center"/>
    </xf>
    <xf numFmtId="0" fontId="95" fillId="31" borderId="46" xfId="0" applyFont="1" applyFill="1" applyBorder="1" applyAlignment="1">
      <alignment vertical="center"/>
    </xf>
    <xf numFmtId="0" fontId="95" fillId="18" borderId="47" xfId="0" applyFont="1" applyFill="1" applyBorder="1" applyAlignment="1">
      <alignment vertical="center"/>
    </xf>
    <xf numFmtId="6" fontId="96" fillId="31" borderId="39" xfId="0" applyNumberFormat="1" applyFont="1" applyFill="1" applyBorder="1" applyAlignment="1">
      <alignment horizontal="center" vertical="center"/>
    </xf>
    <xf numFmtId="0" fontId="94" fillId="0" borderId="0" xfId="0" applyFont="1" applyAlignment="1">
      <alignment horizontal="right" vertical="center"/>
    </xf>
    <xf numFmtId="0" fontId="102" fillId="31" borderId="0" xfId="0" applyFont="1" applyFill="1" applyAlignment="1">
      <alignment horizontal="left" vertical="center"/>
    </xf>
    <xf numFmtId="194" fontId="94" fillId="31" borderId="0" xfId="5" applyNumberFormat="1" applyFont="1" applyFill="1" applyBorder="1" applyAlignment="1">
      <alignment vertical="center"/>
    </xf>
    <xf numFmtId="184" fontId="96" fillId="18" borderId="33" xfId="0" applyNumberFormat="1" applyFont="1" applyFill="1" applyBorder="1" applyAlignment="1">
      <alignment horizontal="center" vertical="center"/>
    </xf>
    <xf numFmtId="5" fontId="94" fillId="31" borderId="0" xfId="0" applyNumberFormat="1" applyFont="1" applyFill="1" applyAlignment="1">
      <alignment horizontal="right" vertical="center"/>
    </xf>
    <xf numFmtId="0" fontId="94" fillId="0" borderId="0" xfId="0" applyFont="1" applyAlignment="1">
      <alignment horizontal="left" vertical="center"/>
    </xf>
    <xf numFmtId="0" fontId="94" fillId="31" borderId="0" xfId="0" applyFont="1" applyFill="1" applyAlignment="1">
      <alignment horizontal="left" vertical="center"/>
    </xf>
    <xf numFmtId="0" fontId="95" fillId="18" borderId="48" xfId="0" applyFont="1" applyFill="1" applyBorder="1" applyAlignment="1">
      <alignment vertical="center"/>
    </xf>
    <xf numFmtId="5" fontId="95" fillId="18" borderId="49" xfId="0" applyNumberFormat="1" applyFont="1" applyFill="1" applyBorder="1" applyAlignment="1">
      <alignment horizontal="center" vertical="center"/>
    </xf>
    <xf numFmtId="184" fontId="96" fillId="18" borderId="50" xfId="0" applyNumberFormat="1" applyFont="1" applyFill="1" applyBorder="1" applyAlignment="1">
      <alignment horizontal="center" vertical="center"/>
    </xf>
    <xf numFmtId="184" fontId="95" fillId="18" borderId="50" xfId="0" applyNumberFormat="1" applyFont="1" applyFill="1" applyBorder="1" applyAlignment="1">
      <alignment horizontal="center" vertical="center"/>
    </xf>
    <xf numFmtId="184" fontId="95" fillId="18" borderId="48" xfId="0" applyNumberFormat="1" applyFont="1" applyFill="1" applyBorder="1" applyAlignment="1">
      <alignment horizontal="center" vertical="center"/>
    </xf>
    <xf numFmtId="7" fontId="94" fillId="31" borderId="0" xfId="0" applyNumberFormat="1" applyFont="1" applyFill="1" applyAlignment="1">
      <alignment horizontal="right" vertical="center"/>
    </xf>
    <xf numFmtId="0" fontId="97" fillId="18" borderId="48" xfId="0" applyFont="1" applyFill="1" applyBorder="1" applyAlignment="1">
      <alignment horizontal="left" vertical="center"/>
    </xf>
    <xf numFmtId="184" fontId="97" fillId="18" borderId="48" xfId="0" applyNumberFormat="1" applyFont="1" applyFill="1" applyBorder="1" applyAlignment="1">
      <alignment horizontal="center" vertical="center"/>
    </xf>
    <xf numFmtId="195" fontId="96" fillId="18" borderId="33" xfId="0" applyNumberFormat="1" applyFont="1" applyFill="1" applyBorder="1" applyAlignment="1">
      <alignment horizontal="center" vertical="center"/>
    </xf>
    <xf numFmtId="37" fontId="94" fillId="31" borderId="0" xfId="5" applyNumberFormat="1" applyFont="1" applyFill="1" applyBorder="1" applyAlignment="1">
      <alignment horizontal="right" vertical="center"/>
    </xf>
    <xf numFmtId="184" fontId="96" fillId="31" borderId="0" xfId="0" applyNumberFormat="1" applyFont="1" applyFill="1" applyAlignment="1">
      <alignment horizontal="center" vertical="center"/>
    </xf>
    <xf numFmtId="10" fontId="94" fillId="31" borderId="0" xfId="5" applyNumberFormat="1" applyFont="1" applyFill="1" applyBorder="1" applyAlignment="1">
      <alignment horizontal="right" vertical="center"/>
    </xf>
    <xf numFmtId="5" fontId="97" fillId="31" borderId="0" xfId="0" applyNumberFormat="1" applyFont="1" applyFill="1" applyAlignment="1">
      <alignment horizontal="center" vertical="center"/>
    </xf>
    <xf numFmtId="5" fontId="96" fillId="31" borderId="51" xfId="0" applyNumberFormat="1" applyFont="1" applyFill="1" applyBorder="1" applyAlignment="1">
      <alignment horizontal="center" vertical="center"/>
    </xf>
    <xf numFmtId="10" fontId="97" fillId="31" borderId="0" xfId="5" applyNumberFormat="1" applyFont="1" applyFill="1" applyBorder="1" applyAlignment="1">
      <alignment horizontal="center" vertical="center"/>
    </xf>
    <xf numFmtId="5" fontId="95" fillId="31" borderId="40" xfId="0" applyNumberFormat="1" applyFont="1" applyFill="1" applyBorder="1" applyAlignment="1">
      <alignment vertical="center"/>
    </xf>
    <xf numFmtId="184" fontId="95" fillId="18" borderId="33" xfId="0" applyNumberFormat="1" applyFont="1" applyFill="1" applyBorder="1" applyAlignment="1">
      <alignment vertical="center"/>
    </xf>
    <xf numFmtId="9" fontId="96" fillId="31" borderId="0" xfId="0" applyNumberFormat="1" applyFont="1" applyFill="1" applyAlignment="1">
      <alignment horizontal="center" vertical="center"/>
    </xf>
    <xf numFmtId="167" fontId="97" fillId="31" borderId="0" xfId="0" applyNumberFormat="1" applyFont="1" applyFill="1" applyAlignment="1">
      <alignment horizontal="center" vertical="center"/>
    </xf>
    <xf numFmtId="184" fontId="94" fillId="32" borderId="0" xfId="0" applyNumberFormat="1" applyFont="1" applyFill="1" applyAlignment="1">
      <alignment horizontal="center" vertical="center"/>
    </xf>
    <xf numFmtId="0" fontId="96" fillId="31" borderId="52" xfId="0" applyFont="1" applyFill="1" applyBorder="1" applyAlignment="1">
      <alignment vertical="center"/>
    </xf>
    <xf numFmtId="5" fontId="96" fillId="31" borderId="53" xfId="0" applyNumberFormat="1" applyFont="1" applyFill="1" applyBorder="1" applyAlignment="1">
      <alignment horizontal="center" vertical="center"/>
    </xf>
    <xf numFmtId="184" fontId="96" fillId="18" borderId="54" xfId="0" applyNumberFormat="1" applyFont="1" applyFill="1" applyBorder="1" applyAlignment="1">
      <alignment horizontal="center" vertical="center"/>
    </xf>
    <xf numFmtId="184" fontId="96" fillId="31" borderId="52" xfId="0" applyNumberFormat="1" applyFont="1" applyFill="1" applyBorder="1" applyAlignment="1">
      <alignment horizontal="center" vertical="center"/>
    </xf>
    <xf numFmtId="0" fontId="94" fillId="31" borderId="52" xfId="0" applyFont="1" applyFill="1" applyBorder="1" applyAlignment="1">
      <alignment horizontal="left" vertical="center"/>
    </xf>
    <xf numFmtId="0" fontId="94" fillId="0" borderId="48" xfId="0" applyFont="1" applyBorder="1" applyAlignment="1">
      <alignment horizontal="left" vertical="center"/>
    </xf>
    <xf numFmtId="184" fontId="94" fillId="33" borderId="0" xfId="0" applyNumberFormat="1" applyFont="1" applyFill="1" applyAlignment="1">
      <alignment horizontal="center" vertical="center"/>
    </xf>
    <xf numFmtId="184" fontId="96" fillId="18" borderId="55" xfId="0" applyNumberFormat="1" applyFont="1" applyFill="1" applyBorder="1" applyAlignment="1">
      <alignment horizontal="center" vertical="center"/>
    </xf>
    <xf numFmtId="0" fontId="96" fillId="31" borderId="17" xfId="0" applyFont="1" applyFill="1" applyBorder="1" applyAlignment="1">
      <alignment vertical="center"/>
    </xf>
    <xf numFmtId="5" fontId="96" fillId="31" borderId="41" xfId="0" applyNumberFormat="1" applyFont="1" applyFill="1" applyBorder="1" applyAlignment="1">
      <alignment horizontal="center" vertical="center"/>
    </xf>
    <xf numFmtId="184" fontId="96" fillId="18" borderId="56" xfId="0" applyNumberFormat="1" applyFont="1" applyFill="1" applyBorder="1" applyAlignment="1">
      <alignment horizontal="center" vertical="center"/>
    </xf>
    <xf numFmtId="167" fontId="96" fillId="31" borderId="17" xfId="5" applyNumberFormat="1" applyFont="1" applyFill="1" applyBorder="1" applyAlignment="1">
      <alignment horizontal="center" vertical="center"/>
    </xf>
    <xf numFmtId="37" fontId="94" fillId="31" borderId="0" xfId="0" applyNumberFormat="1" applyFont="1" applyFill="1" applyAlignment="1">
      <alignment horizontal="center" vertical="center"/>
    </xf>
    <xf numFmtId="0" fontId="94" fillId="31" borderId="17" xfId="0" applyFont="1" applyFill="1" applyBorder="1" applyAlignment="1">
      <alignment horizontal="left" vertical="center"/>
    </xf>
    <xf numFmtId="179" fontId="96" fillId="31" borderId="17" xfId="5" applyNumberFormat="1" applyFont="1" applyFill="1" applyBorder="1" applyAlignment="1">
      <alignment horizontal="center" vertical="center"/>
    </xf>
    <xf numFmtId="0" fontId="95" fillId="18" borderId="17" xfId="0" applyFont="1" applyFill="1" applyBorder="1" applyAlignment="1">
      <alignment vertical="center"/>
    </xf>
    <xf numFmtId="5" fontId="95" fillId="18" borderId="41" xfId="0" applyNumberFormat="1" applyFont="1" applyFill="1" applyBorder="1" applyAlignment="1">
      <alignment horizontal="center" vertical="center"/>
    </xf>
    <xf numFmtId="184" fontId="95" fillId="18" borderId="38" xfId="0" applyNumberFormat="1" applyFont="1" applyFill="1" applyBorder="1" applyAlignment="1">
      <alignment horizontal="center" vertical="center"/>
    </xf>
    <xf numFmtId="184" fontId="95" fillId="18" borderId="17" xfId="0" applyNumberFormat="1" applyFont="1" applyFill="1" applyBorder="1" applyAlignment="1">
      <alignment horizontal="center" vertical="center"/>
    </xf>
    <xf numFmtId="0" fontId="97" fillId="18" borderId="17" xfId="0" applyFont="1" applyFill="1" applyBorder="1" applyAlignment="1">
      <alignment horizontal="left" vertical="center"/>
    </xf>
    <xf numFmtId="184" fontId="97" fillId="18" borderId="17" xfId="0" applyNumberFormat="1" applyFont="1" applyFill="1" applyBorder="1" applyAlignment="1">
      <alignment horizontal="center" vertical="center"/>
    </xf>
    <xf numFmtId="5" fontId="96" fillId="31" borderId="46" xfId="0" applyNumberFormat="1" applyFont="1" applyFill="1" applyBorder="1" applyAlignment="1">
      <alignment horizontal="center" vertical="center"/>
    </xf>
    <xf numFmtId="37" fontId="96" fillId="31" borderId="40" xfId="0" applyNumberFormat="1" applyFont="1" applyFill="1" applyBorder="1" applyAlignment="1">
      <alignment horizontal="center" vertical="center"/>
    </xf>
    <xf numFmtId="167" fontId="96" fillId="31" borderId="0" xfId="0" applyNumberFormat="1" applyFont="1" applyFill="1" applyAlignment="1">
      <alignment horizontal="center" vertical="center"/>
    </xf>
    <xf numFmtId="167" fontId="94" fillId="31" borderId="0" xfId="0" applyNumberFormat="1" applyFont="1" applyFill="1" applyAlignment="1">
      <alignment horizontal="center" vertical="center"/>
    </xf>
    <xf numFmtId="167" fontId="96" fillId="31" borderId="53" xfId="0" applyNumberFormat="1" applyFont="1" applyFill="1" applyBorder="1" applyAlignment="1">
      <alignment horizontal="center" vertical="center"/>
    </xf>
    <xf numFmtId="167" fontId="96" fillId="31" borderId="52" xfId="0" applyNumberFormat="1" applyFont="1" applyFill="1" applyBorder="1" applyAlignment="1">
      <alignment horizontal="center" vertical="center"/>
    </xf>
    <xf numFmtId="10" fontId="94" fillId="31" borderId="0" xfId="0" applyNumberFormat="1" applyFont="1" applyFill="1" applyAlignment="1">
      <alignment horizontal="center" vertical="center"/>
    </xf>
    <xf numFmtId="0" fontId="94" fillId="31" borderId="52" xfId="0" applyFont="1" applyFill="1" applyBorder="1" applyAlignment="1">
      <alignment vertical="center"/>
    </xf>
    <xf numFmtId="10" fontId="96" fillId="31" borderId="40" xfId="0" applyNumberFormat="1" applyFont="1" applyFill="1" applyBorder="1" applyAlignment="1">
      <alignment vertical="center"/>
    </xf>
    <xf numFmtId="184" fontId="96" fillId="18" borderId="33" xfId="0" applyNumberFormat="1" applyFont="1" applyFill="1" applyBorder="1" applyAlignment="1">
      <alignment vertical="center"/>
    </xf>
    <xf numFmtId="8" fontId="96" fillId="31" borderId="0" xfId="5" applyNumberFormat="1" applyFont="1" applyFill="1" applyBorder="1" applyAlignment="1">
      <alignment horizontal="center" vertical="center"/>
    </xf>
    <xf numFmtId="167" fontId="96" fillId="31" borderId="0" xfId="5" applyNumberFormat="1" applyFont="1" applyFill="1" applyBorder="1" applyAlignment="1">
      <alignment horizontal="center" vertical="center"/>
    </xf>
    <xf numFmtId="10" fontId="94" fillId="0" borderId="0" xfId="5" applyNumberFormat="1" applyFont="1" applyFill="1" applyBorder="1" applyAlignment="1">
      <alignment vertical="center"/>
    </xf>
    <xf numFmtId="10" fontId="94" fillId="0" borderId="57" xfId="5" applyNumberFormat="1" applyFont="1" applyFill="1" applyBorder="1" applyAlignment="1">
      <alignment vertical="center"/>
    </xf>
    <xf numFmtId="0" fontId="99" fillId="31" borderId="0" xfId="0" applyFont="1" applyFill="1" applyAlignment="1">
      <alignment vertical="center"/>
    </xf>
    <xf numFmtId="0" fontId="95" fillId="31" borderId="40" xfId="0" applyFont="1" applyFill="1" applyBorder="1" applyAlignment="1">
      <alignment vertical="center"/>
    </xf>
    <xf numFmtId="8" fontId="96" fillId="31" borderId="0" xfId="0" applyNumberFormat="1" applyFont="1" applyFill="1" applyAlignment="1">
      <alignment vertical="center"/>
    </xf>
    <xf numFmtId="41" fontId="96" fillId="31" borderId="0" xfId="0" applyNumberFormat="1" applyFont="1" applyFill="1" applyAlignment="1">
      <alignment vertical="center"/>
    </xf>
    <xf numFmtId="194" fontId="94" fillId="0" borderId="0" xfId="5" applyNumberFormat="1" applyFont="1" applyFill="1" applyBorder="1" applyAlignment="1">
      <alignment vertical="center"/>
    </xf>
    <xf numFmtId="5" fontId="94" fillId="31" borderId="0" xfId="0" applyNumberFormat="1" applyFont="1" applyFill="1" applyAlignment="1">
      <alignment horizontal="center" vertical="center"/>
    </xf>
    <xf numFmtId="37" fontId="94" fillId="31" borderId="0" xfId="5" applyNumberFormat="1" applyFont="1" applyFill="1" applyBorder="1" applyAlignment="1">
      <alignment horizontal="center" vertical="center"/>
    </xf>
    <xf numFmtId="196" fontId="96" fillId="18" borderId="33" xfId="0" applyNumberFormat="1" applyFont="1" applyFill="1" applyBorder="1" applyAlignment="1">
      <alignment horizontal="center" vertical="center"/>
    </xf>
    <xf numFmtId="37" fontId="97" fillId="31" borderId="0" xfId="5" applyNumberFormat="1" applyFont="1" applyFill="1" applyBorder="1" applyAlignment="1">
      <alignment horizontal="center" vertical="center"/>
    </xf>
    <xf numFmtId="0" fontId="96" fillId="31" borderId="58" xfId="0" applyFont="1" applyFill="1" applyBorder="1" applyAlignment="1">
      <alignment vertical="center"/>
    </xf>
    <xf numFmtId="5" fontId="96" fillId="31" borderId="49" xfId="0" applyNumberFormat="1" applyFont="1" applyFill="1" applyBorder="1" applyAlignment="1">
      <alignment horizontal="center" vertical="center"/>
    </xf>
    <xf numFmtId="5" fontId="96" fillId="31" borderId="48" xfId="0" applyNumberFormat="1" applyFont="1" applyFill="1" applyBorder="1" applyAlignment="1">
      <alignment horizontal="center" vertical="center"/>
    </xf>
    <xf numFmtId="5" fontId="96" fillId="31" borderId="48" xfId="5" applyNumberFormat="1" applyFont="1" applyFill="1" applyBorder="1" applyAlignment="1">
      <alignment horizontal="center" vertical="center"/>
    </xf>
    <xf numFmtId="0" fontId="94" fillId="31" borderId="48" xfId="0" applyFont="1" applyFill="1" applyBorder="1" applyAlignment="1">
      <alignment horizontal="left" vertical="center"/>
    </xf>
    <xf numFmtId="197" fontId="96" fillId="18" borderId="33" xfId="0" applyNumberFormat="1" applyFont="1" applyFill="1" applyBorder="1" applyAlignment="1">
      <alignment horizontal="center" vertical="center"/>
    </xf>
    <xf numFmtId="7" fontId="96" fillId="31" borderId="40" xfId="0" applyNumberFormat="1" applyFont="1" applyFill="1" applyBorder="1" applyAlignment="1">
      <alignment horizontal="center" vertical="center"/>
    </xf>
    <xf numFmtId="7" fontId="96" fillId="18" borderId="33" xfId="0" applyNumberFormat="1" applyFont="1" applyFill="1" applyBorder="1" applyAlignment="1">
      <alignment horizontal="center" vertical="center"/>
    </xf>
    <xf numFmtId="7" fontId="96" fillId="31" borderId="0" xfId="0" applyNumberFormat="1" applyFont="1" applyFill="1" applyAlignment="1">
      <alignment horizontal="center" vertical="center"/>
    </xf>
    <xf numFmtId="7" fontId="94" fillId="31" borderId="0" xfId="0" applyNumberFormat="1" applyFont="1" applyFill="1" applyAlignment="1">
      <alignment horizontal="center" vertical="center"/>
    </xf>
    <xf numFmtId="9" fontId="94" fillId="31" borderId="0" xfId="0" applyNumberFormat="1" applyFont="1" applyFill="1" applyAlignment="1">
      <alignment horizontal="center" vertical="center"/>
    </xf>
    <xf numFmtId="0" fontId="95" fillId="31" borderId="0" xfId="0" applyFont="1" applyFill="1" applyAlignment="1">
      <alignment vertical="center"/>
    </xf>
    <xf numFmtId="6" fontId="95" fillId="31" borderId="0" xfId="0" applyNumberFormat="1" applyFont="1" applyFill="1" applyAlignment="1">
      <alignment horizontal="center" vertical="center"/>
    </xf>
    <xf numFmtId="42" fontId="97" fillId="31" borderId="0" xfId="0" applyNumberFormat="1" applyFont="1" applyFill="1" applyAlignment="1">
      <alignment vertical="center"/>
    </xf>
    <xf numFmtId="0" fontId="95" fillId="18" borderId="59" xfId="0" applyFont="1" applyFill="1" applyBorder="1" applyAlignment="1">
      <alignment vertical="center"/>
    </xf>
    <xf numFmtId="5" fontId="95" fillId="18" borderId="60" xfId="0" applyNumberFormat="1" applyFont="1" applyFill="1" applyBorder="1" applyAlignment="1">
      <alignment horizontal="center" vertical="center"/>
    </xf>
    <xf numFmtId="184" fontId="95" fillId="18" borderId="61" xfId="0" applyNumberFormat="1" applyFont="1" applyFill="1" applyBorder="1" applyAlignment="1">
      <alignment horizontal="center" vertical="center"/>
    </xf>
    <xf numFmtId="184" fontId="95" fillId="18" borderId="59" xfId="0" applyNumberFormat="1" applyFont="1" applyFill="1" applyBorder="1" applyAlignment="1">
      <alignment horizontal="center" vertical="center"/>
    </xf>
    <xf numFmtId="184" fontId="95" fillId="18" borderId="59" xfId="5" applyNumberFormat="1" applyFont="1" applyFill="1" applyBorder="1" applyAlignment="1">
      <alignment horizontal="center" vertical="center"/>
    </xf>
    <xf numFmtId="0" fontId="97" fillId="18" borderId="59" xfId="0" applyFont="1" applyFill="1" applyBorder="1" applyAlignment="1">
      <alignment horizontal="left" vertical="center"/>
    </xf>
    <xf numFmtId="184" fontId="97" fillId="18" borderId="59" xfId="5" applyNumberFormat="1" applyFont="1" applyFill="1" applyBorder="1" applyAlignment="1">
      <alignment horizontal="center" vertical="center"/>
    </xf>
    <xf numFmtId="0" fontId="94" fillId="0" borderId="0" xfId="0" applyFont="1" applyAlignment="1">
      <alignment horizontal="right"/>
    </xf>
    <xf numFmtId="10" fontId="96" fillId="31" borderId="0" xfId="5" applyNumberFormat="1" applyFont="1" applyFill="1" applyBorder="1" applyAlignment="1">
      <alignment horizontal="center" vertical="center"/>
    </xf>
    <xf numFmtId="7" fontId="94" fillId="0" borderId="0" xfId="0" applyNumberFormat="1" applyFont="1"/>
    <xf numFmtId="0" fontId="97" fillId="31" borderId="0" xfId="0" applyFont="1" applyFill="1" applyAlignment="1">
      <alignment horizontal="right" vertical="center"/>
    </xf>
    <xf numFmtId="41" fontId="100" fillId="31" borderId="0" xfId="0" applyNumberFormat="1" applyFont="1" applyFill="1" applyAlignment="1">
      <alignment vertical="center"/>
    </xf>
    <xf numFmtId="10" fontId="97" fillId="31" borderId="0" xfId="0" applyNumberFormat="1" applyFont="1" applyFill="1" applyAlignment="1">
      <alignment horizontal="right" vertical="center"/>
    </xf>
    <xf numFmtId="0" fontId="93" fillId="31" borderId="0" xfId="0" applyFont="1" applyFill="1" applyAlignment="1">
      <alignment horizontal="center" vertical="center"/>
    </xf>
    <xf numFmtId="0" fontId="97" fillId="31" borderId="58" xfId="0" applyFont="1" applyFill="1" applyBorder="1" applyAlignment="1">
      <alignment vertical="center"/>
    </xf>
    <xf numFmtId="7" fontId="95" fillId="31" borderId="48" xfId="0" applyNumberFormat="1" applyFont="1" applyFill="1" applyBorder="1" applyAlignment="1">
      <alignment horizontal="center" vertical="center"/>
    </xf>
    <xf numFmtId="7" fontId="101" fillId="31" borderId="48" xfId="0" applyNumberFormat="1" applyFont="1" applyFill="1" applyBorder="1" applyAlignment="1">
      <alignment horizontal="center" vertical="center"/>
    </xf>
    <xf numFmtId="7" fontId="97" fillId="31" borderId="48" xfId="0" applyNumberFormat="1" applyFont="1" applyFill="1" applyBorder="1" applyAlignment="1">
      <alignment horizontal="center" vertical="center"/>
    </xf>
    <xf numFmtId="7" fontId="97" fillId="31" borderId="62" xfId="0" applyNumberFormat="1" applyFont="1" applyFill="1" applyBorder="1" applyAlignment="1">
      <alignment horizontal="center" vertical="center"/>
    </xf>
    <xf numFmtId="10" fontId="94" fillId="31" borderId="0" xfId="0" applyNumberFormat="1" applyFont="1" applyFill="1" applyAlignment="1">
      <alignment vertical="center"/>
    </xf>
    <xf numFmtId="184" fontId="94" fillId="0" borderId="0" xfId="0" applyNumberFormat="1" applyFont="1"/>
    <xf numFmtId="0" fontId="97" fillId="18" borderId="63" xfId="0" applyFont="1" applyFill="1" applyBorder="1" applyAlignment="1">
      <alignment vertical="center"/>
    </xf>
    <xf numFmtId="184" fontId="95" fillId="18" borderId="64" xfId="0" applyNumberFormat="1" applyFont="1" applyFill="1" applyBorder="1" applyAlignment="1">
      <alignment horizontal="center" vertical="center"/>
    </xf>
    <xf numFmtId="183" fontId="66" fillId="12" borderId="11" xfId="0" applyNumberFormat="1" applyFont="1" applyFill="1" applyBorder="1" applyAlignment="1">
      <alignment horizontal="right" vertical="center"/>
    </xf>
    <xf numFmtId="167" fontId="93" fillId="12" borderId="0" xfId="5" applyNumberFormat="1" applyFont="1" applyFill="1" applyBorder="1" applyAlignment="1">
      <alignment horizontal="left" vertical="center"/>
    </xf>
    <xf numFmtId="192" fontId="93" fillId="30" borderId="0" xfId="0" applyNumberFormat="1" applyFont="1" applyFill="1" applyAlignment="1">
      <alignment horizontal="center" vertical="center"/>
    </xf>
    <xf numFmtId="180" fontId="93" fillId="30" borderId="0" xfId="0" applyNumberFormat="1" applyFont="1" applyFill="1" applyAlignment="1">
      <alignment horizontal="center"/>
    </xf>
    <xf numFmtId="198" fontId="26" fillId="11" borderId="11" xfId="0" applyNumberFormat="1" applyFont="1" applyFill="1" applyBorder="1" applyAlignment="1">
      <alignment horizontal="right"/>
    </xf>
    <xf numFmtId="5" fontId="103" fillId="0" borderId="7" xfId="7" applyNumberFormat="1" applyFont="1" applyBorder="1"/>
    <xf numFmtId="9" fontId="103" fillId="0" borderId="7" xfId="7" applyNumberFormat="1" applyFont="1" applyBorder="1"/>
    <xf numFmtId="167" fontId="103" fillId="0" borderId="8" xfId="5" applyNumberFormat="1" applyFont="1" applyFill="1" applyBorder="1"/>
    <xf numFmtId="5" fontId="28" fillId="0" borderId="7" xfId="0" applyNumberFormat="1" applyFont="1" applyBorder="1"/>
    <xf numFmtId="198" fontId="5" fillId="29" borderId="7" xfId="0" applyNumberFormat="1" applyFont="1" applyFill="1" applyBorder="1" applyAlignment="1">
      <alignment horizontal="center"/>
    </xf>
    <xf numFmtId="167" fontId="28" fillId="0" borderId="7" xfId="0" applyNumberFormat="1" applyFont="1" applyBorder="1"/>
    <xf numFmtId="199" fontId="34" fillId="0" borderId="0" xfId="0" applyNumberFormat="1" applyFont="1" applyAlignment="1">
      <alignment vertical="top" shrinkToFit="1"/>
    </xf>
    <xf numFmtId="0" fontId="31" fillId="0" borderId="0" xfId="0" applyFont="1" applyAlignment="1">
      <alignment vertical="top"/>
    </xf>
    <xf numFmtId="0" fontId="9" fillId="0" borderId="0" xfId="0" applyFont="1" applyAlignment="1">
      <alignment vertical="top"/>
    </xf>
    <xf numFmtId="0" fontId="5" fillId="0" borderId="0" xfId="0" applyFont="1" applyAlignment="1">
      <alignment vertical="top"/>
    </xf>
    <xf numFmtId="0" fontId="31" fillId="0" borderId="0" xfId="0" applyFont="1"/>
    <xf numFmtId="199" fontId="31" fillId="0" borderId="0" xfId="0" applyNumberFormat="1" applyFont="1" applyAlignment="1">
      <alignment vertical="top" shrinkToFit="1"/>
    </xf>
    <xf numFmtId="0" fontId="31" fillId="0" borderId="0" xfId="0" applyFont="1" applyAlignment="1">
      <alignment horizontal="left" vertical="top"/>
    </xf>
    <xf numFmtId="0" fontId="26" fillId="3" borderId="0" xfId="0" applyFont="1" applyFill="1" applyAlignment="1">
      <alignment horizontal="left" vertical="center"/>
    </xf>
    <xf numFmtId="0" fontId="26" fillId="3" borderId="0" xfId="0" applyFont="1" applyFill="1" applyAlignment="1">
      <alignment vertical="center"/>
    </xf>
    <xf numFmtId="0" fontId="26" fillId="3" borderId="0" xfId="0" applyFont="1" applyFill="1" applyAlignment="1">
      <alignment horizontal="center" vertical="center"/>
    </xf>
    <xf numFmtId="0" fontId="26" fillId="3" borderId="0" xfId="0" applyFont="1" applyFill="1" applyAlignment="1">
      <alignment horizontal="left"/>
    </xf>
    <xf numFmtId="0" fontId="26" fillId="3" borderId="0" xfId="0" applyFont="1" applyFill="1" applyAlignment="1">
      <alignment vertical="top"/>
    </xf>
    <xf numFmtId="0" fontId="5" fillId="5" borderId="11" xfId="0" applyFont="1" applyFill="1" applyBorder="1" applyAlignment="1">
      <alignment vertical="top"/>
    </xf>
    <xf numFmtId="199" fontId="34" fillId="5" borderId="11" xfId="0" applyNumberFormat="1" applyFont="1" applyFill="1" applyBorder="1" applyAlignment="1">
      <alignment vertical="top" shrinkToFit="1"/>
    </xf>
    <xf numFmtId="0" fontId="5" fillId="16" borderId="0" xfId="0" applyFont="1" applyFill="1" applyAlignment="1">
      <alignment vertical="top"/>
    </xf>
    <xf numFmtId="199" fontId="34" fillId="16" borderId="0" xfId="0" applyNumberFormat="1" applyFont="1" applyFill="1" applyAlignment="1">
      <alignment vertical="top" shrinkToFit="1"/>
    </xf>
    <xf numFmtId="0" fontId="26" fillId="3" borderId="65" xfId="0" applyFont="1" applyFill="1" applyBorder="1" applyAlignment="1">
      <alignment vertical="center"/>
    </xf>
    <xf numFmtId="14" fontId="26" fillId="3" borderId="0" xfId="0" applyNumberFormat="1" applyFont="1" applyFill="1" applyAlignment="1">
      <alignment vertical="top"/>
    </xf>
    <xf numFmtId="199" fontId="31" fillId="0" borderId="5" xfId="0" applyNumberFormat="1" applyFont="1" applyBorder="1" applyAlignment="1">
      <alignment vertical="top" shrinkToFit="1"/>
    </xf>
    <xf numFmtId="167" fontId="5" fillId="5" borderId="0" xfId="7" applyNumberFormat="1" applyFont="1" applyFill="1"/>
    <xf numFmtId="167" fontId="9" fillId="0" borderId="7" xfId="0" applyNumberFormat="1" applyFont="1" applyBorder="1"/>
    <xf numFmtId="37" fontId="9" fillId="2" borderId="9" xfId="6" quotePrefix="1" applyFont="1" applyFill="1" applyBorder="1" applyAlignment="1">
      <alignment horizontal="right" vertical="center"/>
    </xf>
    <xf numFmtId="14" fontId="93" fillId="30" borderId="0" xfId="0" applyNumberFormat="1" applyFont="1" applyFill="1" applyAlignment="1">
      <alignment vertical="center"/>
    </xf>
    <xf numFmtId="0" fontId="26" fillId="11" borderId="0" xfId="0" applyFont="1" applyFill="1" applyAlignment="1">
      <alignment horizontal="right"/>
    </xf>
    <xf numFmtId="181" fontId="26" fillId="11" borderId="0" xfId="0" applyNumberFormat="1" applyFont="1" applyFill="1"/>
    <xf numFmtId="0" fontId="104" fillId="3" borderId="8" xfId="8" applyFont="1" applyFill="1" applyBorder="1"/>
    <xf numFmtId="9" fontId="105" fillId="5" borderId="9" xfId="8" applyNumberFormat="1" applyFont="1" applyFill="1" applyBorder="1"/>
    <xf numFmtId="9" fontId="105" fillId="5" borderId="10" xfId="8" applyNumberFormat="1" applyFont="1" applyFill="1" applyBorder="1"/>
    <xf numFmtId="170" fontId="103" fillId="0" borderId="7" xfId="7" applyNumberFormat="1" applyFont="1" applyBorder="1"/>
    <xf numFmtId="2" fontId="103" fillId="0" borderId="0" xfId="7" applyNumberFormat="1" applyFont="1"/>
    <xf numFmtId="5" fontId="39" fillId="0" borderId="7" xfId="2" applyNumberFormat="1" applyFont="1" applyFill="1" applyBorder="1" applyProtection="1">
      <protection locked="0"/>
    </xf>
    <xf numFmtId="37" fontId="39" fillId="0" borderId="7" xfId="2" applyNumberFormat="1" applyFont="1" applyFill="1" applyBorder="1" applyProtection="1">
      <protection locked="0"/>
    </xf>
    <xf numFmtId="5" fontId="69" fillId="0" borderId="7" xfId="4" applyNumberFormat="1" applyFont="1" applyFill="1" applyBorder="1" applyProtection="1"/>
    <xf numFmtId="42" fontId="69" fillId="0" borderId="0" xfId="4" applyFont="1" applyFill="1" applyBorder="1" applyProtection="1"/>
    <xf numFmtId="37" fontId="39" fillId="0" borderId="7" xfId="7" applyFont="1" applyBorder="1" applyProtection="1">
      <protection locked="0"/>
    </xf>
    <xf numFmtId="5" fontId="39" fillId="2" borderId="7" xfId="6" quotePrefix="1" applyNumberFormat="1" applyFont="1" applyFill="1" applyBorder="1" applyAlignment="1">
      <alignment horizontal="right"/>
    </xf>
    <xf numFmtId="5" fontId="69" fillId="0" borderId="7" xfId="7" applyNumberFormat="1" applyFont="1" applyBorder="1" applyProtection="1">
      <protection locked="0"/>
    </xf>
    <xf numFmtId="7" fontId="106" fillId="0" borderId="9" xfId="6" applyNumberFormat="1" applyFont="1" applyBorder="1" applyAlignment="1" applyProtection="1">
      <alignment vertical="top"/>
      <protection locked="0"/>
    </xf>
    <xf numFmtId="37" fontId="39" fillId="0" borderId="0" xfId="7" applyFont="1"/>
    <xf numFmtId="7" fontId="69" fillId="0" borderId="0" xfId="7" applyNumberFormat="1" applyFont="1"/>
    <xf numFmtId="14" fontId="107" fillId="0" borderId="7" xfId="7" applyNumberFormat="1" applyFont="1" applyBorder="1" applyAlignment="1">
      <alignment horizontal="center"/>
    </xf>
    <xf numFmtId="14" fontId="47" fillId="0" borderId="7" xfId="7" applyNumberFormat="1" applyFont="1" applyBorder="1" applyAlignment="1">
      <alignment horizontal="center"/>
    </xf>
    <xf numFmtId="0" fontId="109" fillId="0" borderId="0" xfId="0" applyFont="1" applyAlignment="1">
      <alignment vertical="top" wrapText="1"/>
    </xf>
    <xf numFmtId="0" fontId="108" fillId="0" borderId="66" xfId="0" applyFont="1" applyBorder="1" applyAlignment="1">
      <alignment horizontal="center" vertical="center" wrapText="1"/>
    </xf>
    <xf numFmtId="0" fontId="109" fillId="0" borderId="66" xfId="0" applyFont="1" applyBorder="1" applyAlignment="1">
      <alignment vertical="top" wrapText="1"/>
    </xf>
    <xf numFmtId="200" fontId="109" fillId="0" borderId="66" xfId="0" applyNumberFormat="1" applyFont="1" applyBorder="1" applyAlignment="1">
      <alignment horizontal="center" vertical="top" wrapText="1"/>
    </xf>
    <xf numFmtId="200" fontId="109" fillId="0" borderId="66" xfId="0" applyNumberFormat="1" applyFont="1" applyBorder="1" applyAlignment="1">
      <alignment horizontal="right" vertical="top" wrapText="1"/>
    </xf>
    <xf numFmtId="0" fontId="108" fillId="0" borderId="66" xfId="0" applyFont="1" applyBorder="1" applyAlignment="1">
      <alignment vertical="top" wrapText="1"/>
    </xf>
    <xf numFmtId="200" fontId="108" fillId="0" borderId="66" xfId="0" applyNumberFormat="1" applyFont="1" applyBorder="1" applyAlignment="1">
      <alignment horizontal="center" vertical="top" wrapText="1"/>
    </xf>
    <xf numFmtId="0" fontId="108" fillId="0" borderId="66" xfId="0" applyFont="1" applyBorder="1" applyAlignment="1">
      <alignment horizontal="center" vertical="top" wrapText="1"/>
    </xf>
    <xf numFmtId="37" fontId="25" fillId="0" borderId="7" xfId="7" applyFont="1" applyBorder="1"/>
    <xf numFmtId="9" fontId="0" fillId="0" borderId="0" xfId="0" applyNumberFormat="1"/>
    <xf numFmtId="0" fontId="5" fillId="0" borderId="0" xfId="0" applyFont="1" applyAlignment="1">
      <alignment horizontal="center"/>
    </xf>
    <xf numFmtId="6" fontId="28" fillId="0" borderId="0" xfId="0" applyNumberFormat="1" applyFont="1"/>
    <xf numFmtId="10" fontId="9" fillId="0" borderId="0" xfId="0" applyNumberFormat="1" applyFont="1"/>
    <xf numFmtId="43" fontId="0" fillId="0" borderId="0" xfId="1" applyFont="1" applyFill="1" applyBorder="1"/>
    <xf numFmtId="43" fontId="0" fillId="0" borderId="0" xfId="0" applyNumberFormat="1"/>
    <xf numFmtId="0" fontId="28" fillId="0" borderId="7" xfId="0" applyFont="1" applyBorder="1" applyAlignment="1">
      <alignment horizontal="center"/>
    </xf>
    <xf numFmtId="0" fontId="9" fillId="29" borderId="0" xfId="8" applyFill="1"/>
    <xf numFmtId="0" fontId="23" fillId="29" borderId="0" xfId="0" applyFont="1" applyFill="1" applyAlignment="1">
      <alignment horizontal="center" vertical="center"/>
    </xf>
    <xf numFmtId="0" fontId="23" fillId="29" borderId="0" xfId="0" applyFont="1" applyFill="1" applyAlignment="1">
      <alignment horizontal="left" vertical="center"/>
    </xf>
    <xf numFmtId="0" fontId="23" fillId="29" borderId="18" xfId="0" applyFont="1" applyFill="1" applyBorder="1" applyAlignment="1">
      <alignment horizontal="center" vertical="center"/>
    </xf>
    <xf numFmtId="0" fontId="24" fillId="29" borderId="0" xfId="0" applyFont="1" applyFill="1" applyAlignment="1">
      <alignment horizontal="center" vertical="center"/>
    </xf>
    <xf numFmtId="0" fontId="110" fillId="29" borderId="0" xfId="0" applyFont="1" applyFill="1" applyAlignment="1">
      <alignment horizontal="left"/>
    </xf>
    <xf numFmtId="0" fontId="24" fillId="29" borderId="0" xfId="0" applyFont="1" applyFill="1" applyAlignment="1">
      <alignment horizontal="right" vertical="center"/>
    </xf>
    <xf numFmtId="0" fontId="111" fillId="29" borderId="0" xfId="0" applyFont="1" applyFill="1" applyAlignment="1">
      <alignment horizontal="left"/>
    </xf>
    <xf numFmtId="0" fontId="111" fillId="29" borderId="70" xfId="0" applyFont="1" applyFill="1" applyBorder="1" applyAlignment="1">
      <alignment horizontal="right"/>
    </xf>
    <xf numFmtId="0" fontId="112" fillId="29" borderId="0" xfId="0" applyFont="1" applyFill="1" applyAlignment="1">
      <alignment horizontal="left"/>
    </xf>
    <xf numFmtId="4" fontId="24" fillId="29" borderId="0" xfId="0" applyNumberFormat="1" applyFont="1" applyFill="1" applyAlignment="1">
      <alignment horizontal="right" vertical="center"/>
    </xf>
    <xf numFmtId="201" fontId="110" fillId="29" borderId="0" xfId="0" applyNumberFormat="1" applyFont="1" applyFill="1" applyAlignment="1">
      <alignment horizontal="right"/>
    </xf>
    <xf numFmtId="4" fontId="9" fillId="29" borderId="0" xfId="8" applyNumberFormat="1" applyFill="1"/>
    <xf numFmtId="9" fontId="9" fillId="29" borderId="0" xfId="8" applyNumberFormat="1" applyFill="1"/>
    <xf numFmtId="9" fontId="24" fillId="29" borderId="0" xfId="0" applyNumberFormat="1" applyFont="1" applyFill="1" applyAlignment="1">
      <alignment horizontal="right" vertical="center"/>
    </xf>
    <xf numFmtId="0" fontId="57" fillId="29" borderId="0" xfId="8" applyFont="1" applyFill="1"/>
    <xf numFmtId="0" fontId="0" fillId="29" borderId="0" xfId="0" applyFill="1"/>
    <xf numFmtId="0" fontId="24" fillId="35" borderId="0" xfId="0" applyFont="1" applyFill="1" applyAlignment="1">
      <alignment horizontal="center" vertical="center"/>
    </xf>
    <xf numFmtId="0" fontId="110" fillId="35" borderId="0" xfId="0" applyFont="1" applyFill="1" applyAlignment="1">
      <alignment horizontal="left"/>
    </xf>
    <xf numFmtId="0" fontId="21" fillId="29" borderId="0" xfId="0" applyFont="1" applyFill="1" applyAlignment="1">
      <alignment horizontal="center" vertical="center"/>
    </xf>
    <xf numFmtId="0" fontId="21" fillId="29" borderId="0" xfId="0" applyFont="1" applyFill="1" applyAlignment="1">
      <alignment vertical="center"/>
    </xf>
    <xf numFmtId="0" fontId="20" fillId="29" borderId="0" xfId="0" applyFont="1" applyFill="1" applyAlignment="1">
      <alignment vertical="center"/>
    </xf>
    <xf numFmtId="0" fontId="110" fillId="29" borderId="0" xfId="0" applyFont="1" applyFill="1"/>
    <xf numFmtId="0" fontId="112" fillId="35" borderId="5" xfId="0" applyFont="1" applyFill="1" applyBorder="1" applyAlignment="1">
      <alignment horizontal="left"/>
    </xf>
    <xf numFmtId="0" fontId="5" fillId="35" borderId="7" xfId="0" applyFont="1" applyFill="1" applyBorder="1"/>
    <xf numFmtId="0" fontId="5" fillId="35" borderId="5" xfId="0" applyFont="1" applyFill="1" applyBorder="1"/>
    <xf numFmtId="0" fontId="28" fillId="35" borderId="0" xfId="0" applyFont="1" applyFill="1"/>
    <xf numFmtId="0" fontId="5" fillId="35" borderId="0" xfId="8" applyFont="1" applyFill="1"/>
    <xf numFmtId="0" fontId="25" fillId="29" borderId="0" xfId="8" applyFont="1" applyFill="1"/>
    <xf numFmtId="4" fontId="25" fillId="29" borderId="0" xfId="8" applyNumberFormat="1" applyFont="1" applyFill="1"/>
    <xf numFmtId="0" fontId="103" fillId="29" borderId="71" xfId="8" applyFont="1" applyFill="1" applyBorder="1"/>
    <xf numFmtId="0" fontId="103" fillId="36" borderId="71" xfId="8" applyFont="1" applyFill="1" applyBorder="1"/>
    <xf numFmtId="0" fontId="24" fillId="35" borderId="0" xfId="0" applyFont="1" applyFill="1" applyAlignment="1">
      <alignment horizontal="right" vertical="center"/>
    </xf>
    <xf numFmtId="0" fontId="59" fillId="35" borderId="0" xfId="0" applyFont="1" applyFill="1" applyAlignment="1">
      <alignment horizontal="center" vertical="center"/>
    </xf>
    <xf numFmtId="0" fontId="28" fillId="35" borderId="0" xfId="0" applyFont="1" applyFill="1" applyAlignment="1">
      <alignment horizontal="left"/>
    </xf>
    <xf numFmtId="0" fontId="9" fillId="29" borderId="33" xfId="0" applyFont="1" applyFill="1" applyBorder="1"/>
    <xf numFmtId="0" fontId="9" fillId="29" borderId="6" xfId="0" applyFont="1" applyFill="1" applyBorder="1"/>
    <xf numFmtId="43" fontId="9" fillId="29" borderId="0" xfId="16" applyFont="1" applyFill="1"/>
    <xf numFmtId="186" fontId="103" fillId="29" borderId="71" xfId="8" applyNumberFormat="1" applyFont="1" applyFill="1" applyBorder="1"/>
    <xf numFmtId="179" fontId="103" fillId="29" borderId="71" xfId="8" applyNumberFormat="1" applyFont="1" applyFill="1" applyBorder="1"/>
    <xf numFmtId="179" fontId="25" fillId="29" borderId="0" xfId="8" applyNumberFormat="1" applyFont="1" applyFill="1"/>
    <xf numFmtId="43" fontId="110" fillId="29" borderId="0" xfId="1" applyFont="1" applyFill="1" applyAlignment="1"/>
    <xf numFmtId="43" fontId="9" fillId="29" borderId="0" xfId="1" applyFill="1"/>
    <xf numFmtId="175" fontId="9" fillId="29" borderId="0" xfId="1" applyNumberFormat="1" applyFill="1"/>
    <xf numFmtId="175" fontId="9" fillId="29" borderId="0" xfId="8" applyNumberFormat="1" applyFill="1"/>
    <xf numFmtId="43" fontId="9" fillId="29" borderId="0" xfId="8" applyNumberFormat="1" applyFill="1"/>
    <xf numFmtId="43" fontId="21" fillId="29" borderId="0" xfId="1" applyFont="1" applyFill="1" applyBorder="1" applyAlignment="1">
      <alignment vertical="center"/>
    </xf>
    <xf numFmtId="43" fontId="21" fillId="29" borderId="0" xfId="1" applyFont="1" applyFill="1" applyBorder="1" applyAlignment="1">
      <alignment horizontal="center" vertical="center"/>
    </xf>
    <xf numFmtId="43" fontId="20" fillId="29" borderId="0" xfId="1" applyFont="1" applyFill="1" applyBorder="1" applyAlignment="1">
      <alignment vertical="center"/>
    </xf>
    <xf numFmtId="43" fontId="23" fillId="29" borderId="0" xfId="1" applyFont="1" applyFill="1" applyBorder="1" applyAlignment="1">
      <alignment horizontal="center" vertical="center"/>
    </xf>
    <xf numFmtId="43" fontId="111" fillId="29" borderId="70" xfId="1" applyFont="1" applyFill="1" applyBorder="1" applyAlignment="1">
      <alignment horizontal="right"/>
    </xf>
    <xf numFmtId="43" fontId="112" fillId="29" borderId="0" xfId="1" applyFont="1" applyFill="1" applyAlignment="1">
      <alignment horizontal="left"/>
    </xf>
    <xf numFmtId="43" fontId="110" fillId="29" borderId="0" xfId="1" applyFont="1" applyFill="1" applyAlignment="1">
      <alignment horizontal="right"/>
    </xf>
    <xf numFmtId="0" fontId="49" fillId="29" borderId="0" xfId="8" applyFont="1" applyFill="1" applyAlignment="1">
      <alignment horizontal="left"/>
    </xf>
    <xf numFmtId="43" fontId="9" fillId="29" borderId="0" xfId="16" applyFont="1" applyFill="1" applyAlignment="1">
      <alignment horizontal="left"/>
    </xf>
    <xf numFmtId="37" fontId="9" fillId="0" borderId="0" xfId="7" applyFont="1" applyAlignment="1">
      <alignment horizontal="left" indent="1"/>
    </xf>
    <xf numFmtId="37" fontId="9" fillId="0" borderId="0" xfId="7" quotePrefix="1" applyFont="1" applyAlignment="1">
      <alignment horizontal="left" indent="1"/>
    </xf>
    <xf numFmtId="37" fontId="14" fillId="0" borderId="0" xfId="7" applyFont="1" applyAlignment="1">
      <alignment horizontal="left" indent="2"/>
    </xf>
    <xf numFmtId="0" fontId="9" fillId="29" borderId="0" xfId="8" applyFill="1" applyAlignment="1">
      <alignment horizontal="left" indent="1"/>
    </xf>
    <xf numFmtId="37" fontId="9" fillId="0" borderId="16" xfId="2" applyNumberFormat="1" applyFont="1" applyFill="1" applyBorder="1" applyProtection="1">
      <protection locked="0"/>
    </xf>
    <xf numFmtId="5" fontId="5" fillId="0" borderId="11" xfId="7" applyNumberFormat="1" applyFont="1" applyBorder="1"/>
    <xf numFmtId="5" fontId="39" fillId="0" borderId="11" xfId="7" applyNumberFormat="1" applyFont="1" applyBorder="1"/>
    <xf numFmtId="5" fontId="34" fillId="0" borderId="11" xfId="7" applyNumberFormat="1" applyFont="1" applyBorder="1"/>
    <xf numFmtId="5" fontId="34" fillId="0" borderId="7" xfId="7" applyNumberFormat="1" applyFont="1" applyBorder="1"/>
    <xf numFmtId="5" fontId="35" fillId="0" borderId="0" xfId="7" applyNumberFormat="1" applyFont="1"/>
    <xf numFmtId="5" fontId="31" fillId="0" borderId="0" xfId="7" applyNumberFormat="1" applyFont="1"/>
    <xf numFmtId="5" fontId="39" fillId="0" borderId="7" xfId="7" applyNumberFormat="1" applyFont="1" applyBorder="1" applyAlignment="1" applyProtection="1">
      <alignment horizontal="right"/>
      <protection locked="0"/>
    </xf>
    <xf numFmtId="5" fontId="69" fillId="0" borderId="7" xfId="7" applyNumberFormat="1" applyFont="1" applyBorder="1" applyAlignment="1" applyProtection="1">
      <alignment horizontal="right"/>
      <protection locked="0"/>
    </xf>
    <xf numFmtId="14" fontId="48" fillId="0" borderId="7" xfId="7" applyNumberFormat="1" applyFont="1" applyBorder="1" applyAlignment="1">
      <alignment horizontal="center"/>
    </xf>
    <xf numFmtId="0" fontId="49" fillId="35" borderId="0" xfId="8" applyFont="1" applyFill="1" applyAlignment="1">
      <alignment horizontal="center"/>
    </xf>
    <xf numFmtId="9" fontId="23" fillId="0" borderId="0" xfId="0" applyNumberFormat="1" applyFont="1" applyAlignment="1">
      <alignment horizontal="center" vertical="center"/>
    </xf>
    <xf numFmtId="9" fontId="82" fillId="0" borderId="0" xfId="5" applyFont="1" applyFill="1" applyBorder="1" applyProtection="1">
      <protection locked="0"/>
    </xf>
    <xf numFmtId="8" fontId="42" fillId="0" borderId="0" xfId="0" applyNumberFormat="1" applyFont="1"/>
    <xf numFmtId="37" fontId="7" fillId="0" borderId="0" xfId="7" applyFont="1" applyProtection="1">
      <protection locked="0"/>
    </xf>
    <xf numFmtId="1" fontId="12" fillId="0" borderId="0" xfId="7" applyNumberFormat="1" applyFont="1" applyAlignment="1">
      <alignment horizontal="center"/>
    </xf>
    <xf numFmtId="0" fontId="7" fillId="0" borderId="0" xfId="0" applyFont="1" applyAlignment="1">
      <alignment horizontal="right"/>
    </xf>
    <xf numFmtId="167" fontId="8" fillId="0" borderId="0" xfId="0" applyNumberFormat="1" applyFont="1"/>
    <xf numFmtId="10" fontId="8" fillId="0" borderId="0" xfId="0" applyNumberFormat="1" applyFont="1"/>
    <xf numFmtId="5" fontId="8" fillId="0" borderId="0" xfId="0" applyNumberFormat="1" applyFont="1"/>
    <xf numFmtId="7" fontId="47" fillId="0" borderId="0" xfId="0" applyNumberFormat="1" applyFont="1" applyAlignment="1">
      <alignment horizontal="right"/>
    </xf>
    <xf numFmtId="7" fontId="8" fillId="0" borderId="0" xfId="1" applyNumberFormat="1" applyFont="1" applyFill="1" applyBorder="1"/>
    <xf numFmtId="168" fontId="8" fillId="0" borderId="0" xfId="0" applyNumberFormat="1" applyFont="1"/>
    <xf numFmtId="168" fontId="7" fillId="0" borderId="0" xfId="0" applyNumberFormat="1" applyFont="1" applyAlignment="1">
      <alignment horizontal="right"/>
    </xf>
    <xf numFmtId="7" fontId="86" fillId="0" borderId="0" xfId="7" applyNumberFormat="1" applyFont="1"/>
    <xf numFmtId="7" fontId="82" fillId="0" borderId="0" xfId="7" applyNumberFormat="1" applyFont="1"/>
    <xf numFmtId="0" fontId="5" fillId="0" borderId="0" xfId="0" applyFont="1" applyAlignment="1">
      <alignment horizontal="right"/>
    </xf>
    <xf numFmtId="170" fontId="82" fillId="0" borderId="0" xfId="7" applyNumberFormat="1" applyFont="1"/>
    <xf numFmtId="10" fontId="0" fillId="0" borderId="0" xfId="5" applyNumberFormat="1" applyFont="1" applyFill="1" applyBorder="1"/>
    <xf numFmtId="167" fontId="9" fillId="0" borderId="0" xfId="7" applyNumberFormat="1" applyFont="1" applyAlignment="1">
      <alignment horizontal="right"/>
    </xf>
    <xf numFmtId="5" fontId="69" fillId="29" borderId="7" xfId="7" applyNumberFormat="1" applyFont="1" applyFill="1" applyBorder="1"/>
    <xf numFmtId="7" fontId="5" fillId="29" borderId="9" xfId="7" applyNumberFormat="1" applyFont="1" applyFill="1" applyBorder="1"/>
    <xf numFmtId="7" fontId="5" fillId="29" borderId="9" xfId="7" applyNumberFormat="1" applyFont="1" applyFill="1" applyBorder="1" applyAlignment="1">
      <alignment horizontal="right"/>
    </xf>
    <xf numFmtId="7" fontId="5" fillId="29" borderId="0" xfId="7" applyNumberFormat="1" applyFont="1" applyFill="1"/>
    <xf numFmtId="7" fontId="5" fillId="29" borderId="0" xfId="7" applyNumberFormat="1" applyFont="1" applyFill="1" applyAlignment="1">
      <alignment horizontal="right"/>
    </xf>
    <xf numFmtId="170" fontId="5" fillId="29" borderId="0" xfId="7" applyNumberFormat="1" applyFont="1" applyFill="1"/>
    <xf numFmtId="190" fontId="9" fillId="29" borderId="8" xfId="7" applyNumberFormat="1" applyFont="1" applyFill="1" applyBorder="1" applyAlignment="1">
      <alignment horizontal="right"/>
    </xf>
    <xf numFmtId="37" fontId="9" fillId="29" borderId="0" xfId="7" applyFont="1" applyFill="1"/>
    <xf numFmtId="37" fontId="9" fillId="29" borderId="0" xfId="7" applyFont="1" applyFill="1" applyAlignment="1">
      <alignment horizontal="right"/>
    </xf>
    <xf numFmtId="10" fontId="5" fillId="0" borderId="7" xfId="7" applyNumberFormat="1" applyFont="1" applyBorder="1"/>
    <xf numFmtId="7" fontId="9" fillId="29" borderId="8" xfId="7" applyNumberFormat="1" applyFont="1" applyFill="1" applyBorder="1" applyAlignment="1">
      <alignment horizontal="right"/>
    </xf>
    <xf numFmtId="7" fontId="5" fillId="29" borderId="8" xfId="7" applyNumberFormat="1" applyFont="1" applyFill="1" applyBorder="1" applyAlignment="1">
      <alignment horizontal="right"/>
    </xf>
    <xf numFmtId="7" fontId="5" fillId="29" borderId="8" xfId="7" applyNumberFormat="1" applyFont="1" applyFill="1" applyBorder="1" applyAlignment="1" applyProtection="1">
      <alignment horizontal="right"/>
      <protection locked="0"/>
    </xf>
    <xf numFmtId="5" fontId="5" fillId="29" borderId="7" xfId="7" applyNumberFormat="1" applyFont="1" applyFill="1" applyBorder="1" applyProtection="1">
      <protection locked="0"/>
    </xf>
    <xf numFmtId="14" fontId="7" fillId="0" borderId="6" xfId="7" applyNumberFormat="1" applyFont="1" applyBorder="1" applyAlignment="1">
      <alignment horizontal="center"/>
    </xf>
    <xf numFmtId="5" fontId="86" fillId="0" borderId="7" xfId="7" applyNumberFormat="1" applyFont="1" applyBorder="1"/>
    <xf numFmtId="5" fontId="86" fillId="2" borderId="7" xfId="6" quotePrefix="1" applyNumberFormat="1" applyFont="1" applyFill="1" applyBorder="1" applyAlignment="1">
      <alignment horizontal="right"/>
    </xf>
    <xf numFmtId="5" fontId="82" fillId="0" borderId="7" xfId="7" applyNumberFormat="1" applyFont="1" applyBorder="1" applyProtection="1">
      <protection locked="0"/>
    </xf>
    <xf numFmtId="7" fontId="82" fillId="0" borderId="9" xfId="7" applyNumberFormat="1" applyFont="1" applyBorder="1"/>
    <xf numFmtId="5" fontId="82" fillId="0" borderId="7" xfId="7" applyNumberFormat="1" applyFont="1" applyBorder="1"/>
    <xf numFmtId="9" fontId="82" fillId="0" borderId="7" xfId="7" applyNumberFormat="1" applyFont="1" applyBorder="1"/>
    <xf numFmtId="5" fontId="82" fillId="0" borderId="8" xfId="7" applyNumberFormat="1" applyFont="1" applyBorder="1"/>
    <xf numFmtId="170" fontId="82" fillId="0" borderId="8" xfId="7" applyNumberFormat="1" applyFont="1" applyBorder="1"/>
    <xf numFmtId="170" fontId="82" fillId="0" borderId="7" xfId="7" applyNumberFormat="1" applyFont="1" applyBorder="1"/>
    <xf numFmtId="9" fontId="82" fillId="0" borderId="11" xfId="5" applyFont="1" applyFill="1" applyBorder="1" applyProtection="1">
      <protection locked="0"/>
    </xf>
    <xf numFmtId="10" fontId="7" fillId="0" borderId="0" xfId="7" applyNumberFormat="1" applyFont="1"/>
    <xf numFmtId="0" fontId="43" fillId="29" borderId="7" xfId="0" applyFont="1" applyFill="1" applyBorder="1" applyAlignment="1">
      <alignment horizontal="center" vertical="center"/>
    </xf>
    <xf numFmtId="0" fontId="43" fillId="29" borderId="0" xfId="0" applyFont="1" applyFill="1" applyAlignment="1">
      <alignment horizontal="center" vertical="center"/>
    </xf>
    <xf numFmtId="0" fontId="0" fillId="29" borderId="0" xfId="0" applyFill="1" applyAlignment="1">
      <alignment vertical="center"/>
    </xf>
    <xf numFmtId="37" fontId="42" fillId="29" borderId="15" xfId="0" applyNumberFormat="1" applyFont="1" applyFill="1" applyBorder="1" applyAlignment="1">
      <alignment horizontal="left" vertical="center"/>
    </xf>
    <xf numFmtId="172" fontId="42" fillId="29" borderId="5" xfId="5" applyNumberFormat="1" applyFont="1" applyFill="1" applyBorder="1" applyAlignment="1">
      <alignment horizontal="right" vertical="center"/>
    </xf>
    <xf numFmtId="171" fontId="42" fillId="29" borderId="5" xfId="5" applyNumberFormat="1" applyFont="1" applyFill="1" applyBorder="1" applyAlignment="1">
      <alignment horizontal="right" vertical="center"/>
    </xf>
    <xf numFmtId="174" fontId="42" fillId="29" borderId="24" xfId="5" applyNumberFormat="1" applyFont="1" applyFill="1" applyBorder="1" applyAlignment="1">
      <alignment horizontal="right" vertical="center"/>
    </xf>
    <xf numFmtId="177" fontId="43" fillId="29" borderId="5" xfId="0" applyNumberFormat="1" applyFont="1" applyFill="1" applyBorder="1" applyAlignment="1">
      <alignment horizontal="center" vertical="center"/>
    </xf>
    <xf numFmtId="171" fontId="43" fillId="29" borderId="24" xfId="0" applyNumberFormat="1" applyFont="1" applyFill="1" applyBorder="1" applyAlignment="1">
      <alignment horizontal="right" vertical="center"/>
    </xf>
    <xf numFmtId="0" fontId="45" fillId="29" borderId="11" xfId="0" applyFont="1" applyFill="1" applyBorder="1" applyAlignment="1">
      <alignment horizontal="right" vertical="center"/>
    </xf>
    <xf numFmtId="0" fontId="45" fillId="29" borderId="11" xfId="0" applyFont="1" applyFill="1" applyBorder="1" applyAlignment="1">
      <alignment vertical="center"/>
    </xf>
    <xf numFmtId="0" fontId="0" fillId="29" borderId="11" xfId="0" applyFill="1" applyBorder="1" applyAlignment="1">
      <alignment vertical="center"/>
    </xf>
    <xf numFmtId="0" fontId="45" fillId="29" borderId="0" xfId="17" applyFont="1" applyFill="1" applyAlignment="1">
      <alignment vertical="center"/>
    </xf>
    <xf numFmtId="0" fontId="81" fillId="29" borderId="0" xfId="0" applyFont="1" applyFill="1" applyAlignment="1">
      <alignment vertical="top" wrapText="1"/>
    </xf>
    <xf numFmtId="0" fontId="22" fillId="29" borderId="0" xfId="0" applyFont="1" applyFill="1" applyAlignment="1">
      <alignment vertical="top"/>
    </xf>
    <xf numFmtId="0" fontId="46" fillId="29" borderId="0" xfId="17" applyFont="1" applyFill="1" applyAlignment="1">
      <alignment vertical="center"/>
    </xf>
    <xf numFmtId="0" fontId="46" fillId="29" borderId="0" xfId="0" applyFont="1" applyFill="1" applyAlignment="1">
      <alignment vertical="center"/>
    </xf>
    <xf numFmtId="4" fontId="0" fillId="29" borderId="0" xfId="0" applyNumberFormat="1" applyFill="1" applyAlignment="1">
      <alignment vertical="center"/>
    </xf>
    <xf numFmtId="37" fontId="9" fillId="29" borderId="0" xfId="7" applyFont="1" applyFill="1" applyAlignment="1">
      <alignment horizontal="left"/>
    </xf>
    <xf numFmtId="5" fontId="86" fillId="29" borderId="0" xfId="7" applyNumberFormat="1" applyFont="1" applyFill="1"/>
    <xf numFmtId="9" fontId="86" fillId="29" borderId="0" xfId="7" applyNumberFormat="1" applyFont="1" applyFill="1"/>
    <xf numFmtId="37" fontId="9" fillId="29" borderId="0" xfId="7" quotePrefix="1" applyFont="1" applyFill="1" applyAlignment="1">
      <alignment horizontal="left"/>
    </xf>
    <xf numFmtId="5" fontId="61" fillId="29" borderId="0" xfId="13" applyNumberFormat="1" applyFill="1" applyBorder="1"/>
    <xf numFmtId="9" fontId="61" fillId="29" borderId="0" xfId="13" applyNumberFormat="1" applyFill="1" applyBorder="1"/>
    <xf numFmtId="5" fontId="60" fillId="29" borderId="0" xfId="12" applyNumberFormat="1" applyFill="1" applyBorder="1"/>
    <xf numFmtId="9" fontId="60" fillId="29" borderId="0" xfId="12" applyNumberFormat="1" applyFill="1" applyBorder="1"/>
    <xf numFmtId="37" fontId="86" fillId="29" borderId="0" xfId="7" applyFont="1" applyFill="1"/>
    <xf numFmtId="37" fontId="5" fillId="29" borderId="0" xfId="7" applyFont="1" applyFill="1" applyAlignment="1">
      <alignment horizontal="left"/>
    </xf>
    <xf numFmtId="5" fontId="72" fillId="29" borderId="0" xfId="13" applyNumberFormat="1" applyFont="1" applyFill="1" applyBorder="1"/>
    <xf numFmtId="9" fontId="72" fillId="29" borderId="0" xfId="13" applyNumberFormat="1" applyFont="1" applyFill="1" applyBorder="1"/>
    <xf numFmtId="0" fontId="41" fillId="3" borderId="35" xfId="0" applyFont="1" applyFill="1" applyBorder="1" applyAlignment="1">
      <alignment horizontal="left" vertical="center"/>
    </xf>
    <xf numFmtId="44" fontId="40" fillId="3" borderId="27" xfId="0" applyNumberFormat="1" applyFont="1" applyFill="1" applyBorder="1" applyAlignment="1">
      <alignment horizontal="centerContinuous" vertical="center"/>
    </xf>
    <xf numFmtId="44" fontId="40" fillId="3" borderId="11" xfId="0" applyNumberFormat="1" applyFont="1" applyFill="1" applyBorder="1" applyAlignment="1">
      <alignment horizontal="centerContinuous" vertical="center"/>
    </xf>
    <xf numFmtId="44" fontId="40" fillId="3" borderId="26" xfId="0" applyNumberFormat="1" applyFont="1" applyFill="1" applyBorder="1" applyAlignment="1">
      <alignment horizontal="centerContinuous" vertical="center"/>
    </xf>
    <xf numFmtId="44" fontId="40" fillId="3" borderId="30" xfId="0" applyNumberFormat="1" applyFont="1" applyFill="1" applyBorder="1" applyAlignment="1">
      <alignment horizontal="centerContinuous" vertical="center"/>
    </xf>
    <xf numFmtId="0" fontId="41" fillId="3" borderId="28" xfId="0" applyFont="1" applyFill="1" applyBorder="1" applyAlignment="1">
      <alignment horizontal="right" vertical="center"/>
    </xf>
    <xf numFmtId="0" fontId="41" fillId="3" borderId="0" xfId="0" applyFont="1" applyFill="1" applyAlignment="1">
      <alignment horizontal="right" vertical="center"/>
    </xf>
    <xf numFmtId="0" fontId="41" fillId="3" borderId="29" xfId="0" applyFont="1" applyFill="1" applyBorder="1" applyAlignment="1">
      <alignment horizontal="right" vertical="center"/>
    </xf>
    <xf numFmtId="0" fontId="41" fillId="3" borderId="23" xfId="0" applyFont="1" applyFill="1" applyBorder="1" applyAlignment="1">
      <alignment horizontal="right" vertical="center"/>
    </xf>
    <xf numFmtId="203" fontId="9" fillId="0" borderId="8" xfId="7" applyNumberFormat="1" applyFont="1" applyBorder="1" applyAlignment="1">
      <alignment horizontal="right"/>
    </xf>
    <xf numFmtId="37" fontId="69" fillId="0" borderId="7" xfId="2" applyNumberFormat="1" applyFont="1" applyFill="1" applyBorder="1" applyProtection="1">
      <protection locked="0"/>
    </xf>
    <xf numFmtId="37" fontId="39" fillId="0" borderId="7" xfId="7" applyFont="1" applyBorder="1" applyAlignment="1" applyProtection="1">
      <alignment horizontal="right"/>
      <protection locked="0"/>
    </xf>
    <xf numFmtId="37" fontId="9" fillId="0" borderId="7" xfId="7" applyFont="1" applyBorder="1" applyAlignment="1" applyProtection="1">
      <alignment horizontal="right"/>
      <protection locked="0"/>
    </xf>
    <xf numFmtId="37" fontId="31" fillId="0" borderId="7" xfId="7" applyFont="1" applyBorder="1"/>
    <xf numFmtId="0" fontId="5" fillId="0" borderId="11" xfId="0" applyFont="1" applyBorder="1"/>
    <xf numFmtId="8" fontId="103" fillId="0" borderId="11" xfId="0" applyNumberFormat="1" applyFont="1" applyBorder="1"/>
    <xf numFmtId="202" fontId="9" fillId="0" borderId="8" xfId="7" applyNumberFormat="1" applyFont="1" applyBorder="1" applyAlignment="1">
      <alignment horizontal="right"/>
    </xf>
    <xf numFmtId="167" fontId="9" fillId="0" borderId="0" xfId="8" applyNumberFormat="1"/>
    <xf numFmtId="37" fontId="5" fillId="0" borderId="16" xfId="7" applyFont="1" applyBorder="1" applyAlignment="1">
      <alignment horizontal="center"/>
    </xf>
    <xf numFmtId="37" fontId="39" fillId="0" borderId="11" xfId="2" applyNumberFormat="1" applyFont="1" applyFill="1" applyBorder="1" applyProtection="1">
      <protection locked="0"/>
    </xf>
    <xf numFmtId="5" fontId="114" fillId="0" borderId="6" xfId="12" applyNumberFormat="1" applyFont="1" applyFill="1" applyBorder="1"/>
    <xf numFmtId="14" fontId="35" fillId="0" borderId="7" xfId="7" applyNumberFormat="1" applyFont="1" applyBorder="1" applyAlignment="1">
      <alignment horizontal="center"/>
    </xf>
    <xf numFmtId="9" fontId="42" fillId="0" borderId="7" xfId="5" applyFont="1" applyFill="1" applyBorder="1" applyAlignment="1">
      <alignment horizontal="center"/>
    </xf>
    <xf numFmtId="14" fontId="115" fillId="29" borderId="0" xfId="8" applyNumberFormat="1" applyFont="1" applyFill="1" applyAlignment="1">
      <alignment horizontal="left"/>
    </xf>
    <xf numFmtId="0" fontId="43" fillId="0" borderId="7" xfId="0" applyFont="1" applyBorder="1" applyAlignment="1">
      <alignment horizontal="center" vertical="center"/>
    </xf>
    <xf numFmtId="9" fontId="116" fillId="0" borderId="23" xfId="7" applyNumberFormat="1" applyFont="1" applyBorder="1"/>
    <xf numFmtId="14" fontId="42" fillId="0" borderId="7" xfId="6" applyNumberFormat="1" applyFont="1" applyBorder="1" applyAlignment="1">
      <alignment horizontal="right"/>
    </xf>
    <xf numFmtId="10" fontId="114" fillId="0" borderId="6" xfId="5" applyNumberFormat="1" applyFont="1" applyFill="1" applyBorder="1" applyAlignment="1">
      <alignment horizontal="center"/>
    </xf>
    <xf numFmtId="10" fontId="60" fillId="0" borderId="6" xfId="5" applyNumberFormat="1" applyFont="1" applyFill="1" applyBorder="1" applyAlignment="1">
      <alignment horizontal="center"/>
    </xf>
    <xf numFmtId="10" fontId="31" fillId="2" borderId="7" xfId="5" applyNumberFormat="1" applyFont="1" applyFill="1" applyBorder="1" applyAlignment="1">
      <alignment horizontal="center"/>
    </xf>
    <xf numFmtId="5" fontId="35" fillId="0" borderId="0" xfId="7" applyNumberFormat="1" applyFont="1" applyAlignment="1">
      <alignment horizontal="center"/>
    </xf>
    <xf numFmtId="5" fontId="11" fillId="0" borderId="0" xfId="7" applyNumberFormat="1" applyFont="1" applyAlignment="1">
      <alignment horizontal="center"/>
    </xf>
    <xf numFmtId="5" fontId="31" fillId="0" borderId="0" xfId="7" applyNumberFormat="1" applyFont="1" applyAlignment="1">
      <alignment horizontal="center"/>
    </xf>
    <xf numFmtId="10" fontId="60" fillId="0" borderId="7" xfId="5" applyNumberFormat="1" applyFont="1" applyFill="1" applyBorder="1" applyAlignment="1">
      <alignment horizontal="center"/>
    </xf>
    <xf numFmtId="9" fontId="82" fillId="0" borderId="11" xfId="5" applyFont="1" applyFill="1" applyBorder="1" applyAlignment="1" applyProtection="1">
      <alignment horizontal="center"/>
      <protection locked="0"/>
    </xf>
    <xf numFmtId="9" fontId="82" fillId="0" borderId="0" xfId="5" applyFont="1" applyFill="1" applyBorder="1" applyAlignment="1" applyProtection="1">
      <alignment horizontal="center"/>
      <protection locked="0"/>
    </xf>
    <xf numFmtId="9" fontId="82" fillId="0" borderId="0" xfId="7" applyNumberFormat="1" applyFont="1" applyAlignment="1">
      <alignment horizontal="center"/>
    </xf>
    <xf numFmtId="167" fontId="73" fillId="9" borderId="7" xfId="12" applyNumberFormat="1" applyFont="1" applyBorder="1" applyAlignment="1">
      <alignment horizontal="center"/>
    </xf>
    <xf numFmtId="14" fontId="117" fillId="0" borderId="0" xfId="5" applyNumberFormat="1" applyFont="1" applyFill="1" applyBorder="1" applyAlignment="1">
      <alignment horizontal="center"/>
    </xf>
    <xf numFmtId="10" fontId="8" fillId="0" borderId="0" xfId="6" applyNumberFormat="1" applyFont="1" applyAlignment="1">
      <alignment horizontal="center"/>
    </xf>
    <xf numFmtId="10" fontId="42" fillId="0" borderId="0" xfId="6" applyNumberFormat="1" applyFont="1" applyAlignment="1">
      <alignment horizontal="center"/>
    </xf>
    <xf numFmtId="5" fontId="114" fillId="0" borderId="7" xfId="12" applyNumberFormat="1" applyFont="1" applyFill="1" applyBorder="1"/>
    <xf numFmtId="9" fontId="82" fillId="0" borderId="5" xfId="7" applyNumberFormat="1" applyFont="1" applyBorder="1"/>
    <xf numFmtId="204" fontId="28" fillId="0" borderId="23" xfId="5" applyNumberFormat="1" applyFont="1" applyFill="1" applyBorder="1" applyProtection="1">
      <protection locked="0"/>
    </xf>
    <xf numFmtId="14" fontId="118" fillId="0" borderId="23" xfId="7" applyNumberFormat="1" applyFont="1" applyBorder="1" applyAlignment="1">
      <alignment horizontal="center"/>
    </xf>
    <xf numFmtId="9" fontId="119" fillId="29" borderId="15" xfId="5" applyFont="1" applyFill="1" applyBorder="1" applyAlignment="1">
      <alignment horizontal="right" vertical="center"/>
    </xf>
    <xf numFmtId="172" fontId="119" fillId="29" borderId="5" xfId="0" applyNumberFormat="1" applyFont="1" applyFill="1" applyBorder="1" applyAlignment="1">
      <alignment horizontal="right" vertical="center"/>
    </xf>
    <xf numFmtId="173" fontId="119" fillId="29" borderId="5" xfId="0" applyNumberFormat="1" applyFont="1" applyFill="1" applyBorder="1" applyAlignment="1">
      <alignment horizontal="right" vertical="center"/>
    </xf>
    <xf numFmtId="176" fontId="119" fillId="29" borderId="24" xfId="0" applyNumberFormat="1" applyFont="1" applyFill="1" applyBorder="1" applyAlignment="1">
      <alignment horizontal="right" vertical="center"/>
    </xf>
    <xf numFmtId="176" fontId="119" fillId="29" borderId="5" xfId="0" applyNumberFormat="1" applyFont="1" applyFill="1" applyBorder="1" applyAlignment="1">
      <alignment horizontal="right" vertical="center"/>
    </xf>
    <xf numFmtId="0" fontId="41" fillId="29" borderId="0" xfId="0" applyFont="1" applyFill="1" applyAlignment="1">
      <alignment horizontal="left" vertical="center"/>
    </xf>
    <xf numFmtId="5" fontId="114" fillId="31" borderId="0" xfId="7" applyNumberFormat="1" applyFont="1" applyFill="1"/>
    <xf numFmtId="0" fontId="9" fillId="29" borderId="0" xfId="0" applyFont="1" applyFill="1" applyAlignment="1">
      <alignment vertical="center"/>
    </xf>
    <xf numFmtId="37" fontId="10" fillId="29" borderId="0" xfId="7" applyFont="1" applyFill="1" applyAlignment="1">
      <alignment vertical="center"/>
    </xf>
    <xf numFmtId="0" fontId="42" fillId="31" borderId="0" xfId="17" applyFont="1" applyFill="1" applyAlignment="1">
      <alignment vertical="center"/>
    </xf>
    <xf numFmtId="0" fontId="110" fillId="37" borderId="0" xfId="0" applyFont="1" applyFill="1" applyAlignment="1">
      <alignment horizontal="left"/>
    </xf>
    <xf numFmtId="0" fontId="110" fillId="37" borderId="5" xfId="0" applyFont="1" applyFill="1" applyBorder="1" applyAlignment="1">
      <alignment horizontal="right"/>
    </xf>
    <xf numFmtId="0" fontId="111" fillId="37" borderId="0" xfId="0" applyFont="1" applyFill="1" applyAlignment="1">
      <alignment horizontal="left"/>
    </xf>
    <xf numFmtId="0" fontId="111" fillId="37" borderId="11" xfId="0" applyFont="1" applyFill="1" applyBorder="1" applyAlignment="1">
      <alignment horizontal="right"/>
    </xf>
    <xf numFmtId="0" fontId="112" fillId="37" borderId="0" xfId="0" applyFont="1" applyFill="1" applyAlignment="1">
      <alignment horizontal="left"/>
    </xf>
    <xf numFmtId="201" fontId="110" fillId="37" borderId="0" xfId="0" applyNumberFormat="1" applyFont="1" applyFill="1" applyAlignment="1">
      <alignment horizontal="right"/>
    </xf>
    <xf numFmtId="201" fontId="112" fillId="37" borderId="11" xfId="0" applyNumberFormat="1" applyFont="1" applyFill="1" applyBorder="1" applyAlignment="1">
      <alignment horizontal="right"/>
    </xf>
    <xf numFmtId="201" fontId="112" fillId="37" borderId="9" xfId="0" applyNumberFormat="1" applyFont="1" applyFill="1" applyBorder="1" applyAlignment="1">
      <alignment horizontal="right"/>
    </xf>
    <xf numFmtId="201" fontId="112" fillId="37" borderId="0" xfId="0" applyNumberFormat="1" applyFont="1" applyFill="1" applyAlignment="1">
      <alignment horizontal="right"/>
    </xf>
    <xf numFmtId="201" fontId="112" fillId="37" borderId="14" xfId="0" applyNumberFormat="1" applyFont="1" applyFill="1" applyBorder="1" applyAlignment="1">
      <alignment horizontal="right"/>
    </xf>
    <xf numFmtId="0" fontId="110" fillId="37" borderId="0" xfId="0" applyFont="1" applyFill="1"/>
    <xf numFmtId="43" fontId="31" fillId="29" borderId="0" xfId="16" applyFont="1" applyFill="1" applyAlignment="1">
      <alignment horizontal="left"/>
    </xf>
    <xf numFmtId="186" fontId="31" fillId="29" borderId="0" xfId="8" applyNumberFormat="1" applyFont="1" applyFill="1"/>
    <xf numFmtId="175" fontId="31" fillId="29" borderId="0" xfId="1" applyNumberFormat="1" applyFont="1" applyFill="1"/>
    <xf numFmtId="43" fontId="31" fillId="29" borderId="0" xfId="1" applyFont="1" applyFill="1"/>
    <xf numFmtId="37" fontId="16" fillId="0" borderId="39" xfId="7" applyFont="1" applyBorder="1"/>
    <xf numFmtId="37" fontId="116" fillId="0" borderId="7" xfId="7" applyFont="1" applyBorder="1"/>
    <xf numFmtId="201" fontId="31" fillId="29" borderId="0" xfId="8" applyNumberFormat="1" applyFont="1" applyFill="1"/>
    <xf numFmtId="0" fontId="59" fillId="0" borderId="0" xfId="0" applyFont="1" applyAlignment="1">
      <alignment horizontal="center" vertical="center"/>
    </xf>
    <xf numFmtId="0" fontId="5" fillId="29" borderId="0" xfId="8" applyFont="1" applyFill="1"/>
    <xf numFmtId="5" fontId="34" fillId="0" borderId="7" xfId="4" applyNumberFormat="1" applyFont="1" applyFill="1" applyBorder="1" applyProtection="1"/>
    <xf numFmtId="200" fontId="109" fillId="0" borderId="0" xfId="0" applyNumberFormat="1" applyFont="1" applyAlignment="1">
      <alignment horizontal="center" vertical="top" wrapText="1"/>
    </xf>
    <xf numFmtId="200" fontId="109" fillId="0" borderId="0" xfId="0" applyNumberFormat="1" applyFont="1" applyAlignment="1">
      <alignment horizontal="right" vertical="top" wrapText="1"/>
    </xf>
    <xf numFmtId="0" fontId="108" fillId="0" borderId="0" xfId="0" applyFont="1" applyAlignment="1">
      <alignment vertical="top" wrapText="1"/>
    </xf>
    <xf numFmtId="200" fontId="108" fillId="0" borderId="0" xfId="0" applyNumberFormat="1" applyFont="1" applyAlignment="1">
      <alignment horizontal="right" vertical="top" wrapText="1"/>
    </xf>
    <xf numFmtId="43" fontId="109" fillId="0" borderId="0" xfId="1" applyFont="1" applyBorder="1" applyAlignment="1">
      <alignment vertical="top" wrapText="1"/>
    </xf>
    <xf numFmtId="5" fontId="116" fillId="0" borderId="7" xfId="7" applyNumberFormat="1" applyFont="1" applyBorder="1"/>
    <xf numFmtId="9" fontId="119" fillId="0" borderId="7" xfId="5" applyFont="1" applyFill="1" applyBorder="1" applyAlignment="1">
      <alignment horizontal="center"/>
    </xf>
    <xf numFmtId="0" fontId="59" fillId="38" borderId="0" xfId="8" applyFont="1" applyFill="1" applyAlignment="1">
      <alignment horizontal="center" vertical="center"/>
    </xf>
    <xf numFmtId="5" fontId="115" fillId="0" borderId="7" xfId="7" applyNumberFormat="1" applyFont="1" applyBorder="1"/>
    <xf numFmtId="7" fontId="9" fillId="0" borderId="9" xfId="7" applyNumberFormat="1" applyFont="1" applyBorder="1" applyAlignment="1">
      <alignment horizontal="right"/>
    </xf>
    <xf numFmtId="7" fontId="31" fillId="0" borderId="8" xfId="7" applyNumberFormat="1" applyFont="1" applyBorder="1" applyAlignment="1">
      <alignment horizontal="right"/>
    </xf>
    <xf numFmtId="0" fontId="111" fillId="37" borderId="0" xfId="0" applyFont="1" applyFill="1" applyAlignment="1">
      <alignment horizontal="right"/>
    </xf>
    <xf numFmtId="0" fontId="110" fillId="37" borderId="0" xfId="0" applyFont="1" applyFill="1" applyAlignment="1">
      <alignment horizontal="right"/>
    </xf>
    <xf numFmtId="0" fontId="110" fillId="35" borderId="0" xfId="0" applyFont="1" applyFill="1" applyAlignment="1">
      <alignment horizontal="center"/>
    </xf>
    <xf numFmtId="14" fontId="34" fillId="0" borderId="7" xfId="7" quotePrefix="1" applyNumberFormat="1" applyFont="1" applyBorder="1" applyAlignment="1">
      <alignment horizontal="center"/>
    </xf>
    <xf numFmtId="5" fontId="31" fillId="0" borderId="7" xfId="0" applyNumberFormat="1" applyFont="1" applyBorder="1"/>
    <xf numFmtId="0" fontId="123" fillId="0" borderId="72" xfId="0" applyFont="1" applyBorder="1" applyAlignment="1">
      <alignment horizontal="left" vertical="top" wrapText="1"/>
    </xf>
    <xf numFmtId="0" fontId="123" fillId="0" borderId="0" xfId="0" applyFont="1" applyAlignment="1">
      <alignment horizontal="left" vertical="top" wrapText="1"/>
    </xf>
    <xf numFmtId="0" fontId="123" fillId="0" borderId="0" xfId="0" applyFont="1" applyAlignment="1">
      <alignment horizontal="center" vertical="top" wrapText="1"/>
    </xf>
    <xf numFmtId="205" fontId="123" fillId="0" borderId="0" xfId="0" applyNumberFormat="1" applyFont="1" applyAlignment="1">
      <alignment horizontal="right" vertical="top" wrapText="1"/>
    </xf>
    <xf numFmtId="0" fontId="123" fillId="0" borderId="0" xfId="0" applyFont="1" applyAlignment="1">
      <alignment horizontal="right" vertical="top" wrapText="1"/>
    </xf>
    <xf numFmtId="200" fontId="123" fillId="0" borderId="0" xfId="0" applyNumberFormat="1" applyFont="1" applyAlignment="1">
      <alignment horizontal="center" vertical="top" wrapText="1"/>
    </xf>
    <xf numFmtId="0" fontId="109" fillId="0" borderId="74" xfId="0" applyFont="1" applyBorder="1" applyAlignment="1">
      <alignment vertical="top" wrapText="1"/>
    </xf>
    <xf numFmtId="0" fontId="109" fillId="0" borderId="75" xfId="0" applyFont="1" applyBorder="1" applyAlignment="1">
      <alignment vertical="top" wrapText="1"/>
    </xf>
    <xf numFmtId="10" fontId="114" fillId="0" borderId="7" xfId="5" applyNumberFormat="1" applyFont="1" applyFill="1" applyBorder="1" applyAlignment="1">
      <alignment horizontal="center"/>
    </xf>
    <xf numFmtId="167" fontId="124" fillId="9" borderId="7" xfId="12" applyNumberFormat="1" applyFont="1" applyBorder="1" applyAlignment="1">
      <alignment horizontal="center"/>
    </xf>
    <xf numFmtId="7" fontId="31" fillId="0" borderId="0" xfId="7" applyNumberFormat="1" applyFont="1" applyAlignment="1">
      <alignment horizontal="right"/>
    </xf>
    <xf numFmtId="9" fontId="43" fillId="0" borderId="7" xfId="5" applyFont="1" applyFill="1" applyBorder="1" applyAlignment="1">
      <alignment horizontal="center"/>
    </xf>
    <xf numFmtId="14" fontId="43" fillId="0" borderId="7" xfId="7" applyNumberFormat="1" applyFont="1" applyBorder="1" applyAlignment="1">
      <alignment horizontal="center"/>
    </xf>
    <xf numFmtId="14" fontId="43" fillId="0" borderId="7" xfId="6" applyNumberFormat="1" applyFont="1" applyBorder="1" applyAlignment="1">
      <alignment horizontal="center"/>
    </xf>
    <xf numFmtId="0" fontId="59" fillId="32" borderId="0" xfId="8" applyFont="1" applyFill="1" applyAlignment="1">
      <alignment horizontal="center" vertical="center"/>
    </xf>
    <xf numFmtId="200" fontId="109" fillId="0" borderId="11" xfId="0" applyNumberFormat="1" applyFont="1" applyBorder="1" applyAlignment="1">
      <alignment vertical="top" wrapText="1"/>
    </xf>
    <xf numFmtId="0" fontId="109" fillId="0" borderId="11" xfId="0" applyFont="1" applyBorder="1" applyAlignment="1">
      <alignment vertical="top" wrapText="1"/>
    </xf>
    <xf numFmtId="0" fontId="109" fillId="0" borderId="11" xfId="0" applyFont="1" applyBorder="1" applyAlignment="1">
      <alignment horizontal="center" vertical="top" wrapText="1"/>
    </xf>
    <xf numFmtId="200" fontId="109" fillId="0" borderId="11" xfId="0" applyNumberFormat="1" applyFont="1" applyBorder="1" applyAlignment="1">
      <alignment horizontal="center" vertical="top" wrapText="1"/>
    </xf>
    <xf numFmtId="200" fontId="109" fillId="0" borderId="11" xfId="0" applyNumberFormat="1" applyFont="1" applyBorder="1" applyAlignment="1">
      <alignment horizontal="right" vertical="top" wrapText="1"/>
    </xf>
    <xf numFmtId="200" fontId="109" fillId="0" borderId="0" xfId="0" applyNumberFormat="1" applyFont="1" applyAlignment="1">
      <alignment vertical="top" wrapText="1"/>
    </xf>
    <xf numFmtId="0" fontId="109" fillId="0" borderId="0" xfId="0" applyFont="1" applyAlignment="1">
      <alignment horizontal="center" vertical="top" wrapText="1"/>
    </xf>
    <xf numFmtId="171" fontId="42" fillId="29" borderId="15" xfId="5" applyNumberFormat="1" applyFont="1" applyFill="1" applyBorder="1" applyAlignment="1">
      <alignment horizontal="right" vertical="center"/>
    </xf>
    <xf numFmtId="0" fontId="28" fillId="38" borderId="0" xfId="0" applyFont="1" applyFill="1"/>
    <xf numFmtId="0" fontId="31" fillId="31" borderId="0" xfId="0" applyFont="1" applyFill="1"/>
    <xf numFmtId="167" fontId="34" fillId="0" borderId="7" xfId="7" applyNumberFormat="1" applyFont="1" applyBorder="1"/>
    <xf numFmtId="44" fontId="31" fillId="0" borderId="0" xfId="3" applyFont="1" applyAlignment="1">
      <alignment vertical="top" wrapText="1"/>
    </xf>
    <xf numFmtId="43" fontId="125" fillId="0" borderId="0" xfId="8" applyNumberFormat="1" applyFont="1"/>
    <xf numFmtId="200" fontId="31" fillId="0" borderId="0" xfId="8" applyNumberFormat="1" applyFont="1"/>
    <xf numFmtId="43" fontId="31" fillId="0" borderId="0" xfId="8" applyNumberFormat="1" applyFont="1"/>
    <xf numFmtId="167" fontId="34" fillId="0" borderId="8" xfId="5" applyNumberFormat="1" applyFont="1" applyFill="1" applyBorder="1"/>
    <xf numFmtId="5" fontId="124" fillId="0" borderId="7" xfId="3" applyNumberFormat="1" applyFont="1" applyBorder="1"/>
    <xf numFmtId="10" fontId="124" fillId="0" borderId="7" xfId="5" applyNumberFormat="1" applyFont="1" applyBorder="1"/>
    <xf numFmtId="0" fontId="121" fillId="31" borderId="0" xfId="17" applyFont="1" applyFill="1" applyAlignment="1">
      <alignment vertical="center" wrapText="1"/>
    </xf>
    <xf numFmtId="10" fontId="42" fillId="0" borderId="7" xfId="5" applyNumberFormat="1" applyFont="1" applyFill="1" applyBorder="1" applyAlignment="1">
      <alignment horizontal="center"/>
    </xf>
    <xf numFmtId="44" fontId="97" fillId="0" borderId="0" xfId="3" applyFont="1" applyFill="1" applyBorder="1" applyAlignment="1">
      <alignment horizontal="center"/>
    </xf>
    <xf numFmtId="0" fontId="3" fillId="0" borderId="0" xfId="8" applyFont="1"/>
    <xf numFmtId="37" fontId="3" fillId="0" borderId="0" xfId="6" applyFont="1" applyAlignment="1">
      <alignment horizontal="centerContinuous"/>
    </xf>
    <xf numFmtId="37" fontId="3" fillId="0" borderId="0" xfId="7" applyFont="1" applyAlignment="1">
      <alignment horizontal="centerContinuous"/>
    </xf>
    <xf numFmtId="37" fontId="5" fillId="0" borderId="2" xfId="7" applyFont="1" applyBorder="1" applyAlignment="1">
      <alignment horizontal="left"/>
    </xf>
    <xf numFmtId="37" fontId="6" fillId="0" borderId="77" xfId="7" applyFont="1" applyBorder="1"/>
    <xf numFmtId="37" fontId="7" fillId="0" borderId="0" xfId="7" applyFont="1" applyAlignment="1">
      <alignment horizontal="left"/>
    </xf>
    <xf numFmtId="37" fontId="6" fillId="0" borderId="78" xfId="7" applyFont="1" applyBorder="1"/>
    <xf numFmtId="37" fontId="8" fillId="0" borderId="0" xfId="7" applyFont="1" applyAlignment="1">
      <alignment horizontal="left"/>
    </xf>
    <xf numFmtId="164" fontId="8" fillId="0" borderId="7" xfId="6" applyNumberFormat="1" applyFont="1" applyBorder="1" applyAlignment="1">
      <alignment horizontal="right"/>
    </xf>
    <xf numFmtId="10" fontId="8" fillId="0" borderId="7" xfId="5" applyNumberFormat="1" applyFont="1" applyBorder="1"/>
    <xf numFmtId="37" fontId="8" fillId="0" borderId="78" xfId="7" applyFont="1" applyBorder="1"/>
    <xf numFmtId="37" fontId="8" fillId="0" borderId="0" xfId="7" quotePrefix="1" applyFont="1" applyAlignment="1">
      <alignment horizontal="left"/>
    </xf>
    <xf numFmtId="37" fontId="8" fillId="0" borderId="0" xfId="6" applyFont="1" applyAlignment="1">
      <alignment horizontal="left"/>
    </xf>
    <xf numFmtId="37" fontId="7" fillId="0" borderId="10" xfId="6" applyFont="1" applyBorder="1" applyAlignment="1">
      <alignment horizontal="right"/>
    </xf>
    <xf numFmtId="37" fontId="10" fillId="0" borderId="11" xfId="6" applyFont="1" applyBorder="1" applyProtection="1">
      <protection locked="0"/>
    </xf>
    <xf numFmtId="37" fontId="10" fillId="0" borderId="0" xfId="6" applyFont="1" applyProtection="1">
      <protection locked="0"/>
    </xf>
    <xf numFmtId="1" fontId="7" fillId="0" borderId="12" xfId="7" applyNumberFormat="1" applyFont="1" applyBorder="1" applyAlignment="1">
      <alignment horizontal="center"/>
    </xf>
    <xf numFmtId="37" fontId="8" fillId="0" borderId="0" xfId="6" quotePrefix="1" applyFont="1" applyAlignment="1">
      <alignment horizontal="left"/>
    </xf>
    <xf numFmtId="10" fontId="8" fillId="0" borderId="12" xfId="5" applyNumberFormat="1" applyFont="1" applyBorder="1"/>
    <xf numFmtId="164" fontId="8" fillId="0" borderId="12" xfId="6" applyNumberFormat="1" applyFont="1" applyBorder="1" applyAlignment="1">
      <alignment horizontal="right"/>
    </xf>
    <xf numFmtId="37" fontId="8" fillId="0" borderId="14" xfId="7" applyFont="1" applyBorder="1"/>
    <xf numFmtId="206" fontId="7" fillId="0" borderId="14" xfId="7" applyNumberFormat="1" applyFont="1" applyBorder="1"/>
    <xf numFmtId="37" fontId="7" fillId="0" borderId="79" xfId="7" applyFont="1" applyBorder="1"/>
    <xf numFmtId="37" fontId="6" fillId="0" borderId="15" xfId="7" applyFont="1" applyBorder="1" applyAlignment="1">
      <alignment horizontal="center"/>
    </xf>
    <xf numFmtId="37" fontId="6" fillId="0" borderId="5" xfId="7" applyFont="1" applyBorder="1" applyAlignment="1">
      <alignment horizontal="center"/>
    </xf>
    <xf numFmtId="166" fontId="7" fillId="0" borderId="16" xfId="7" applyNumberFormat="1" applyFont="1" applyBorder="1" applyAlignment="1" applyProtection="1">
      <alignment horizontal="center"/>
      <protection locked="0"/>
    </xf>
    <xf numFmtId="166" fontId="7" fillId="0" borderId="16" xfId="7" applyNumberFormat="1" applyFont="1" applyBorder="1" applyAlignment="1">
      <alignment horizontal="center"/>
    </xf>
    <xf numFmtId="0" fontId="84" fillId="0" borderId="30" xfId="8" applyFont="1" applyBorder="1"/>
    <xf numFmtId="37" fontId="7" fillId="0" borderId="6" xfId="7" applyFont="1" applyBorder="1" applyAlignment="1">
      <alignment horizontal="center"/>
    </xf>
    <xf numFmtId="37" fontId="7" fillId="0" borderId="6" xfId="7" quotePrefix="1" applyFont="1" applyBorder="1" applyAlignment="1">
      <alignment horizontal="center"/>
    </xf>
    <xf numFmtId="0" fontId="84" fillId="0" borderId="24" xfId="8" applyFont="1" applyBorder="1" applyAlignment="1">
      <alignment horizontal="center"/>
    </xf>
    <xf numFmtId="7" fontId="9" fillId="0" borderId="7" xfId="7" applyNumberFormat="1" applyFont="1" applyBorder="1"/>
    <xf numFmtId="10" fontId="9" fillId="0" borderId="7" xfId="7" applyNumberFormat="1" applyFont="1" applyBorder="1"/>
    <xf numFmtId="37" fontId="10" fillId="0" borderId="0" xfId="7" applyFont="1" applyAlignment="1">
      <alignment horizontal="left"/>
    </xf>
    <xf numFmtId="7" fontId="9" fillId="2" borderId="7" xfId="2" applyNumberFormat="1" applyFont="1" applyFill="1" applyBorder="1" applyProtection="1">
      <protection locked="0"/>
    </xf>
    <xf numFmtId="7" fontId="9" fillId="2" borderId="7" xfId="7" applyNumberFormat="1" applyFont="1" applyFill="1" applyBorder="1"/>
    <xf numFmtId="7" fontId="9" fillId="2" borderId="7" xfId="6" quotePrefix="1" applyNumberFormat="1" applyFont="1" applyFill="1" applyBorder="1" applyAlignment="1">
      <alignment horizontal="right"/>
    </xf>
    <xf numFmtId="10" fontId="9" fillId="2" borderId="7" xfId="7" applyNumberFormat="1" applyFont="1" applyFill="1" applyBorder="1"/>
    <xf numFmtId="10" fontId="9" fillId="0" borderId="0" xfId="7" applyNumberFormat="1" applyFont="1"/>
    <xf numFmtId="7" fontId="5" fillId="0" borderId="7" xfId="7" applyNumberFormat="1" applyFont="1" applyBorder="1"/>
    <xf numFmtId="10" fontId="9" fillId="0" borderId="11" xfId="7" applyNumberFormat="1" applyFont="1" applyBorder="1"/>
    <xf numFmtId="37" fontId="11" fillId="0" borderId="0" xfId="7" applyFont="1"/>
    <xf numFmtId="0" fontId="76" fillId="0" borderId="7" xfId="8" applyFont="1" applyBorder="1" applyAlignment="1">
      <alignment horizontal="right"/>
    </xf>
    <xf numFmtId="0" fontId="76" fillId="0" borderId="0" xfId="8" applyFont="1" applyAlignment="1">
      <alignment horizontal="right"/>
    </xf>
    <xf numFmtId="42" fontId="5" fillId="0" borderId="0" xfId="4" applyFont="1" applyFill="1" applyBorder="1" applyProtection="1">
      <protection locked="0"/>
    </xf>
    <xf numFmtId="9" fontId="5" fillId="0" borderId="7" xfId="6" quotePrefix="1" applyNumberFormat="1" applyFont="1" applyBorder="1" applyAlignment="1">
      <alignment horizontal="right"/>
    </xf>
    <xf numFmtId="42" fontId="5" fillId="0" borderId="0" xfId="4" applyFont="1" applyBorder="1" applyProtection="1"/>
    <xf numFmtId="7" fontId="9" fillId="2" borderId="7" xfId="7" applyNumberFormat="1" applyFont="1" applyFill="1" applyBorder="1" applyProtection="1">
      <protection locked="0"/>
    </xf>
    <xf numFmtId="7" fontId="5" fillId="0" borderId="7" xfId="7" applyNumberFormat="1" applyFont="1" applyBorder="1" applyProtection="1">
      <protection locked="0"/>
    </xf>
    <xf numFmtId="0" fontId="76" fillId="0" borderId="10" xfId="8" applyFont="1" applyBorder="1" applyAlignment="1">
      <alignment horizontal="right"/>
    </xf>
    <xf numFmtId="7" fontId="5" fillId="0" borderId="9" xfId="7" applyNumberFormat="1" applyFont="1" applyBorder="1" applyProtection="1">
      <protection locked="0"/>
    </xf>
    <xf numFmtId="2" fontId="5" fillId="0" borderId="7" xfId="7" applyNumberFormat="1" applyFont="1" applyBorder="1"/>
    <xf numFmtId="2" fontId="9" fillId="0" borderId="0" xfId="7" applyNumberFormat="1" applyFont="1"/>
    <xf numFmtId="37" fontId="126" fillId="0" borderId="0" xfId="6" applyFont="1" applyProtection="1">
      <protection locked="0"/>
    </xf>
    <xf numFmtId="37" fontId="5" fillId="0" borderId="0" xfId="6" applyFont="1" applyProtection="1">
      <protection locked="0"/>
    </xf>
    <xf numFmtId="37" fontId="5" fillId="0" borderId="0" xfId="7" applyFont="1" applyProtection="1">
      <protection locked="0"/>
    </xf>
    <xf numFmtId="37" fontId="9" fillId="0" borderId="0" xfId="6" applyFont="1" applyAlignment="1" applyProtection="1">
      <alignment horizontal="left"/>
      <protection locked="0"/>
    </xf>
    <xf numFmtId="37" fontId="9" fillId="0" borderId="0" xfId="7" applyFont="1" applyProtection="1">
      <protection locked="0"/>
    </xf>
    <xf numFmtId="37" fontId="5" fillId="0" borderId="0" xfId="6" applyFont="1" applyAlignment="1" applyProtection="1">
      <alignment horizontal="left"/>
      <protection locked="0"/>
    </xf>
    <xf numFmtId="0" fontId="9" fillId="0" borderId="0" xfId="8" applyAlignment="1">
      <alignment horizontal="left"/>
    </xf>
    <xf numFmtId="37" fontId="6" fillId="0" borderId="0" xfId="7" applyFont="1" applyAlignment="1" applyProtection="1">
      <alignment horizontal="left"/>
      <protection locked="0"/>
    </xf>
    <xf numFmtId="37" fontId="8" fillId="0" borderId="0" xfId="7" applyFont="1" applyProtection="1">
      <protection locked="0"/>
    </xf>
    <xf numFmtId="14" fontId="8" fillId="0" borderId="7" xfId="6" applyNumberFormat="1" applyFont="1" applyBorder="1" applyAlignment="1">
      <alignment horizontal="right"/>
    </xf>
    <xf numFmtId="10" fontId="43" fillId="0" borderId="7" xfId="5" applyNumberFormat="1" applyFont="1" applyBorder="1"/>
    <xf numFmtId="10" fontId="119" fillId="0" borderId="7" xfId="5" applyNumberFormat="1" applyFont="1" applyBorder="1"/>
    <xf numFmtId="207" fontId="9" fillId="0" borderId="7" xfId="2" applyNumberFormat="1" applyFont="1" applyFill="1" applyBorder="1" applyProtection="1">
      <protection locked="0"/>
    </xf>
    <xf numFmtId="207" fontId="9" fillId="0" borderId="7" xfId="7" applyNumberFormat="1" applyFont="1" applyBorder="1"/>
    <xf numFmtId="207" fontId="9" fillId="0" borderId="7" xfId="6" quotePrefix="1" applyNumberFormat="1" applyFont="1" applyBorder="1" applyAlignment="1">
      <alignment horizontal="right"/>
    </xf>
    <xf numFmtId="207" fontId="9" fillId="2" borderId="7" xfId="2" applyNumberFormat="1" applyFont="1" applyFill="1" applyBorder="1" applyProtection="1">
      <protection locked="0"/>
    </xf>
    <xf numFmtId="207" fontId="9" fillId="2" borderId="7" xfId="7" applyNumberFormat="1" applyFont="1" applyFill="1" applyBorder="1"/>
    <xf numFmtId="207" fontId="9" fillId="2" borderId="7" xfId="6" quotePrefix="1" applyNumberFormat="1" applyFont="1" applyFill="1" applyBorder="1" applyAlignment="1">
      <alignment horizontal="right"/>
    </xf>
    <xf numFmtId="207" fontId="9" fillId="0" borderId="0" xfId="7" applyNumberFormat="1" applyFont="1"/>
    <xf numFmtId="207" fontId="9" fillId="0" borderId="0" xfId="6" quotePrefix="1" applyNumberFormat="1" applyFont="1" applyAlignment="1">
      <alignment horizontal="right"/>
    </xf>
    <xf numFmtId="207" fontId="5" fillId="0" borderId="7" xfId="7" applyNumberFormat="1" applyFont="1" applyBorder="1"/>
    <xf numFmtId="207" fontId="10" fillId="0" borderId="0" xfId="7" applyNumberFormat="1" applyFont="1" applyAlignment="1">
      <alignment horizontal="left"/>
    </xf>
    <xf numFmtId="207" fontId="7" fillId="0" borderId="0" xfId="7" applyNumberFormat="1" applyFont="1"/>
    <xf numFmtId="207" fontId="7" fillId="0" borderId="0" xfId="6" applyNumberFormat="1" applyFont="1" applyProtection="1">
      <protection locked="0"/>
    </xf>
    <xf numFmtId="207" fontId="16" fillId="0" borderId="0" xfId="7" applyNumberFormat="1" applyFont="1"/>
    <xf numFmtId="207" fontId="11" fillId="0" borderId="0" xfId="7" applyNumberFormat="1" applyFont="1"/>
    <xf numFmtId="207" fontId="11" fillId="0" borderId="0" xfId="6" applyNumberFormat="1" applyFont="1" applyProtection="1">
      <protection locked="0"/>
    </xf>
    <xf numFmtId="207" fontId="11" fillId="0" borderId="0" xfId="7" quotePrefix="1" applyNumberFormat="1" applyFont="1" applyAlignment="1">
      <alignment horizontal="left"/>
    </xf>
    <xf numFmtId="207" fontId="9" fillId="0" borderId="0" xfId="6" applyNumberFormat="1" applyFont="1" applyProtection="1">
      <protection locked="0"/>
    </xf>
    <xf numFmtId="207" fontId="9" fillId="0" borderId="7" xfId="7" applyNumberFormat="1" applyFont="1" applyBorder="1" applyAlignment="1" applyProtection="1">
      <alignment horizontal="right"/>
      <protection locked="0"/>
    </xf>
    <xf numFmtId="207" fontId="9" fillId="0" borderId="7" xfId="7" applyNumberFormat="1" applyFont="1" applyBorder="1" applyProtection="1">
      <protection locked="0"/>
    </xf>
    <xf numFmtId="207" fontId="9" fillId="0" borderId="7" xfId="4" applyNumberFormat="1" applyFont="1" applyFill="1" applyBorder="1" applyProtection="1">
      <protection locked="0"/>
    </xf>
    <xf numFmtId="207" fontId="28" fillId="0" borderId="7" xfId="2" applyNumberFormat="1" applyFont="1" applyFill="1" applyBorder="1" applyProtection="1">
      <protection locked="0"/>
    </xf>
    <xf numFmtId="207" fontId="34" fillId="0" borderId="7" xfId="7" applyNumberFormat="1" applyFont="1" applyBorder="1"/>
    <xf numFmtId="9" fontId="34" fillId="0" borderId="7" xfId="7" applyNumberFormat="1" applyFont="1" applyBorder="1"/>
    <xf numFmtId="7" fontId="34" fillId="0" borderId="7" xfId="7" applyNumberFormat="1" applyFont="1" applyBorder="1" applyProtection="1">
      <protection locked="0"/>
    </xf>
    <xf numFmtId="7" fontId="34" fillId="0" borderId="7" xfId="7" applyNumberFormat="1" applyFont="1" applyBorder="1"/>
    <xf numFmtId="208" fontId="34" fillId="0" borderId="7" xfId="7" quotePrefix="1" applyNumberFormat="1" applyFont="1" applyBorder="1" applyAlignment="1">
      <alignment horizontal="center"/>
    </xf>
    <xf numFmtId="170" fontId="34" fillId="0" borderId="7" xfId="7" applyNumberFormat="1" applyFont="1" applyBorder="1"/>
    <xf numFmtId="207" fontId="116" fillId="0" borderId="7" xfId="7" applyNumberFormat="1" applyFont="1" applyBorder="1"/>
    <xf numFmtId="0" fontId="127" fillId="31" borderId="0" xfId="0" applyFont="1" applyFill="1" applyAlignment="1">
      <alignment horizontal="left"/>
    </xf>
    <xf numFmtId="0" fontId="128" fillId="31" borderId="0" xfId="0" applyFont="1" applyFill="1"/>
    <xf numFmtId="10" fontId="9" fillId="0" borderId="7" xfId="7" applyNumberFormat="1" applyFont="1" applyBorder="1" applyAlignment="1">
      <alignment horizontal="right"/>
    </xf>
    <xf numFmtId="10" fontId="9" fillId="2" borderId="7" xfId="7" applyNumberFormat="1" applyFont="1" applyFill="1" applyBorder="1" applyAlignment="1">
      <alignment horizontal="right"/>
    </xf>
    <xf numFmtId="10" fontId="9" fillId="0" borderId="0" xfId="7" applyNumberFormat="1" applyFont="1" applyAlignment="1">
      <alignment horizontal="right"/>
    </xf>
    <xf numFmtId="10" fontId="9" fillId="0" borderId="11" xfId="7" applyNumberFormat="1" applyFont="1" applyBorder="1" applyAlignment="1">
      <alignment horizontal="right"/>
    </xf>
    <xf numFmtId="10" fontId="43" fillId="0" borderId="0" xfId="5" applyNumberFormat="1" applyFont="1"/>
    <xf numFmtId="10" fontId="42" fillId="0" borderId="0" xfId="5" applyNumberFormat="1" applyFont="1"/>
    <xf numFmtId="0" fontId="9" fillId="0" borderId="12" xfId="8" applyBorder="1"/>
    <xf numFmtId="9" fontId="34" fillId="0" borderId="7" xfId="5" applyFont="1" applyFill="1" applyBorder="1" applyProtection="1">
      <protection locked="0"/>
    </xf>
    <xf numFmtId="7" fontId="31" fillId="0" borderId="7" xfId="7" applyNumberFormat="1" applyFont="1" applyBorder="1"/>
    <xf numFmtId="7" fontId="115" fillId="0" borderId="7" xfId="7" applyNumberFormat="1" applyFont="1" applyBorder="1"/>
    <xf numFmtId="14" fontId="28" fillId="0" borderId="0" xfId="0" applyNumberFormat="1" applyFont="1"/>
    <xf numFmtId="14" fontId="31" fillId="0" borderId="0" xfId="0" applyNumberFormat="1" applyFont="1"/>
    <xf numFmtId="8" fontId="9" fillId="0" borderId="0" xfId="0" applyNumberFormat="1" applyFont="1"/>
    <xf numFmtId="5" fontId="5" fillId="0" borderId="7" xfId="4" applyNumberFormat="1" applyFont="1" applyBorder="1" applyProtection="1"/>
    <xf numFmtId="5" fontId="34" fillId="0" borderId="7" xfId="4" applyNumberFormat="1" applyFont="1" applyBorder="1" applyProtection="1"/>
    <xf numFmtId="37" fontId="8" fillId="0" borderId="12" xfId="6" applyFont="1" applyBorder="1" applyAlignment="1" applyProtection="1">
      <alignment vertical="top" wrapText="1"/>
      <protection locked="0"/>
    </xf>
    <xf numFmtId="37" fontId="8" fillId="0" borderId="0" xfId="6" applyFont="1" applyAlignment="1" applyProtection="1">
      <alignment vertical="top" wrapText="1"/>
      <protection locked="0"/>
    </xf>
    <xf numFmtId="37" fontId="8" fillId="0" borderId="23" xfId="6" applyFont="1" applyBorder="1" applyAlignment="1" applyProtection="1">
      <alignment vertical="top" wrapText="1"/>
      <protection locked="0"/>
    </xf>
    <xf numFmtId="37" fontId="8" fillId="0" borderId="15" xfId="6" applyFont="1" applyBorder="1" applyAlignment="1" applyProtection="1">
      <alignment vertical="top" wrapText="1"/>
      <protection locked="0"/>
    </xf>
    <xf numFmtId="37" fontId="8" fillId="0" borderId="5" xfId="6" applyFont="1" applyBorder="1" applyAlignment="1" applyProtection="1">
      <alignment vertical="top" wrapText="1"/>
      <protection locked="0"/>
    </xf>
    <xf numFmtId="37" fontId="8" fillId="0" borderId="24" xfId="6" applyFont="1" applyBorder="1" applyAlignment="1" applyProtection="1">
      <alignment vertical="top" wrapText="1"/>
      <protection locked="0"/>
    </xf>
    <xf numFmtId="37" fontId="5" fillId="5" borderId="11" xfId="7" quotePrefix="1" applyFont="1" applyFill="1" applyBorder="1" applyAlignment="1">
      <alignment horizontal="left"/>
    </xf>
    <xf numFmtId="37" fontId="5" fillId="5" borderId="0" xfId="7" quotePrefix="1" applyFont="1" applyFill="1" applyAlignment="1">
      <alignment horizontal="left"/>
    </xf>
    <xf numFmtId="37" fontId="5" fillId="0" borderId="5" xfId="7" quotePrefix="1" applyFont="1" applyBorder="1" applyAlignment="1">
      <alignment horizontal="left"/>
    </xf>
    <xf numFmtId="0" fontId="75" fillId="0" borderId="11" xfId="0" applyFont="1" applyBorder="1"/>
    <xf numFmtId="0" fontId="9" fillId="0" borderId="0" xfId="0" applyFont="1" applyAlignment="1">
      <alignment horizontal="center"/>
    </xf>
    <xf numFmtId="0" fontId="109" fillId="0" borderId="67" xfId="0" applyFont="1" applyBorder="1" applyAlignment="1">
      <alignment vertical="top" wrapText="1"/>
    </xf>
    <xf numFmtId="207" fontId="116" fillId="0" borderId="7" xfId="6" quotePrefix="1" applyNumberFormat="1" applyFont="1" applyBorder="1" applyAlignment="1">
      <alignment horizontal="right"/>
    </xf>
    <xf numFmtId="207" fontId="31" fillId="0" borderId="7" xfId="7" applyNumberFormat="1" applyFont="1" applyBorder="1"/>
    <xf numFmtId="208" fontId="5" fillId="0" borderId="7" xfId="7" quotePrefix="1" applyNumberFormat="1" applyFont="1" applyBorder="1" applyAlignment="1">
      <alignment horizontal="center"/>
    </xf>
    <xf numFmtId="7" fontId="34" fillId="0" borderId="7" xfId="6" quotePrefix="1" applyNumberFormat="1" applyFont="1" applyBorder="1" applyAlignment="1">
      <alignment horizontal="right"/>
    </xf>
    <xf numFmtId="0" fontId="5" fillId="0" borderId="5" xfId="8" applyFont="1" applyBorder="1" applyAlignment="1">
      <alignment horizontal="center"/>
    </xf>
    <xf numFmtId="186" fontId="31" fillId="0" borderId="7" xfId="8" applyNumberFormat="1" applyFont="1" applyBorder="1"/>
    <xf numFmtId="186" fontId="9" fillId="0" borderId="0" xfId="8" applyNumberFormat="1"/>
    <xf numFmtId="186" fontId="34" fillId="0" borderId="7" xfId="8" applyNumberFormat="1" applyFont="1" applyBorder="1"/>
    <xf numFmtId="10" fontId="5" fillId="0" borderId="5" xfId="5" applyNumberFormat="1" applyFont="1" applyBorder="1" applyAlignment="1">
      <alignment horizontal="center"/>
    </xf>
    <xf numFmtId="10" fontId="31" fillId="0" borderId="6" xfId="5" applyNumberFormat="1" applyFont="1" applyBorder="1"/>
    <xf numFmtId="10" fontId="9" fillId="0" borderId="0" xfId="5" applyNumberFormat="1"/>
    <xf numFmtId="10" fontId="31" fillId="0" borderId="7" xfId="5" applyNumberFormat="1" applyFont="1" applyBorder="1"/>
    <xf numFmtId="5" fontId="119" fillId="0" borderId="6" xfId="3" applyNumberFormat="1" applyFont="1" applyFill="1" applyBorder="1" applyAlignment="1">
      <alignment horizontal="right"/>
    </xf>
    <xf numFmtId="10" fontId="5" fillId="0" borderId="7" xfId="5" applyNumberFormat="1" applyFont="1" applyBorder="1"/>
    <xf numFmtId="200" fontId="129" fillId="0" borderId="66" xfId="0" applyNumberFormat="1" applyFont="1" applyBorder="1" applyAlignment="1">
      <alignment vertical="top" wrapText="1"/>
    </xf>
    <xf numFmtId="0" fontId="129" fillId="0" borderId="66" xfId="0" applyFont="1" applyBorder="1" applyAlignment="1">
      <alignment vertical="top" wrapText="1"/>
    </xf>
    <xf numFmtId="0" fontId="129" fillId="0" borderId="66" xfId="0" applyFont="1" applyBorder="1" applyAlignment="1">
      <alignment horizontal="center" vertical="top" wrapText="1"/>
    </xf>
    <xf numFmtId="200" fontId="129" fillId="0" borderId="66" xfId="0" applyNumberFormat="1" applyFont="1" applyBorder="1" applyAlignment="1">
      <alignment horizontal="center" vertical="top" wrapText="1"/>
    </xf>
    <xf numFmtId="200" fontId="129" fillId="0" borderId="66" xfId="0" applyNumberFormat="1" applyFont="1" applyBorder="1" applyAlignment="1">
      <alignment horizontal="right" vertical="top" wrapText="1"/>
    </xf>
    <xf numFmtId="0" fontId="129" fillId="34" borderId="67" xfId="0" applyFont="1" applyFill="1" applyBorder="1" applyAlignment="1">
      <alignment vertical="top" wrapText="1"/>
    </xf>
    <xf numFmtId="0" fontId="129" fillId="34" borderId="68" xfId="0" applyFont="1" applyFill="1" applyBorder="1" applyAlignment="1">
      <alignment vertical="top" wrapText="1"/>
    </xf>
    <xf numFmtId="0" fontId="129" fillId="34" borderId="69" xfId="0" applyFont="1" applyFill="1" applyBorder="1" applyAlignment="1">
      <alignment vertical="top" wrapText="1"/>
    </xf>
    <xf numFmtId="0" fontId="130" fillId="0" borderId="66" xfId="0" applyFont="1" applyBorder="1" applyAlignment="1">
      <alignment vertical="top" wrapText="1"/>
    </xf>
    <xf numFmtId="200" fontId="130" fillId="0" borderId="66" xfId="0" applyNumberFormat="1" applyFont="1" applyBorder="1" applyAlignment="1">
      <alignment horizontal="right" vertical="top" wrapText="1"/>
    </xf>
    <xf numFmtId="200" fontId="130" fillId="0" borderId="66" xfId="0" applyNumberFormat="1" applyFont="1" applyBorder="1" applyAlignment="1">
      <alignment horizontal="center" vertical="top" wrapText="1"/>
    </xf>
    <xf numFmtId="200" fontId="125" fillId="0" borderId="0" xfId="8" applyNumberFormat="1" applyFont="1"/>
    <xf numFmtId="201" fontId="112" fillId="37" borderId="70" xfId="0" applyNumberFormat="1" applyFont="1" applyFill="1" applyBorder="1" applyAlignment="1">
      <alignment horizontal="right"/>
    </xf>
    <xf numFmtId="201" fontId="112" fillId="37" borderId="71" xfId="0" applyNumberFormat="1" applyFont="1" applyFill="1" applyBorder="1" applyAlignment="1">
      <alignment horizontal="right"/>
    </xf>
    <xf numFmtId="10" fontId="9" fillId="29" borderId="0" xfId="8" applyNumberFormat="1" applyFill="1"/>
    <xf numFmtId="7" fontId="9" fillId="0" borderId="7" xfId="7" applyNumberFormat="1" applyFont="1" applyBorder="1" applyAlignment="1">
      <alignment horizontal="right"/>
    </xf>
    <xf numFmtId="10" fontId="8" fillId="0" borderId="7" xfId="5" applyNumberFormat="1" applyFont="1" applyFill="1" applyBorder="1" applyAlignment="1">
      <alignment horizontal="center"/>
    </xf>
    <xf numFmtId="10" fontId="5" fillId="0" borderId="5" xfId="7" applyNumberFormat="1" applyFont="1" applyBorder="1"/>
    <xf numFmtId="10" fontId="34" fillId="0" borderId="24" xfId="7" applyNumberFormat="1" applyFont="1" applyBorder="1"/>
    <xf numFmtId="10" fontId="34" fillId="0" borderId="7" xfId="5" applyNumberFormat="1" applyFont="1" applyBorder="1"/>
    <xf numFmtId="0" fontId="108" fillId="0" borderId="80" xfId="0" applyFont="1" applyBorder="1" applyAlignment="1">
      <alignment horizontal="left" vertical="top" wrapText="1"/>
    </xf>
    <xf numFmtId="0" fontId="108" fillId="0" borderId="80" xfId="0" applyFont="1" applyBorder="1" applyAlignment="1">
      <alignment horizontal="center" vertical="top" wrapText="1"/>
    </xf>
    <xf numFmtId="0" fontId="108" fillId="0" borderId="80" xfId="0" applyFont="1" applyBorder="1" applyAlignment="1">
      <alignment horizontal="right" vertical="top" wrapText="1"/>
    </xf>
    <xf numFmtId="0" fontId="122" fillId="0" borderId="80" xfId="0" applyFont="1" applyBorder="1" applyAlignment="1">
      <alignment horizontal="center" vertical="top" wrapText="1"/>
    </xf>
    <xf numFmtId="0" fontId="108" fillId="0" borderId="80" xfId="0" applyFont="1" applyBorder="1" applyAlignment="1">
      <alignment vertical="top" wrapText="1"/>
    </xf>
    <xf numFmtId="0" fontId="123" fillId="0" borderId="73" xfId="0" applyFont="1" applyBorder="1" applyAlignment="1">
      <alignment vertical="top" wrapText="1"/>
    </xf>
    <xf numFmtId="0" fontId="108" fillId="0" borderId="81" xfId="0" applyFont="1" applyBorder="1" applyAlignment="1">
      <alignment vertical="top" wrapText="1"/>
    </xf>
    <xf numFmtId="205" fontId="108" fillId="0" borderId="80" xfId="0" applyNumberFormat="1" applyFont="1" applyBorder="1" applyAlignment="1">
      <alignment vertical="top" wrapText="1"/>
    </xf>
    <xf numFmtId="0" fontId="108" fillId="0" borderId="67" xfId="0" applyFont="1" applyBorder="1" applyAlignment="1">
      <alignment vertical="top" wrapText="1"/>
    </xf>
    <xf numFmtId="0" fontId="108" fillId="0" borderId="68" xfId="0" applyFont="1" applyBorder="1" applyAlignment="1">
      <alignment vertical="top" wrapText="1"/>
    </xf>
    <xf numFmtId="0" fontId="108" fillId="0" borderId="69" xfId="0" applyFont="1" applyBorder="1" applyAlignment="1">
      <alignment vertical="top" wrapText="1"/>
    </xf>
    <xf numFmtId="0" fontId="109" fillId="0" borderId="67" xfId="0" applyFont="1" applyBorder="1" applyAlignment="1">
      <alignment vertical="top" wrapText="1"/>
    </xf>
    <xf numFmtId="0" fontId="109" fillId="0" borderId="68" xfId="0" applyFont="1" applyBorder="1" applyAlignment="1">
      <alignment vertical="top" wrapText="1"/>
    </xf>
    <xf numFmtId="0" fontId="109" fillId="0" borderId="69" xfId="0" applyFont="1" applyBorder="1" applyAlignment="1">
      <alignment vertical="top" wrapText="1"/>
    </xf>
    <xf numFmtId="0" fontId="109" fillId="0" borderId="0" xfId="0" applyFont="1" applyAlignment="1">
      <alignment vertical="top" wrapText="1"/>
    </xf>
    <xf numFmtId="0" fontId="129" fillId="0" borderId="67" xfId="0" applyFont="1" applyBorder="1" applyAlignment="1">
      <alignment vertical="top" wrapText="1"/>
    </xf>
    <xf numFmtId="0" fontId="108" fillId="0" borderId="0" xfId="0" applyFont="1" applyAlignment="1">
      <alignment horizontal="left" vertical="top" wrapText="1"/>
    </xf>
    <xf numFmtId="0" fontId="3" fillId="0" borderId="0" xfId="8" applyFont="1" applyAlignment="1">
      <alignment horizontal="center"/>
    </xf>
    <xf numFmtId="37" fontId="6" fillId="0" borderId="2" xfId="7" applyFont="1" applyBorder="1" applyAlignment="1">
      <alignment horizontal="center"/>
    </xf>
    <xf numFmtId="37" fontId="7" fillId="0" borderId="8" xfId="7" applyFont="1" applyBorder="1" applyAlignment="1">
      <alignment horizontal="center"/>
    </xf>
    <xf numFmtId="37" fontId="7" fillId="0" borderId="9" xfId="7" applyFont="1" applyBorder="1" applyAlignment="1">
      <alignment horizontal="center"/>
    </xf>
    <xf numFmtId="37" fontId="7" fillId="0" borderId="10" xfId="7" applyFont="1" applyBorder="1" applyAlignment="1">
      <alignment horizontal="center"/>
    </xf>
    <xf numFmtId="38" fontId="7" fillId="0" borderId="8" xfId="1" applyNumberFormat="1" applyFont="1" applyFill="1" applyBorder="1" applyAlignment="1">
      <alignment horizontal="center"/>
    </xf>
    <xf numFmtId="38" fontId="7" fillId="0" borderId="9" xfId="1" applyNumberFormat="1" applyFont="1" applyFill="1" applyBorder="1" applyAlignment="1">
      <alignment horizontal="center"/>
    </xf>
    <xf numFmtId="38" fontId="7" fillId="0" borderId="10" xfId="1" applyNumberFormat="1" applyFont="1" applyFill="1" applyBorder="1" applyAlignment="1">
      <alignment horizontal="center"/>
    </xf>
    <xf numFmtId="37" fontId="7" fillId="0" borderId="8" xfId="6" applyFont="1" applyBorder="1" applyAlignment="1" applyProtection="1">
      <alignment horizontal="center"/>
      <protection locked="0"/>
    </xf>
    <xf numFmtId="37" fontId="7" fillId="0" borderId="9" xfId="6" applyFont="1" applyBorder="1" applyAlignment="1" applyProtection="1">
      <alignment horizontal="center"/>
      <protection locked="0"/>
    </xf>
    <xf numFmtId="37" fontId="7" fillId="0" borderId="10" xfId="6" applyFont="1" applyBorder="1" applyAlignment="1" applyProtection="1">
      <alignment horizontal="center"/>
      <protection locked="0"/>
    </xf>
    <xf numFmtId="1" fontId="5" fillId="0" borderId="25" xfId="7" applyNumberFormat="1" applyFont="1" applyBorder="1" applyAlignment="1">
      <alignment horizontal="center"/>
    </xf>
    <xf numFmtId="1" fontId="5" fillId="0" borderId="30" xfId="7" applyNumberFormat="1" applyFont="1" applyBorder="1" applyAlignment="1">
      <alignment horizontal="center"/>
    </xf>
    <xf numFmtId="0" fontId="44" fillId="0" borderId="0" xfId="7" applyNumberFormat="1" applyFont="1" applyAlignment="1" applyProtection="1">
      <alignment vertical="top" wrapText="1"/>
      <protection locked="0"/>
    </xf>
    <xf numFmtId="0" fontId="3" fillId="0" borderId="0" xfId="0" applyFont="1" applyAlignment="1">
      <alignment horizontal="center"/>
    </xf>
    <xf numFmtId="37" fontId="3" fillId="0" borderId="0" xfId="6" applyFont="1" applyAlignment="1">
      <alignment horizontal="center"/>
    </xf>
    <xf numFmtId="37" fontId="3" fillId="0" borderId="14" xfId="6" applyFont="1" applyBorder="1" applyAlignment="1">
      <alignment horizontal="center"/>
    </xf>
    <xf numFmtId="0" fontId="121" fillId="31" borderId="0" xfId="17" applyFont="1" applyFill="1" applyAlignment="1">
      <alignment horizontal="left" vertical="center" wrapText="1"/>
    </xf>
    <xf numFmtId="0" fontId="109" fillId="0" borderId="75" xfId="0" applyFont="1" applyBorder="1" applyAlignment="1">
      <alignment vertical="top" wrapText="1"/>
    </xf>
    <xf numFmtId="0" fontId="109" fillId="0" borderId="76" xfId="0" applyFont="1" applyBorder="1" applyAlignment="1">
      <alignment vertical="top" wrapText="1"/>
    </xf>
    <xf numFmtId="0" fontId="108" fillId="0" borderId="80" xfId="0" applyFont="1" applyBorder="1" applyAlignment="1">
      <alignment vertical="top" wrapText="1"/>
    </xf>
    <xf numFmtId="0" fontId="108" fillId="0" borderId="82" xfId="0" applyFont="1" applyBorder="1" applyAlignment="1">
      <alignment vertical="top" wrapText="1"/>
    </xf>
    <xf numFmtId="0" fontId="109" fillId="0" borderId="81" xfId="0" applyFont="1" applyBorder="1" applyAlignment="1">
      <alignment vertical="top" wrapText="1"/>
    </xf>
    <xf numFmtId="0" fontId="109" fillId="0" borderId="80" xfId="0" applyFont="1" applyBorder="1" applyAlignment="1">
      <alignment vertical="top" wrapText="1"/>
    </xf>
    <xf numFmtId="0" fontId="109" fillId="0" borderId="82" xfId="0" applyFont="1" applyBorder="1" applyAlignment="1">
      <alignment vertical="top" wrapText="1"/>
    </xf>
    <xf numFmtId="0" fontId="131" fillId="0" borderId="75" xfId="0" applyFont="1" applyBorder="1" applyAlignment="1">
      <alignment horizontal="left" vertical="top" wrapText="1"/>
    </xf>
    <xf numFmtId="0" fontId="36" fillId="16" borderId="12" xfId="0" applyFont="1" applyFill="1" applyBorder="1" applyAlignment="1">
      <alignment horizontal="left" wrapText="1"/>
    </xf>
    <xf numFmtId="0" fontId="36" fillId="16" borderId="0" xfId="0" applyFont="1" applyFill="1" applyAlignment="1">
      <alignment horizontal="left" wrapText="1"/>
    </xf>
    <xf numFmtId="0" fontId="36" fillId="16" borderId="23" xfId="0" applyFont="1" applyFill="1" applyBorder="1" applyAlignment="1">
      <alignment horizontal="left" wrapText="1"/>
    </xf>
    <xf numFmtId="0" fontId="36" fillId="16" borderId="15" xfId="0" applyFont="1" applyFill="1" applyBorder="1" applyAlignment="1">
      <alignment horizontal="left" wrapText="1"/>
    </xf>
    <xf numFmtId="0" fontId="36" fillId="16" borderId="5" xfId="0" applyFont="1" applyFill="1" applyBorder="1" applyAlignment="1">
      <alignment horizontal="left" wrapText="1"/>
    </xf>
    <xf numFmtId="0" fontId="36" fillId="16" borderId="24" xfId="0" applyFont="1" applyFill="1" applyBorder="1" applyAlignment="1">
      <alignment horizontal="left" wrapText="1"/>
    </xf>
    <xf numFmtId="0" fontId="26" fillId="11" borderId="11" xfId="0" applyFont="1" applyFill="1" applyBorder="1" applyAlignment="1">
      <alignment horizontal="center"/>
    </xf>
    <xf numFmtId="17" fontId="80" fillId="0" borderId="24" xfId="0" applyNumberFormat="1" applyFont="1" applyBorder="1" applyAlignment="1">
      <alignment horizontal="center"/>
    </xf>
    <xf numFmtId="0" fontId="9" fillId="0" borderId="16" xfId="0" applyFont="1" applyBorder="1" applyAlignment="1">
      <alignment horizontal="left" vertical="top" wrapText="1"/>
    </xf>
    <xf numFmtId="0" fontId="9" fillId="0" borderId="33" xfId="0" applyFont="1" applyBorder="1" applyAlignment="1">
      <alignment horizontal="left" vertical="top" wrapText="1"/>
    </xf>
    <xf numFmtId="0" fontId="9" fillId="0" borderId="16" xfId="0" applyFont="1" applyBorder="1" applyAlignment="1">
      <alignment horizontal="left" vertical="center" wrapText="1"/>
    </xf>
    <xf numFmtId="0" fontId="9" fillId="0" borderId="33" xfId="0" applyFont="1" applyBorder="1" applyAlignment="1">
      <alignment horizontal="left" vertical="center" wrapText="1"/>
    </xf>
    <xf numFmtId="0" fontId="9" fillId="0" borderId="16" xfId="0" applyFont="1" applyBorder="1" applyAlignment="1">
      <alignment horizontal="left" wrapText="1"/>
    </xf>
    <xf numFmtId="0" fontId="9" fillId="0" borderId="33" xfId="0" applyFont="1" applyBorder="1" applyAlignment="1">
      <alignment horizontal="left" wrapText="1"/>
    </xf>
    <xf numFmtId="4" fontId="109" fillId="0" borderId="66" xfId="0" applyNumberFormat="1" applyFont="1" applyBorder="1" applyAlignment="1">
      <alignment horizontal="right" vertical="top" wrapText="1"/>
    </xf>
    <xf numFmtId="4" fontId="109" fillId="0" borderId="66" xfId="1" applyNumberFormat="1" applyFont="1" applyFill="1" applyBorder="1" applyAlignment="1">
      <alignment horizontal="right" vertical="top" wrapText="1"/>
    </xf>
    <xf numFmtId="4" fontId="109" fillId="26" borderId="66" xfId="0" applyNumberFormat="1" applyFont="1" applyFill="1" applyBorder="1" applyAlignment="1">
      <alignment horizontal="right" vertical="top" wrapText="1"/>
    </xf>
    <xf numFmtId="4" fontId="109" fillId="0" borderId="69" xfId="0" applyNumberFormat="1" applyFont="1" applyBorder="1" applyAlignment="1">
      <alignment vertical="top" wrapText="1"/>
    </xf>
    <xf numFmtId="4" fontId="108" fillId="0" borderId="66" xfId="0" applyNumberFormat="1" applyFont="1" applyBorder="1" applyAlignment="1">
      <alignment horizontal="right" vertical="top" wrapText="1"/>
    </xf>
  </cellXfs>
  <cellStyles count="18">
    <cellStyle name="Bad" xfId="13" builtinId="27"/>
    <cellStyle name="Comma" xfId="1" builtinId="3"/>
    <cellStyle name="Comma [0]" xfId="2" builtinId="6"/>
    <cellStyle name="Comma 2" xfId="16" xr:uid="{A0AB9D73-7C99-4EF7-9D77-D231A697AFA0}"/>
    <cellStyle name="Currency" xfId="3" builtinId="4"/>
    <cellStyle name="Currency [0]" xfId="4" builtinId="7"/>
    <cellStyle name="Good" xfId="12" builtinId="26"/>
    <cellStyle name="Hyperlink" xfId="14" builtinId="8"/>
    <cellStyle name="Neutral" xfId="15" builtinId="28"/>
    <cellStyle name="Normal" xfId="0" builtinId="0"/>
    <cellStyle name="Normal 2" xfId="8" xr:uid="{CF5E123F-DFB6-4593-B45A-507D5D65BC2F}"/>
    <cellStyle name="Normal 3" xfId="9" xr:uid="{52488AF6-B530-4399-AF26-0E95F911C0F2}"/>
    <cellStyle name="Normal 4" xfId="10" xr:uid="{DBA9784C-3EBA-4586-A74E-2B6F6EA0FD29}"/>
    <cellStyle name="Normal 6 2" xfId="17" xr:uid="{EC8BB715-DE7D-4BCF-A524-9F5A3CD55E93}"/>
    <cellStyle name="Normal_ADJUST" xfId="6" xr:uid="{D6B91553-9574-4134-B3B3-1A6B203179AE}"/>
    <cellStyle name="Normal_OPERAT" xfId="7" xr:uid="{041D49C3-C660-4BC9-811A-52FE8083339D}"/>
    <cellStyle name="Percent" xfId="5" builtinId="5"/>
    <cellStyle name="Percent 2" xfId="11" xr:uid="{09D3A71D-2DA0-43CF-975A-64BA4DFCAE55}"/>
  </cellStyles>
  <dxfs count="62">
    <dxf>
      <font>
        <color auto="1"/>
      </font>
    </dxf>
    <dxf>
      <font>
        <color auto="1"/>
      </font>
    </dxf>
    <dxf>
      <font>
        <color auto="1"/>
      </font>
    </dxf>
    <dxf>
      <font>
        <color auto="1"/>
      </font>
    </dxf>
    <dxf>
      <font>
        <color auto="1"/>
      </font>
    </dxf>
    <dxf>
      <font>
        <color rgb="FF9C0006"/>
      </font>
      <fill>
        <patternFill>
          <bgColor rgb="FFFFC7CE"/>
        </patternFill>
      </fill>
    </dxf>
    <dxf>
      <font>
        <color auto="1"/>
      </font>
    </dxf>
    <dxf>
      <font>
        <color auto="1"/>
      </font>
    </dxf>
    <dxf>
      <font>
        <color rgb="FF9C0006"/>
      </font>
      <fill>
        <patternFill>
          <bgColor rgb="FFFFC7CE"/>
        </patternFill>
      </fill>
    </dxf>
    <dxf>
      <font>
        <color auto="1"/>
      </font>
    </dxf>
    <dxf>
      <font>
        <color auto="1"/>
      </font>
    </dxf>
    <dxf>
      <font>
        <color auto="1"/>
      </font>
    </dxf>
    <dxf>
      <font>
        <color auto="1"/>
      </font>
    </dxf>
    <dxf>
      <font>
        <color auto="1"/>
      </font>
    </dxf>
    <dxf>
      <font>
        <color auto="1"/>
      </font>
    </dxf>
    <dxf>
      <font>
        <color rgb="FF9C0006"/>
      </font>
      <fill>
        <patternFill>
          <bgColor rgb="FFFFC7CE"/>
        </patternFill>
      </fill>
    </dxf>
    <dxf>
      <font>
        <color auto="1"/>
      </font>
    </dxf>
    <dxf>
      <font>
        <color auto="1"/>
      </font>
    </dxf>
    <dxf>
      <font>
        <color auto="1"/>
      </font>
    </dxf>
    <dxf>
      <font>
        <color auto="1"/>
      </font>
    </dxf>
    <dxf>
      <font>
        <color auto="1"/>
      </font>
    </dxf>
    <dxf>
      <font>
        <color auto="1"/>
      </font>
    </dxf>
    <dxf>
      <font>
        <color auto="1"/>
      </font>
    </dxf>
    <dxf>
      <font>
        <color auto="1"/>
      </font>
    </dxf>
    <dxf>
      <font>
        <color rgb="FF006100"/>
      </font>
      <fill>
        <patternFill>
          <bgColor rgb="FFC6EFCE"/>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9C0006"/>
      </font>
      <fill>
        <patternFill>
          <bgColor rgb="FFFFC7CE"/>
        </patternFill>
      </fill>
    </dxf>
    <dxf>
      <font>
        <color auto="1"/>
      </font>
    </dxf>
    <dxf>
      <font>
        <color auto="1"/>
      </font>
    </dxf>
    <dxf>
      <font>
        <color auto="1"/>
      </font>
    </dxf>
    <dxf>
      <font>
        <color theme="0"/>
      </font>
      <fill>
        <patternFill>
          <bgColor theme="0"/>
        </patternFill>
      </fill>
      <border>
        <left/>
        <right/>
        <top/>
        <bottom/>
      </border>
    </dxf>
    <dxf>
      <font>
        <color rgb="FFC00000"/>
      </font>
    </dxf>
    <dxf>
      <font>
        <color rgb="FF00B050"/>
      </font>
    </dxf>
    <dxf>
      <font>
        <color auto="1"/>
      </font>
    </dxf>
    <dxf>
      <font>
        <color auto="1"/>
      </font>
    </dxf>
    <dxf>
      <font>
        <color theme="1"/>
      </font>
    </dxf>
    <dxf>
      <font>
        <color auto="1"/>
      </font>
    </dxf>
    <dxf>
      <font>
        <color auto="1"/>
      </font>
    </dxf>
    <dxf>
      <font>
        <color auto="1"/>
      </font>
    </dxf>
    <dxf>
      <font>
        <color auto="1"/>
      </font>
    </dxf>
    <dxf>
      <font>
        <color rgb="FF9C0006"/>
      </font>
      <fill>
        <patternFill>
          <bgColor rgb="FFFFC7CE"/>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colors>
    <mruColors>
      <color rgb="FF0000FF"/>
      <color rgb="FFFF99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16</xdr:col>
      <xdr:colOff>191621</xdr:colOff>
      <xdr:row>0</xdr:row>
      <xdr:rowOff>19049</xdr:rowOff>
    </xdr:from>
    <xdr:to>
      <xdr:col>27</xdr:col>
      <xdr:colOff>293427</xdr:colOff>
      <xdr:row>14</xdr:row>
      <xdr:rowOff>49617</xdr:rowOff>
    </xdr:to>
    <xdr:pic>
      <xdr:nvPicPr>
        <xdr:cNvPr id="3" name="Picture 2">
          <a:extLst>
            <a:ext uri="{FF2B5EF4-FFF2-40B4-BE49-F238E27FC236}">
              <a16:creationId xmlns:a16="http://schemas.microsoft.com/office/drawing/2014/main" id="{9B70815D-8E71-4092-B60C-05045934AA60}"/>
            </a:ext>
          </a:extLst>
        </xdr:cNvPr>
        <xdr:cNvPicPr>
          <a:picLocks noChangeAspect="1"/>
        </xdr:cNvPicPr>
      </xdr:nvPicPr>
      <xdr:blipFill>
        <a:blip xmlns:r="http://schemas.openxmlformats.org/officeDocument/2006/relationships" r:embed="rId1"/>
        <a:stretch>
          <a:fillRect/>
        </a:stretch>
      </xdr:blipFill>
      <xdr:spPr>
        <a:xfrm>
          <a:off x="17727146" y="19049"/>
          <a:ext cx="7226506" cy="2668993"/>
        </a:xfrm>
        <a:prstGeom prst="rect">
          <a:avLst/>
        </a:prstGeom>
      </xdr:spPr>
    </xdr:pic>
    <xdr:clientData/>
  </xdr:twoCellAnchor>
  <xdr:twoCellAnchor editAs="oneCell">
    <xdr:from>
      <xdr:col>16</xdr:col>
      <xdr:colOff>207277</xdr:colOff>
      <xdr:row>14</xdr:row>
      <xdr:rowOff>66612</xdr:rowOff>
    </xdr:from>
    <xdr:to>
      <xdr:col>27</xdr:col>
      <xdr:colOff>142409</xdr:colOff>
      <xdr:row>38</xdr:row>
      <xdr:rowOff>86551</xdr:rowOff>
    </xdr:to>
    <xdr:pic>
      <xdr:nvPicPr>
        <xdr:cNvPr id="4" name="Picture 3">
          <a:extLst>
            <a:ext uri="{FF2B5EF4-FFF2-40B4-BE49-F238E27FC236}">
              <a16:creationId xmlns:a16="http://schemas.microsoft.com/office/drawing/2014/main" id="{723C8EA9-B5A1-4346-970B-FB684669DA69}"/>
            </a:ext>
          </a:extLst>
        </xdr:cNvPr>
        <xdr:cNvPicPr>
          <a:picLocks noChangeAspect="1"/>
        </xdr:cNvPicPr>
      </xdr:nvPicPr>
      <xdr:blipFill>
        <a:blip xmlns:r="http://schemas.openxmlformats.org/officeDocument/2006/relationships" r:embed="rId2"/>
        <a:stretch>
          <a:fillRect/>
        </a:stretch>
      </xdr:blipFill>
      <xdr:spPr>
        <a:xfrm>
          <a:off x="17742802" y="2705037"/>
          <a:ext cx="7059832" cy="3982339"/>
        </a:xfrm>
        <a:prstGeom prst="rect">
          <a:avLst/>
        </a:prstGeom>
      </xdr:spPr>
    </xdr:pic>
    <xdr:clientData/>
  </xdr:twoCellAnchor>
  <xdr:twoCellAnchor editAs="oneCell">
    <xdr:from>
      <xdr:col>16</xdr:col>
      <xdr:colOff>249732</xdr:colOff>
      <xdr:row>38</xdr:row>
      <xdr:rowOff>75140</xdr:rowOff>
    </xdr:from>
    <xdr:to>
      <xdr:col>27</xdr:col>
      <xdr:colOff>209735</xdr:colOff>
      <xdr:row>53</xdr:row>
      <xdr:rowOff>19515</xdr:rowOff>
    </xdr:to>
    <xdr:pic>
      <xdr:nvPicPr>
        <xdr:cNvPr id="5" name="Picture 4">
          <a:extLst>
            <a:ext uri="{FF2B5EF4-FFF2-40B4-BE49-F238E27FC236}">
              <a16:creationId xmlns:a16="http://schemas.microsoft.com/office/drawing/2014/main" id="{BD8F7C01-29BC-45F0-94E9-D7DD5736FAAC}"/>
            </a:ext>
          </a:extLst>
        </xdr:cNvPr>
        <xdr:cNvPicPr>
          <a:picLocks noChangeAspect="1"/>
        </xdr:cNvPicPr>
      </xdr:nvPicPr>
      <xdr:blipFill>
        <a:blip xmlns:r="http://schemas.openxmlformats.org/officeDocument/2006/relationships" r:embed="rId3"/>
        <a:stretch>
          <a:fillRect/>
        </a:stretch>
      </xdr:blipFill>
      <xdr:spPr>
        <a:xfrm>
          <a:off x="17785257" y="6675965"/>
          <a:ext cx="7084703" cy="2430400"/>
        </a:xfrm>
        <a:prstGeom prst="rect">
          <a:avLst/>
        </a:prstGeom>
      </xdr:spPr>
    </xdr:pic>
    <xdr:clientData/>
  </xdr:twoCellAnchor>
  <xdr:twoCellAnchor editAs="oneCell">
    <xdr:from>
      <xdr:col>16</xdr:col>
      <xdr:colOff>283572</xdr:colOff>
      <xdr:row>53</xdr:row>
      <xdr:rowOff>29137</xdr:rowOff>
    </xdr:from>
    <xdr:to>
      <xdr:col>27</xdr:col>
      <xdr:colOff>287167</xdr:colOff>
      <xdr:row>66</xdr:row>
      <xdr:rowOff>8375</xdr:rowOff>
    </xdr:to>
    <xdr:pic>
      <xdr:nvPicPr>
        <xdr:cNvPr id="6" name="Picture 5">
          <a:extLst>
            <a:ext uri="{FF2B5EF4-FFF2-40B4-BE49-F238E27FC236}">
              <a16:creationId xmlns:a16="http://schemas.microsoft.com/office/drawing/2014/main" id="{659B9376-4FA9-47E7-902F-1154B351F1EE}"/>
            </a:ext>
          </a:extLst>
        </xdr:cNvPr>
        <xdr:cNvPicPr>
          <a:picLocks noChangeAspect="1"/>
        </xdr:cNvPicPr>
      </xdr:nvPicPr>
      <xdr:blipFill>
        <a:blip xmlns:r="http://schemas.openxmlformats.org/officeDocument/2006/relationships" r:embed="rId4"/>
        <a:stretch>
          <a:fillRect/>
        </a:stretch>
      </xdr:blipFill>
      <xdr:spPr>
        <a:xfrm>
          <a:off x="17819097" y="9115987"/>
          <a:ext cx="7128295" cy="2189038"/>
        </a:xfrm>
        <a:prstGeom prst="rect">
          <a:avLst/>
        </a:prstGeom>
      </xdr:spPr>
    </xdr:pic>
    <xdr:clientData/>
  </xdr:twoCellAnchor>
  <xdr:twoCellAnchor editAs="oneCell">
    <xdr:from>
      <xdr:col>27</xdr:col>
      <xdr:colOff>388284</xdr:colOff>
      <xdr:row>0</xdr:row>
      <xdr:rowOff>65274</xdr:rowOff>
    </xdr:from>
    <xdr:to>
      <xdr:col>38</xdr:col>
      <xdr:colOff>401403</xdr:colOff>
      <xdr:row>11</xdr:row>
      <xdr:rowOff>105583</xdr:rowOff>
    </xdr:to>
    <xdr:pic>
      <xdr:nvPicPr>
        <xdr:cNvPr id="7" name="Picture 6">
          <a:extLst>
            <a:ext uri="{FF2B5EF4-FFF2-40B4-BE49-F238E27FC236}">
              <a16:creationId xmlns:a16="http://schemas.microsoft.com/office/drawing/2014/main" id="{CEE41866-8AB5-42B9-9D96-AA26F9302325}"/>
            </a:ext>
          </a:extLst>
        </xdr:cNvPr>
        <xdr:cNvPicPr>
          <a:picLocks noChangeAspect="1"/>
        </xdr:cNvPicPr>
      </xdr:nvPicPr>
      <xdr:blipFill>
        <a:blip xmlns:r="http://schemas.openxmlformats.org/officeDocument/2006/relationships" r:embed="rId4"/>
        <a:stretch>
          <a:fillRect/>
        </a:stretch>
      </xdr:blipFill>
      <xdr:spPr>
        <a:xfrm>
          <a:off x="25048509" y="65274"/>
          <a:ext cx="7137819" cy="2192959"/>
        </a:xfrm>
        <a:prstGeom prst="rect">
          <a:avLst/>
        </a:prstGeom>
      </xdr:spPr>
    </xdr:pic>
    <xdr:clientData/>
  </xdr:twoCellAnchor>
  <xdr:twoCellAnchor editAs="oneCell">
    <xdr:from>
      <xdr:col>27</xdr:col>
      <xdr:colOff>342836</xdr:colOff>
      <xdr:row>11</xdr:row>
      <xdr:rowOff>104278</xdr:rowOff>
    </xdr:from>
    <xdr:to>
      <xdr:col>38</xdr:col>
      <xdr:colOff>359847</xdr:colOff>
      <xdr:row>44</xdr:row>
      <xdr:rowOff>75203</xdr:rowOff>
    </xdr:to>
    <xdr:pic>
      <xdr:nvPicPr>
        <xdr:cNvPr id="8" name="Picture 7">
          <a:extLst>
            <a:ext uri="{FF2B5EF4-FFF2-40B4-BE49-F238E27FC236}">
              <a16:creationId xmlns:a16="http://schemas.microsoft.com/office/drawing/2014/main" id="{4AD8B96C-19C6-4DF5-8135-638725D37551}"/>
            </a:ext>
          </a:extLst>
        </xdr:cNvPr>
        <xdr:cNvPicPr>
          <a:picLocks noChangeAspect="1"/>
        </xdr:cNvPicPr>
      </xdr:nvPicPr>
      <xdr:blipFill>
        <a:blip xmlns:r="http://schemas.openxmlformats.org/officeDocument/2006/relationships" r:embed="rId5"/>
        <a:stretch>
          <a:fillRect/>
        </a:stretch>
      </xdr:blipFill>
      <xdr:spPr>
        <a:xfrm>
          <a:off x="25003061" y="2256928"/>
          <a:ext cx="7141711" cy="5390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814916</xdr:colOff>
      <xdr:row>2</xdr:row>
      <xdr:rowOff>31750</xdr:rowOff>
    </xdr:from>
    <xdr:to>
      <xdr:col>23</xdr:col>
      <xdr:colOff>456659</xdr:colOff>
      <xdr:row>16</xdr:row>
      <xdr:rowOff>105834</xdr:rowOff>
    </xdr:to>
    <xdr:pic>
      <xdr:nvPicPr>
        <xdr:cNvPr id="6" name="Picture 5">
          <a:extLst>
            <a:ext uri="{FF2B5EF4-FFF2-40B4-BE49-F238E27FC236}">
              <a16:creationId xmlns:a16="http://schemas.microsoft.com/office/drawing/2014/main" id="{7C8C14F1-8C54-61EB-3832-83CC02A914CE}"/>
            </a:ext>
          </a:extLst>
        </xdr:cNvPr>
        <xdr:cNvPicPr>
          <a:picLocks noChangeAspect="1"/>
        </xdr:cNvPicPr>
      </xdr:nvPicPr>
      <xdr:blipFill>
        <a:blip xmlns:r="http://schemas.openxmlformats.org/officeDocument/2006/relationships" r:embed="rId1"/>
        <a:stretch>
          <a:fillRect/>
        </a:stretch>
      </xdr:blipFill>
      <xdr:spPr>
        <a:xfrm>
          <a:off x="19187583" y="423333"/>
          <a:ext cx="7246397" cy="2614084"/>
        </a:xfrm>
        <a:prstGeom prst="rect">
          <a:avLst/>
        </a:prstGeom>
      </xdr:spPr>
    </xdr:pic>
    <xdr:clientData/>
  </xdr:twoCellAnchor>
  <xdr:twoCellAnchor editAs="oneCell">
    <xdr:from>
      <xdr:col>15</xdr:col>
      <xdr:colOff>862011</xdr:colOff>
      <xdr:row>17</xdr:row>
      <xdr:rowOff>15346</xdr:rowOff>
    </xdr:from>
    <xdr:to>
      <xdr:col>24</xdr:col>
      <xdr:colOff>426508</xdr:colOff>
      <xdr:row>39</xdr:row>
      <xdr:rowOff>27192</xdr:rowOff>
    </xdr:to>
    <xdr:pic>
      <xdr:nvPicPr>
        <xdr:cNvPr id="7" name="Picture 6">
          <a:extLst>
            <a:ext uri="{FF2B5EF4-FFF2-40B4-BE49-F238E27FC236}">
              <a16:creationId xmlns:a16="http://schemas.microsoft.com/office/drawing/2014/main" id="{E0ED2662-18E8-6CA2-51AE-CC840458F373}"/>
            </a:ext>
          </a:extLst>
        </xdr:cNvPr>
        <xdr:cNvPicPr>
          <a:picLocks noChangeAspect="1"/>
        </xdr:cNvPicPr>
      </xdr:nvPicPr>
      <xdr:blipFill>
        <a:blip xmlns:r="http://schemas.openxmlformats.org/officeDocument/2006/relationships" r:embed="rId2"/>
        <a:stretch>
          <a:fillRect/>
        </a:stretch>
      </xdr:blipFill>
      <xdr:spPr>
        <a:xfrm>
          <a:off x="19594511" y="3105679"/>
          <a:ext cx="7084485" cy="3870001"/>
        </a:xfrm>
        <a:prstGeom prst="rect">
          <a:avLst/>
        </a:prstGeom>
      </xdr:spPr>
    </xdr:pic>
    <xdr:clientData/>
  </xdr:twoCellAnchor>
  <xdr:twoCellAnchor editAs="oneCell">
    <xdr:from>
      <xdr:col>15</xdr:col>
      <xdr:colOff>878413</xdr:colOff>
      <xdr:row>39</xdr:row>
      <xdr:rowOff>36512</xdr:rowOff>
    </xdr:from>
    <xdr:to>
      <xdr:col>24</xdr:col>
      <xdr:colOff>458257</xdr:colOff>
      <xdr:row>52</xdr:row>
      <xdr:rowOff>57678</xdr:rowOff>
    </xdr:to>
    <xdr:pic>
      <xdr:nvPicPr>
        <xdr:cNvPr id="8" name="Picture 7">
          <a:extLst>
            <a:ext uri="{FF2B5EF4-FFF2-40B4-BE49-F238E27FC236}">
              <a16:creationId xmlns:a16="http://schemas.microsoft.com/office/drawing/2014/main" id="{AE027E70-D66F-703B-F36D-5B70EBE28BBE}"/>
            </a:ext>
          </a:extLst>
        </xdr:cNvPr>
        <xdr:cNvPicPr>
          <a:picLocks noChangeAspect="1"/>
        </xdr:cNvPicPr>
      </xdr:nvPicPr>
      <xdr:blipFill>
        <a:blip xmlns:r="http://schemas.openxmlformats.org/officeDocument/2006/relationships" r:embed="rId3"/>
        <a:stretch>
          <a:fillRect/>
        </a:stretch>
      </xdr:blipFill>
      <xdr:spPr>
        <a:xfrm>
          <a:off x="19251080" y="7032095"/>
          <a:ext cx="7133169" cy="2360083"/>
        </a:xfrm>
        <a:prstGeom prst="rect">
          <a:avLst/>
        </a:prstGeom>
      </xdr:spPr>
    </xdr:pic>
    <xdr:clientData/>
  </xdr:twoCellAnchor>
  <xdr:twoCellAnchor editAs="oneCell">
    <xdr:from>
      <xdr:col>15</xdr:col>
      <xdr:colOff>893763</xdr:colOff>
      <xdr:row>52</xdr:row>
      <xdr:rowOff>84667</xdr:rowOff>
    </xdr:from>
    <xdr:to>
      <xdr:col>24</xdr:col>
      <xdr:colOff>521961</xdr:colOff>
      <xdr:row>64</xdr:row>
      <xdr:rowOff>84667</xdr:rowOff>
    </xdr:to>
    <xdr:pic>
      <xdr:nvPicPr>
        <xdr:cNvPr id="2" name="Picture 1">
          <a:extLst>
            <a:ext uri="{FF2B5EF4-FFF2-40B4-BE49-F238E27FC236}">
              <a16:creationId xmlns:a16="http://schemas.microsoft.com/office/drawing/2014/main" id="{836BEE19-F5E5-1BAB-C0DE-B0559D0DD8EA}"/>
            </a:ext>
          </a:extLst>
        </xdr:cNvPr>
        <xdr:cNvPicPr>
          <a:picLocks noChangeAspect="1"/>
        </xdr:cNvPicPr>
      </xdr:nvPicPr>
      <xdr:blipFill>
        <a:blip xmlns:r="http://schemas.openxmlformats.org/officeDocument/2006/relationships" r:embed="rId4"/>
        <a:stretch>
          <a:fillRect/>
        </a:stretch>
      </xdr:blipFill>
      <xdr:spPr>
        <a:xfrm>
          <a:off x="19192346" y="9376834"/>
          <a:ext cx="7148186" cy="2148416"/>
        </a:xfrm>
        <a:prstGeom prst="rect">
          <a:avLst/>
        </a:prstGeom>
      </xdr:spPr>
    </xdr:pic>
    <xdr:clientData/>
  </xdr:twoCellAnchor>
  <xdr:twoCellAnchor editAs="oneCell">
    <xdr:from>
      <xdr:col>15</xdr:col>
      <xdr:colOff>904345</xdr:colOff>
      <xdr:row>64</xdr:row>
      <xdr:rowOff>116418</xdr:rowOff>
    </xdr:from>
    <xdr:to>
      <xdr:col>24</xdr:col>
      <xdr:colOff>541197</xdr:colOff>
      <xdr:row>95</xdr:row>
      <xdr:rowOff>57679</xdr:rowOff>
    </xdr:to>
    <xdr:pic>
      <xdr:nvPicPr>
        <xdr:cNvPr id="3" name="Picture 2">
          <a:extLst>
            <a:ext uri="{FF2B5EF4-FFF2-40B4-BE49-F238E27FC236}">
              <a16:creationId xmlns:a16="http://schemas.microsoft.com/office/drawing/2014/main" id="{E1909B24-A3D0-A3A2-2F82-FA2F0E7C7CE8}"/>
            </a:ext>
          </a:extLst>
        </xdr:cNvPr>
        <xdr:cNvPicPr>
          <a:picLocks noChangeAspect="1"/>
        </xdr:cNvPicPr>
      </xdr:nvPicPr>
      <xdr:blipFill>
        <a:blip xmlns:r="http://schemas.openxmlformats.org/officeDocument/2006/relationships" r:embed="rId5"/>
        <a:stretch>
          <a:fillRect/>
        </a:stretch>
      </xdr:blipFill>
      <xdr:spPr>
        <a:xfrm>
          <a:off x="19202928" y="11557001"/>
          <a:ext cx="7161602" cy="52281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45889</xdr:colOff>
      <xdr:row>28</xdr:row>
      <xdr:rowOff>122092</xdr:rowOff>
    </xdr:from>
    <xdr:to>
      <xdr:col>12</xdr:col>
      <xdr:colOff>207818</xdr:colOff>
      <xdr:row>33</xdr:row>
      <xdr:rowOff>20621</xdr:rowOff>
    </xdr:to>
    <xdr:pic>
      <xdr:nvPicPr>
        <xdr:cNvPr id="7" name="Picture 6">
          <a:extLst>
            <a:ext uri="{FF2B5EF4-FFF2-40B4-BE49-F238E27FC236}">
              <a16:creationId xmlns:a16="http://schemas.microsoft.com/office/drawing/2014/main" id="{F853BDC1-6367-532B-48F0-9D5916792C06}"/>
            </a:ext>
          </a:extLst>
        </xdr:cNvPr>
        <xdr:cNvPicPr>
          <a:picLocks noChangeAspect="1"/>
        </xdr:cNvPicPr>
      </xdr:nvPicPr>
      <xdr:blipFill>
        <a:blip xmlns:r="http://schemas.openxmlformats.org/officeDocument/2006/relationships" r:embed="rId1"/>
        <a:stretch>
          <a:fillRect/>
        </a:stretch>
      </xdr:blipFill>
      <xdr:spPr>
        <a:xfrm>
          <a:off x="6661434" y="4728728"/>
          <a:ext cx="2110225" cy="721143"/>
        </a:xfrm>
        <a:prstGeom prst="rect">
          <a:avLst/>
        </a:prstGeom>
        <a:ln>
          <a:solidFill>
            <a:schemeClr val="tx1"/>
          </a:solidFill>
        </a:ln>
      </xdr:spPr>
    </xdr:pic>
    <xdr:clientData/>
  </xdr:twoCellAnchor>
  <xdr:twoCellAnchor editAs="oneCell">
    <xdr:from>
      <xdr:col>8</xdr:col>
      <xdr:colOff>710046</xdr:colOff>
      <xdr:row>1</xdr:row>
      <xdr:rowOff>86591</xdr:rowOff>
    </xdr:from>
    <xdr:to>
      <xdr:col>13</xdr:col>
      <xdr:colOff>115088</xdr:colOff>
      <xdr:row>4</xdr:row>
      <xdr:rowOff>112207</xdr:rowOff>
    </xdr:to>
    <xdr:pic>
      <xdr:nvPicPr>
        <xdr:cNvPr id="2" name="Picture 1">
          <a:extLst>
            <a:ext uri="{FF2B5EF4-FFF2-40B4-BE49-F238E27FC236}">
              <a16:creationId xmlns:a16="http://schemas.microsoft.com/office/drawing/2014/main" id="{0CD7C691-7A2F-E91F-0211-35F379B12F58}"/>
            </a:ext>
          </a:extLst>
        </xdr:cNvPr>
        <xdr:cNvPicPr>
          <a:picLocks noChangeAspect="1"/>
        </xdr:cNvPicPr>
      </xdr:nvPicPr>
      <xdr:blipFill>
        <a:blip xmlns:r="http://schemas.openxmlformats.org/officeDocument/2006/relationships" r:embed="rId2"/>
        <a:stretch>
          <a:fillRect/>
        </a:stretch>
      </xdr:blipFill>
      <xdr:spPr>
        <a:xfrm>
          <a:off x="9611591" y="251114"/>
          <a:ext cx="2543530" cy="514422"/>
        </a:xfrm>
        <a:prstGeom prst="rect">
          <a:avLst/>
        </a:prstGeom>
      </xdr:spPr>
    </xdr:pic>
    <xdr:clientData/>
  </xdr:twoCellAnchor>
  <xdr:twoCellAnchor editAs="oneCell">
    <xdr:from>
      <xdr:col>8</xdr:col>
      <xdr:colOff>701387</xdr:colOff>
      <xdr:row>4</xdr:row>
      <xdr:rowOff>34636</xdr:rowOff>
    </xdr:from>
    <xdr:to>
      <xdr:col>13</xdr:col>
      <xdr:colOff>592272</xdr:colOff>
      <xdr:row>27</xdr:row>
      <xdr:rowOff>59398</xdr:rowOff>
    </xdr:to>
    <xdr:pic>
      <xdr:nvPicPr>
        <xdr:cNvPr id="4" name="Picture 3">
          <a:extLst>
            <a:ext uri="{FF2B5EF4-FFF2-40B4-BE49-F238E27FC236}">
              <a16:creationId xmlns:a16="http://schemas.microsoft.com/office/drawing/2014/main" id="{D257DC73-5D5F-769B-64DE-68B00EB8C05C}"/>
            </a:ext>
          </a:extLst>
        </xdr:cNvPr>
        <xdr:cNvPicPr>
          <a:picLocks noChangeAspect="1"/>
        </xdr:cNvPicPr>
      </xdr:nvPicPr>
      <xdr:blipFill>
        <a:blip xmlns:r="http://schemas.openxmlformats.org/officeDocument/2006/relationships" r:embed="rId3"/>
        <a:stretch>
          <a:fillRect/>
        </a:stretch>
      </xdr:blipFill>
      <xdr:spPr>
        <a:xfrm>
          <a:off x="9602932" y="692727"/>
          <a:ext cx="3029373" cy="36962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35989</xdr:colOff>
      <xdr:row>465</xdr:row>
      <xdr:rowOff>32937</xdr:rowOff>
    </xdr:from>
    <xdr:to>
      <xdr:col>10</xdr:col>
      <xdr:colOff>600956</xdr:colOff>
      <xdr:row>478</xdr:row>
      <xdr:rowOff>76619</xdr:rowOff>
    </xdr:to>
    <xdr:pic>
      <xdr:nvPicPr>
        <xdr:cNvPr id="2" name="Picture 1">
          <a:extLst>
            <a:ext uri="{FF2B5EF4-FFF2-40B4-BE49-F238E27FC236}">
              <a16:creationId xmlns:a16="http://schemas.microsoft.com/office/drawing/2014/main" id="{DB097DA2-08AE-8A92-34C9-39146260865F}"/>
            </a:ext>
          </a:extLst>
        </xdr:cNvPr>
        <xdr:cNvPicPr>
          <a:picLocks noChangeAspect="1"/>
        </xdr:cNvPicPr>
      </xdr:nvPicPr>
      <xdr:blipFill>
        <a:blip xmlns:r="http://schemas.openxmlformats.org/officeDocument/2006/relationships" r:embed="rId1"/>
        <a:stretch>
          <a:fillRect/>
        </a:stretch>
      </xdr:blipFill>
      <xdr:spPr>
        <a:xfrm>
          <a:off x="1729322" y="213742187"/>
          <a:ext cx="9720610" cy="2096957"/>
        </a:xfrm>
        <a:prstGeom prst="rect">
          <a:avLst/>
        </a:prstGeom>
        <a:ln>
          <a:solidFill>
            <a:sysClr val="windowText" lastClr="000000"/>
          </a:solidFill>
        </a:ln>
      </xdr:spPr>
    </xdr:pic>
    <xdr:clientData/>
  </xdr:twoCellAnchor>
  <xdr:twoCellAnchor editAs="oneCell">
    <xdr:from>
      <xdr:col>0</xdr:col>
      <xdr:colOff>95250</xdr:colOff>
      <xdr:row>483</xdr:row>
      <xdr:rowOff>9525</xdr:rowOff>
    </xdr:from>
    <xdr:to>
      <xdr:col>8</xdr:col>
      <xdr:colOff>570597</xdr:colOff>
      <xdr:row>504</xdr:row>
      <xdr:rowOff>153845</xdr:rowOff>
    </xdr:to>
    <xdr:pic>
      <xdr:nvPicPr>
        <xdr:cNvPr id="3" name="Picture 2">
          <a:extLst>
            <a:ext uri="{FF2B5EF4-FFF2-40B4-BE49-F238E27FC236}">
              <a16:creationId xmlns:a16="http://schemas.microsoft.com/office/drawing/2014/main" id="{3459B973-D12C-F674-7486-05EC690F36A0}"/>
            </a:ext>
          </a:extLst>
        </xdr:cNvPr>
        <xdr:cNvPicPr>
          <a:picLocks noChangeAspect="1"/>
        </xdr:cNvPicPr>
      </xdr:nvPicPr>
      <xdr:blipFill>
        <a:blip xmlns:r="http://schemas.openxmlformats.org/officeDocument/2006/relationships" r:embed="rId2"/>
        <a:stretch>
          <a:fillRect/>
        </a:stretch>
      </xdr:blipFill>
      <xdr:spPr>
        <a:xfrm>
          <a:off x="95250" y="236486700"/>
          <a:ext cx="8697539" cy="3534268"/>
        </a:xfrm>
        <a:prstGeom prst="rect">
          <a:avLst/>
        </a:prstGeom>
      </xdr:spPr>
    </xdr:pic>
    <xdr:clientData/>
  </xdr:twoCellAnchor>
  <xdr:twoCellAnchor editAs="oneCell">
    <xdr:from>
      <xdr:col>1</xdr:col>
      <xdr:colOff>23531</xdr:colOff>
      <xdr:row>452</xdr:row>
      <xdr:rowOff>18497</xdr:rowOff>
    </xdr:from>
    <xdr:to>
      <xdr:col>11</xdr:col>
      <xdr:colOff>572804</xdr:colOff>
      <xdr:row>464</xdr:row>
      <xdr:rowOff>57714</xdr:rowOff>
    </xdr:to>
    <xdr:pic>
      <xdr:nvPicPr>
        <xdr:cNvPr id="7" name="Picture 6">
          <a:extLst>
            <a:ext uri="{FF2B5EF4-FFF2-40B4-BE49-F238E27FC236}">
              <a16:creationId xmlns:a16="http://schemas.microsoft.com/office/drawing/2014/main" id="{8CFEA9C1-3C64-3099-1F38-D0DCDF07ADC2}"/>
            </a:ext>
          </a:extLst>
        </xdr:cNvPr>
        <xdr:cNvPicPr>
          <a:picLocks noChangeAspect="1"/>
        </xdr:cNvPicPr>
      </xdr:nvPicPr>
      <xdr:blipFill>
        <a:blip xmlns:r="http://schemas.openxmlformats.org/officeDocument/2006/relationships" r:embed="rId3"/>
        <a:stretch>
          <a:fillRect/>
        </a:stretch>
      </xdr:blipFill>
      <xdr:spPr>
        <a:xfrm>
          <a:off x="1716864" y="210372830"/>
          <a:ext cx="10719857" cy="1939455"/>
        </a:xfrm>
        <a:prstGeom prst="rect">
          <a:avLst/>
        </a:prstGeom>
        <a:ln>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28576</xdr:colOff>
      <xdr:row>62</xdr:row>
      <xdr:rowOff>9525</xdr:rowOff>
    </xdr:from>
    <xdr:to>
      <xdr:col>24</xdr:col>
      <xdr:colOff>466726</xdr:colOff>
      <xdr:row>85</xdr:row>
      <xdr:rowOff>78842</xdr:rowOff>
    </xdr:to>
    <xdr:pic>
      <xdr:nvPicPr>
        <xdr:cNvPr id="4" name="Picture 3">
          <a:extLst>
            <a:ext uri="{FF2B5EF4-FFF2-40B4-BE49-F238E27FC236}">
              <a16:creationId xmlns:a16="http://schemas.microsoft.com/office/drawing/2014/main" id="{F7BD163D-577C-D8E5-A6BA-B43EF078B2F9}"/>
            </a:ext>
          </a:extLst>
        </xdr:cNvPr>
        <xdr:cNvPicPr>
          <a:picLocks noChangeAspect="1"/>
        </xdr:cNvPicPr>
      </xdr:nvPicPr>
      <xdr:blipFill>
        <a:blip xmlns:r="http://schemas.openxmlformats.org/officeDocument/2006/relationships" r:embed="rId1"/>
        <a:stretch>
          <a:fillRect/>
        </a:stretch>
      </xdr:blipFill>
      <xdr:spPr>
        <a:xfrm>
          <a:off x="8696326" y="10048875"/>
          <a:ext cx="10039350" cy="3793592"/>
        </a:xfrm>
        <a:prstGeom prst="rect">
          <a:avLst/>
        </a:prstGeom>
        <a:ln>
          <a:solidFill>
            <a:sysClr val="windowText" lastClr="000000"/>
          </a:solidFill>
        </a:ln>
      </xdr:spPr>
    </xdr:pic>
    <xdr:clientData/>
  </xdr:twoCellAnchor>
  <xdr:twoCellAnchor editAs="oneCell">
    <xdr:from>
      <xdr:col>11</xdr:col>
      <xdr:colOff>0</xdr:colOff>
      <xdr:row>14</xdr:row>
      <xdr:rowOff>104775</xdr:rowOff>
    </xdr:from>
    <xdr:to>
      <xdr:col>24</xdr:col>
      <xdr:colOff>493964</xdr:colOff>
      <xdr:row>36</xdr:row>
      <xdr:rowOff>28575</xdr:rowOff>
    </xdr:to>
    <xdr:pic>
      <xdr:nvPicPr>
        <xdr:cNvPr id="2" name="Picture 1">
          <a:extLst>
            <a:ext uri="{FF2B5EF4-FFF2-40B4-BE49-F238E27FC236}">
              <a16:creationId xmlns:a16="http://schemas.microsoft.com/office/drawing/2014/main" id="{18C12502-217B-DDCA-CC4E-07284DA5A44F}"/>
            </a:ext>
          </a:extLst>
        </xdr:cNvPr>
        <xdr:cNvPicPr>
          <a:picLocks noChangeAspect="1"/>
        </xdr:cNvPicPr>
      </xdr:nvPicPr>
      <xdr:blipFill>
        <a:blip xmlns:r="http://schemas.openxmlformats.org/officeDocument/2006/relationships" r:embed="rId2"/>
        <a:stretch>
          <a:fillRect/>
        </a:stretch>
      </xdr:blipFill>
      <xdr:spPr>
        <a:xfrm>
          <a:off x="8667750" y="2857500"/>
          <a:ext cx="10095164" cy="3486150"/>
        </a:xfrm>
        <a:prstGeom prst="rect">
          <a:avLst/>
        </a:prstGeom>
      </xdr:spPr>
    </xdr:pic>
    <xdr:clientData/>
  </xdr:twoCellAnchor>
  <xdr:twoCellAnchor editAs="oneCell">
    <xdr:from>
      <xdr:col>11</xdr:col>
      <xdr:colOff>19050</xdr:colOff>
      <xdr:row>39</xdr:row>
      <xdr:rowOff>104776</xdr:rowOff>
    </xdr:from>
    <xdr:to>
      <xdr:col>24</xdr:col>
      <xdr:colOff>485775</xdr:colOff>
      <xdr:row>61</xdr:row>
      <xdr:rowOff>30966</xdr:rowOff>
    </xdr:to>
    <xdr:pic>
      <xdr:nvPicPr>
        <xdr:cNvPr id="3" name="Picture 2">
          <a:extLst>
            <a:ext uri="{FF2B5EF4-FFF2-40B4-BE49-F238E27FC236}">
              <a16:creationId xmlns:a16="http://schemas.microsoft.com/office/drawing/2014/main" id="{104FB648-CB91-D49A-EC6C-EA3CDCC20607}"/>
            </a:ext>
          </a:extLst>
        </xdr:cNvPr>
        <xdr:cNvPicPr>
          <a:picLocks noChangeAspect="1"/>
        </xdr:cNvPicPr>
      </xdr:nvPicPr>
      <xdr:blipFill>
        <a:blip xmlns:r="http://schemas.openxmlformats.org/officeDocument/2006/relationships" r:embed="rId3"/>
        <a:stretch>
          <a:fillRect/>
        </a:stretch>
      </xdr:blipFill>
      <xdr:spPr>
        <a:xfrm>
          <a:off x="8686800" y="6419851"/>
          <a:ext cx="10067925" cy="34885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48</xdr:row>
      <xdr:rowOff>1</xdr:rowOff>
    </xdr:from>
    <xdr:to>
      <xdr:col>16</xdr:col>
      <xdr:colOff>314325</xdr:colOff>
      <xdr:row>85</xdr:row>
      <xdr:rowOff>104394</xdr:rowOff>
    </xdr:to>
    <xdr:pic>
      <xdr:nvPicPr>
        <xdr:cNvPr id="4" name="Picture 3">
          <a:extLst>
            <a:ext uri="{FF2B5EF4-FFF2-40B4-BE49-F238E27FC236}">
              <a16:creationId xmlns:a16="http://schemas.microsoft.com/office/drawing/2014/main" id="{81519FE2-28FE-0A70-1452-3653A3C573E3}"/>
            </a:ext>
          </a:extLst>
        </xdr:cNvPr>
        <xdr:cNvPicPr>
          <a:picLocks noChangeAspect="1"/>
        </xdr:cNvPicPr>
      </xdr:nvPicPr>
      <xdr:blipFill>
        <a:blip xmlns:r="http://schemas.openxmlformats.org/officeDocument/2006/relationships" r:embed="rId1"/>
        <a:stretch>
          <a:fillRect/>
        </a:stretch>
      </xdr:blipFill>
      <xdr:spPr>
        <a:xfrm>
          <a:off x="247650" y="7858126"/>
          <a:ext cx="10372725" cy="6090856"/>
        </a:xfrm>
        <a:prstGeom prst="rect">
          <a:avLst/>
        </a:prstGeom>
        <a:ln>
          <a:solidFill>
            <a:sysClr val="windowText" lastClr="000000"/>
          </a:solidFill>
        </a:ln>
      </xdr:spPr>
    </xdr:pic>
    <xdr:clientData/>
  </xdr:twoCellAnchor>
  <xdr:twoCellAnchor editAs="oneCell">
    <xdr:from>
      <xdr:col>1</xdr:col>
      <xdr:colOff>123826</xdr:colOff>
      <xdr:row>6</xdr:row>
      <xdr:rowOff>38100</xdr:rowOff>
    </xdr:from>
    <xdr:to>
      <xdr:col>15</xdr:col>
      <xdr:colOff>609601</xdr:colOff>
      <xdr:row>47</xdr:row>
      <xdr:rowOff>47850</xdr:rowOff>
    </xdr:to>
    <xdr:pic>
      <xdr:nvPicPr>
        <xdr:cNvPr id="2" name="Picture 1">
          <a:extLst>
            <a:ext uri="{FF2B5EF4-FFF2-40B4-BE49-F238E27FC236}">
              <a16:creationId xmlns:a16="http://schemas.microsoft.com/office/drawing/2014/main" id="{5EF79E63-A171-D960-FA4D-BF8DC4427B8C}"/>
            </a:ext>
          </a:extLst>
        </xdr:cNvPr>
        <xdr:cNvPicPr>
          <a:picLocks noChangeAspect="1"/>
        </xdr:cNvPicPr>
      </xdr:nvPicPr>
      <xdr:blipFill>
        <a:blip xmlns:r="http://schemas.openxmlformats.org/officeDocument/2006/relationships" r:embed="rId2"/>
        <a:stretch>
          <a:fillRect/>
        </a:stretch>
      </xdr:blipFill>
      <xdr:spPr>
        <a:xfrm>
          <a:off x="390526" y="1009650"/>
          <a:ext cx="10553700" cy="67248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200026</xdr:colOff>
      <xdr:row>7</xdr:row>
      <xdr:rowOff>133350</xdr:rowOff>
    </xdr:from>
    <xdr:to>
      <xdr:col>17</xdr:col>
      <xdr:colOff>161926</xdr:colOff>
      <xdr:row>36</xdr:row>
      <xdr:rowOff>7519</xdr:rowOff>
    </xdr:to>
    <xdr:pic>
      <xdr:nvPicPr>
        <xdr:cNvPr id="4" name="Picture 3">
          <a:extLst>
            <a:ext uri="{FF2B5EF4-FFF2-40B4-BE49-F238E27FC236}">
              <a16:creationId xmlns:a16="http://schemas.microsoft.com/office/drawing/2014/main" id="{A9F5CC2C-4BC4-376D-D9E4-DC87267634E2}"/>
            </a:ext>
          </a:extLst>
        </xdr:cNvPr>
        <xdr:cNvPicPr>
          <a:picLocks noChangeAspect="1"/>
        </xdr:cNvPicPr>
      </xdr:nvPicPr>
      <xdr:blipFill>
        <a:blip xmlns:r="http://schemas.openxmlformats.org/officeDocument/2006/relationships" r:embed="rId1"/>
        <a:stretch>
          <a:fillRect/>
        </a:stretch>
      </xdr:blipFill>
      <xdr:spPr>
        <a:xfrm>
          <a:off x="6886576" y="1266825"/>
          <a:ext cx="6057900" cy="4569994"/>
        </a:xfrm>
        <a:prstGeom prst="rect">
          <a:avLst/>
        </a:prstGeom>
        <a:ln>
          <a:solidFill>
            <a:schemeClr val="tx1"/>
          </a:solidFill>
        </a:ln>
      </xdr:spPr>
    </xdr:pic>
    <xdr:clientData/>
  </xdr:twoCellAnchor>
  <xdr:twoCellAnchor editAs="oneCell">
    <xdr:from>
      <xdr:col>1</xdr:col>
      <xdr:colOff>0</xdr:colOff>
      <xdr:row>7</xdr:row>
      <xdr:rowOff>133350</xdr:rowOff>
    </xdr:from>
    <xdr:to>
      <xdr:col>7</xdr:col>
      <xdr:colOff>115164</xdr:colOff>
      <xdr:row>35</xdr:row>
      <xdr:rowOff>76825</xdr:rowOff>
    </xdr:to>
    <xdr:pic>
      <xdr:nvPicPr>
        <xdr:cNvPr id="5" name="Picture 4">
          <a:extLst>
            <a:ext uri="{FF2B5EF4-FFF2-40B4-BE49-F238E27FC236}">
              <a16:creationId xmlns:a16="http://schemas.microsoft.com/office/drawing/2014/main" id="{73E9ACC3-EBD0-4A9F-F394-915DE3265346}"/>
            </a:ext>
          </a:extLst>
        </xdr:cNvPr>
        <xdr:cNvPicPr>
          <a:picLocks noChangeAspect="1"/>
        </xdr:cNvPicPr>
      </xdr:nvPicPr>
      <xdr:blipFill>
        <a:blip xmlns:r="http://schemas.openxmlformats.org/officeDocument/2006/relationships" r:embed="rId2"/>
        <a:stretch>
          <a:fillRect/>
        </a:stretch>
      </xdr:blipFill>
      <xdr:spPr>
        <a:xfrm>
          <a:off x="609600" y="1266825"/>
          <a:ext cx="6192114" cy="4477375"/>
        </a:xfrm>
        <a:prstGeom prst="rect">
          <a:avLst/>
        </a:prstGeom>
        <a:ln>
          <a:solidFill>
            <a:schemeClr val="tx1"/>
          </a:solidFill>
        </a:ln>
      </xdr:spPr>
    </xdr:pic>
    <xdr:clientData/>
  </xdr:twoCellAnchor>
  <xdr:twoCellAnchor editAs="oneCell">
    <xdr:from>
      <xdr:col>17</xdr:col>
      <xdr:colOff>352426</xdr:colOff>
      <xdr:row>7</xdr:row>
      <xdr:rowOff>85726</xdr:rowOff>
    </xdr:from>
    <xdr:to>
      <xdr:col>27</xdr:col>
      <xdr:colOff>440303</xdr:colOff>
      <xdr:row>36</xdr:row>
      <xdr:rowOff>9525</xdr:rowOff>
    </xdr:to>
    <xdr:pic>
      <xdr:nvPicPr>
        <xdr:cNvPr id="2" name="Picture 1">
          <a:extLst>
            <a:ext uri="{FF2B5EF4-FFF2-40B4-BE49-F238E27FC236}">
              <a16:creationId xmlns:a16="http://schemas.microsoft.com/office/drawing/2014/main" id="{2B50F157-75A0-A855-A236-F3D0A38ACDF3}"/>
            </a:ext>
          </a:extLst>
        </xdr:cNvPr>
        <xdr:cNvPicPr>
          <a:picLocks noChangeAspect="1"/>
        </xdr:cNvPicPr>
      </xdr:nvPicPr>
      <xdr:blipFill>
        <a:blip xmlns:r="http://schemas.openxmlformats.org/officeDocument/2006/relationships" r:embed="rId3"/>
        <a:stretch>
          <a:fillRect/>
        </a:stretch>
      </xdr:blipFill>
      <xdr:spPr>
        <a:xfrm>
          <a:off x="13134976" y="1219201"/>
          <a:ext cx="6179115" cy="4619624"/>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12</xdr:col>
      <xdr:colOff>1668474</xdr:colOff>
      <xdr:row>105</xdr:row>
      <xdr:rowOff>39070</xdr:rowOff>
    </xdr:to>
    <xdr:pic>
      <xdr:nvPicPr>
        <xdr:cNvPr id="2" name="Picture 1">
          <a:extLst>
            <a:ext uri="{FF2B5EF4-FFF2-40B4-BE49-F238E27FC236}">
              <a16:creationId xmlns:a16="http://schemas.microsoft.com/office/drawing/2014/main" id="{74536BBD-EB98-42BC-BDD6-53D75F18599D}"/>
            </a:ext>
          </a:extLst>
        </xdr:cNvPr>
        <xdr:cNvPicPr>
          <a:picLocks noChangeAspect="1"/>
        </xdr:cNvPicPr>
      </xdr:nvPicPr>
      <xdr:blipFill>
        <a:blip xmlns:r="http://schemas.openxmlformats.org/officeDocument/2006/relationships" r:embed="rId1"/>
        <a:stretch>
          <a:fillRect/>
        </a:stretch>
      </xdr:blipFill>
      <xdr:spPr>
        <a:xfrm>
          <a:off x="361950" y="10877550"/>
          <a:ext cx="11460174" cy="6954220"/>
        </a:xfrm>
        <a:prstGeom prst="rect">
          <a:avLst/>
        </a:prstGeom>
        <a:ln>
          <a:solidFill>
            <a:schemeClr val="tx1"/>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232833</xdr:colOff>
      <xdr:row>60</xdr:row>
      <xdr:rowOff>21166</xdr:rowOff>
    </xdr:from>
    <xdr:to>
      <xdr:col>9</xdr:col>
      <xdr:colOff>1093269</xdr:colOff>
      <xdr:row>103</xdr:row>
      <xdr:rowOff>85636</xdr:rowOff>
    </xdr:to>
    <xdr:pic>
      <xdr:nvPicPr>
        <xdr:cNvPr id="4" name="Picture 3">
          <a:extLst>
            <a:ext uri="{FF2B5EF4-FFF2-40B4-BE49-F238E27FC236}">
              <a16:creationId xmlns:a16="http://schemas.microsoft.com/office/drawing/2014/main" id="{71B3E7D0-EED5-D19E-6FC9-93615CBEF6A1}"/>
            </a:ext>
          </a:extLst>
        </xdr:cNvPr>
        <xdr:cNvPicPr>
          <a:picLocks noChangeAspect="1"/>
        </xdr:cNvPicPr>
      </xdr:nvPicPr>
      <xdr:blipFill>
        <a:blip xmlns:r="http://schemas.openxmlformats.org/officeDocument/2006/relationships" r:embed="rId1"/>
        <a:stretch>
          <a:fillRect/>
        </a:stretch>
      </xdr:blipFill>
      <xdr:spPr>
        <a:xfrm>
          <a:off x="232833" y="9620249"/>
          <a:ext cx="11460174" cy="6954220"/>
        </a:xfrm>
        <a:prstGeom prst="rect">
          <a:avLst/>
        </a:prstGeom>
        <a:ln>
          <a:solidFill>
            <a:schemeClr val="tx1"/>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814916</xdr:colOff>
      <xdr:row>2</xdr:row>
      <xdr:rowOff>31750</xdr:rowOff>
    </xdr:from>
    <xdr:to>
      <xdr:col>23</xdr:col>
      <xdr:colOff>456659</xdr:colOff>
      <xdr:row>16</xdr:row>
      <xdr:rowOff>105834</xdr:rowOff>
    </xdr:to>
    <xdr:pic>
      <xdr:nvPicPr>
        <xdr:cNvPr id="2" name="Picture 1">
          <a:extLst>
            <a:ext uri="{FF2B5EF4-FFF2-40B4-BE49-F238E27FC236}">
              <a16:creationId xmlns:a16="http://schemas.microsoft.com/office/drawing/2014/main" id="{998B5D0F-E370-4CE2-9768-B5471BD47961}"/>
            </a:ext>
          </a:extLst>
        </xdr:cNvPr>
        <xdr:cNvPicPr>
          <a:picLocks noChangeAspect="1"/>
        </xdr:cNvPicPr>
      </xdr:nvPicPr>
      <xdr:blipFill>
        <a:blip xmlns:r="http://schemas.openxmlformats.org/officeDocument/2006/relationships" r:embed="rId1"/>
        <a:stretch>
          <a:fillRect/>
        </a:stretch>
      </xdr:blipFill>
      <xdr:spPr>
        <a:xfrm>
          <a:off x="18545703" y="427037"/>
          <a:ext cx="7256981" cy="2641072"/>
        </a:xfrm>
        <a:prstGeom prst="rect">
          <a:avLst/>
        </a:prstGeom>
      </xdr:spPr>
    </xdr:pic>
    <xdr:clientData/>
  </xdr:twoCellAnchor>
  <xdr:twoCellAnchor editAs="oneCell">
    <xdr:from>
      <xdr:col>15</xdr:col>
      <xdr:colOff>862011</xdr:colOff>
      <xdr:row>17</xdr:row>
      <xdr:rowOff>15346</xdr:rowOff>
    </xdr:from>
    <xdr:to>
      <xdr:col>24</xdr:col>
      <xdr:colOff>426508</xdr:colOff>
      <xdr:row>39</xdr:row>
      <xdr:rowOff>27192</xdr:rowOff>
    </xdr:to>
    <xdr:pic>
      <xdr:nvPicPr>
        <xdr:cNvPr id="3" name="Picture 2">
          <a:extLst>
            <a:ext uri="{FF2B5EF4-FFF2-40B4-BE49-F238E27FC236}">
              <a16:creationId xmlns:a16="http://schemas.microsoft.com/office/drawing/2014/main" id="{28EA0F30-5996-42B5-9629-B80392FEDC38}"/>
            </a:ext>
          </a:extLst>
        </xdr:cNvPr>
        <xdr:cNvPicPr>
          <a:picLocks noChangeAspect="1"/>
        </xdr:cNvPicPr>
      </xdr:nvPicPr>
      <xdr:blipFill>
        <a:blip xmlns:r="http://schemas.openxmlformats.org/officeDocument/2006/relationships" r:embed="rId2"/>
        <a:stretch>
          <a:fillRect/>
        </a:stretch>
      </xdr:blipFill>
      <xdr:spPr>
        <a:xfrm>
          <a:off x="19459573" y="3144308"/>
          <a:ext cx="7094010" cy="3902809"/>
        </a:xfrm>
        <a:prstGeom prst="rect">
          <a:avLst/>
        </a:prstGeom>
      </xdr:spPr>
    </xdr:pic>
    <xdr:clientData/>
  </xdr:twoCellAnchor>
  <xdr:twoCellAnchor editAs="oneCell">
    <xdr:from>
      <xdr:col>15</xdr:col>
      <xdr:colOff>878413</xdr:colOff>
      <xdr:row>39</xdr:row>
      <xdr:rowOff>36512</xdr:rowOff>
    </xdr:from>
    <xdr:to>
      <xdr:col>24</xdr:col>
      <xdr:colOff>458257</xdr:colOff>
      <xdr:row>52</xdr:row>
      <xdr:rowOff>57678</xdr:rowOff>
    </xdr:to>
    <xdr:pic>
      <xdr:nvPicPr>
        <xdr:cNvPr id="4" name="Picture 3">
          <a:extLst>
            <a:ext uri="{FF2B5EF4-FFF2-40B4-BE49-F238E27FC236}">
              <a16:creationId xmlns:a16="http://schemas.microsoft.com/office/drawing/2014/main" id="{96B0B8F9-BDDC-4AAD-A0D7-5325EBFC768C}"/>
            </a:ext>
          </a:extLst>
        </xdr:cNvPr>
        <xdr:cNvPicPr>
          <a:picLocks noChangeAspect="1"/>
        </xdr:cNvPicPr>
      </xdr:nvPicPr>
      <xdr:blipFill>
        <a:blip xmlns:r="http://schemas.openxmlformats.org/officeDocument/2006/relationships" r:embed="rId3"/>
        <a:stretch>
          <a:fillRect/>
        </a:stretch>
      </xdr:blipFill>
      <xdr:spPr>
        <a:xfrm>
          <a:off x="19471213" y="7056437"/>
          <a:ext cx="7114119" cy="2373841"/>
        </a:xfrm>
        <a:prstGeom prst="rect">
          <a:avLst/>
        </a:prstGeom>
      </xdr:spPr>
    </xdr:pic>
    <xdr:clientData/>
  </xdr:twoCellAnchor>
  <xdr:twoCellAnchor editAs="oneCell">
    <xdr:from>
      <xdr:col>15</xdr:col>
      <xdr:colOff>893763</xdr:colOff>
      <xdr:row>52</xdr:row>
      <xdr:rowOff>84667</xdr:rowOff>
    </xdr:from>
    <xdr:to>
      <xdr:col>24</xdr:col>
      <xdr:colOff>521961</xdr:colOff>
      <xdr:row>64</xdr:row>
      <xdr:rowOff>84667</xdr:rowOff>
    </xdr:to>
    <xdr:pic>
      <xdr:nvPicPr>
        <xdr:cNvPr id="5" name="Picture 4">
          <a:extLst>
            <a:ext uri="{FF2B5EF4-FFF2-40B4-BE49-F238E27FC236}">
              <a16:creationId xmlns:a16="http://schemas.microsoft.com/office/drawing/2014/main" id="{F1E4D339-9929-4B2C-B766-7475C41A90E8}"/>
            </a:ext>
          </a:extLst>
        </xdr:cNvPr>
        <xdr:cNvPicPr>
          <a:picLocks noChangeAspect="1"/>
        </xdr:cNvPicPr>
      </xdr:nvPicPr>
      <xdr:blipFill>
        <a:blip xmlns:r="http://schemas.openxmlformats.org/officeDocument/2006/relationships" r:embed="rId4"/>
        <a:stretch>
          <a:fillRect/>
        </a:stretch>
      </xdr:blipFill>
      <xdr:spPr>
        <a:xfrm>
          <a:off x="19486563" y="9457267"/>
          <a:ext cx="7162473" cy="2162175"/>
        </a:xfrm>
        <a:prstGeom prst="rect">
          <a:avLst/>
        </a:prstGeom>
      </xdr:spPr>
    </xdr:pic>
    <xdr:clientData/>
  </xdr:twoCellAnchor>
  <xdr:twoCellAnchor editAs="oneCell">
    <xdr:from>
      <xdr:col>15</xdr:col>
      <xdr:colOff>904345</xdr:colOff>
      <xdr:row>64</xdr:row>
      <xdr:rowOff>116418</xdr:rowOff>
    </xdr:from>
    <xdr:to>
      <xdr:col>24</xdr:col>
      <xdr:colOff>541197</xdr:colOff>
      <xdr:row>95</xdr:row>
      <xdr:rowOff>57679</xdr:rowOff>
    </xdr:to>
    <xdr:pic>
      <xdr:nvPicPr>
        <xdr:cNvPr id="6" name="Picture 5">
          <a:extLst>
            <a:ext uri="{FF2B5EF4-FFF2-40B4-BE49-F238E27FC236}">
              <a16:creationId xmlns:a16="http://schemas.microsoft.com/office/drawing/2014/main" id="{250A298B-60CE-40C0-A01F-AFC72A2ED929}"/>
            </a:ext>
          </a:extLst>
        </xdr:cNvPr>
        <xdr:cNvPicPr>
          <a:picLocks noChangeAspect="1"/>
        </xdr:cNvPicPr>
      </xdr:nvPicPr>
      <xdr:blipFill>
        <a:blip xmlns:r="http://schemas.openxmlformats.org/officeDocument/2006/relationships" r:embed="rId5"/>
        <a:stretch>
          <a:fillRect/>
        </a:stretch>
      </xdr:blipFill>
      <xdr:spPr>
        <a:xfrm>
          <a:off x="19497145" y="11651193"/>
          <a:ext cx="7171127" cy="52943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brown\Box\Invesco%20-%20Investments\Alta%20Design%20District\6.%20Property%20Financials\2023\2Q%202023\Debt%20Yield%20Test\Alta%20Design%20District%202Q%202023%20DY%20Test%20vF.xlsx" TargetMode="External"/><Relationship Id="rId1" Type="http://schemas.openxmlformats.org/officeDocument/2006/relationships/externalLinkPath" Target="https://api.box.com/Users/mbrown/Box/Invesco%20-%20Investments/Alta%20Design%20District/6.%20Property%20Financials/2023/2Q%202023/Debt%20Yield%20Test/Alta%20Design%20District%202Q%202023%20DY%20Test%20vF.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brown_bellwetheram_com/Documents/Invesco/Deals/Alta%20Design%20District%20-%20Grant%20Swecker/DY%20Tests/2023/Alta%20Design%20District%20-%201Q%202023%20DY%20Test%20v2.xlsx" TargetMode="External"/><Relationship Id="rId2" Type="http://schemas.openxmlformats.org/officeDocument/2006/relationships/externalLinkPath" Target="https://bellwetheram-my.sharepoint.com/personal/mbrown_bellwetheram_com/Documents/Invesco/Deals/Alta%20Design%20District%20-%20Grant%20Swecker/DY%20Tests/2023/Alta%20Design%20District%20-%201Q%202023%20DY%20Test%20v2.xlsx" TargetMode="External"/><Relationship Id="rId1" Type="http://schemas.openxmlformats.org/officeDocument/2006/relationships/externalLinkPath" Target="/personal/mbrown_bellwetheram_com/Documents/Invesco/Deals/Alta%20Design%20District%20-%20Grant%20Swecker/DY%20Tests/2023/Alta%20Design%20District%20-%201Q%202023%20DY%20Test%20v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pi.box.com/wopi/files/2051434893073/WOPIServiceId_TP_BOX_2/WOPIUserId_-/Memorial%20Hills%203Q%202025%20DY%20Test%20vF.xlsx" TargetMode="External"/><Relationship Id="rId1" Type="http://schemas.openxmlformats.org/officeDocument/2006/relationships/externalLinkPath" Target="https://api.box.com/wopi/files/2051434893073/WOPIServiceId_TP_BOX_2/WOPIUserId_-/Memorial%20Hills%203Q%202025%20DY%20Test%20vF.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api.box.com/wopi/files/2153052272686/WOPIServiceId_TP_BOX_2/WOPIUserId_-/Memorial%20Hills%204Q%202025%20DY%20Test%20vF.xlsx" TargetMode="External"/><Relationship Id="rId1" Type="http://schemas.openxmlformats.org/officeDocument/2006/relationships/externalLinkPath" Target="https://api.box.com/wopi/files/2153052272686/WOPIServiceId_TP_BOX_2/WOPIUserId_-/Memorial%20Hills%204Q%202025%20DY%20Test%20v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F OSAR"/>
      <sheetName val="Operating Statement"/>
      <sheetName val="Rent Roll"/>
      <sheetName val="Rent Roll (2)"/>
      <sheetName val="AR"/>
      <sheetName val="UPB"/>
      <sheetName val="RE Tax"/>
      <sheetName val="Sheet1"/>
      <sheetName val="Insurance"/>
      <sheetName val="NOI Projections"/>
      <sheetName val="DY Summary"/>
      <sheetName val="2023 Budget"/>
    </sheetNames>
    <sheetDataSet>
      <sheetData sheetId="0" refreshError="1"/>
      <sheetData sheetId="1" refreshError="1"/>
      <sheetData sheetId="2" refreshError="1"/>
      <sheetData sheetId="3" refreshError="1"/>
      <sheetData sheetId="4" refreshError="1"/>
      <sheetData sheetId="5">
        <row r="8">
          <cell r="C8">
            <v>5.1470000000000002E-2</v>
          </cell>
        </row>
        <row r="10">
          <cell r="C10">
            <v>3.2500000000000001E-2</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 2023 MF OSAR"/>
      <sheetName val="Q4 2022 MF OSAR"/>
      <sheetName val="Operating Statement"/>
      <sheetName val="Rent Roll"/>
      <sheetName val="Aged Receivables"/>
      <sheetName val="Debt Service"/>
      <sheetName val="RE Tax"/>
      <sheetName val="Insurance"/>
      <sheetName val="NOI Projections"/>
    </sheetNames>
    <sheetDataSet>
      <sheetData sheetId="0" refreshError="1"/>
      <sheetData sheetId="1" refreshError="1"/>
      <sheetData sheetId="2" refreshError="1"/>
      <sheetData sheetId="3"/>
      <sheetData sheetId="4" refreshError="1"/>
      <sheetData sheetId="5">
        <row r="10">
          <cell r="C10">
            <v>3.2500000000000001E-2</v>
          </cell>
        </row>
      </sheetData>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F OSAR"/>
      <sheetName val="DSCR Calc"/>
      <sheetName val="QoQ Variance"/>
      <sheetName val="Operating Statement"/>
      <sheetName val="Coding"/>
      <sheetName val="Rent Roll"/>
      <sheetName val="Paydown Analysis"/>
      <sheetName val="Aged Receivables"/>
      <sheetName val="Market Rate"/>
      <sheetName val="RE Tax"/>
      <sheetName val="Insurance"/>
      <sheetName val="NOI Projection"/>
      <sheetName val="UW Comparison"/>
      <sheetName val="UW Pro Forma CF"/>
      <sheetName val="Stab. Appraisal CF"/>
      <sheetName val="Lease Tradeout"/>
      <sheetName val="redIQ"/>
      <sheetName val="1"/>
      <sheetName val="2025 Budget"/>
      <sheetName val="Portfolio Review Notes"/>
      <sheetName val="Mod Discussions"/>
      <sheetName val="Argus Comm Rollover Schedule"/>
    </sheetNames>
    <sheetDataSet>
      <sheetData sheetId="0" refreshError="1"/>
      <sheetData sheetId="1" refreshError="1"/>
      <sheetData sheetId="2" refreshError="1"/>
      <sheetData sheetId="3" refreshError="1"/>
      <sheetData sheetId="4" refreshError="1"/>
      <sheetData sheetId="5">
        <row r="390">
          <cell r="G390">
            <v>527382.88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F OSAR"/>
      <sheetName val="DSCR Calc"/>
      <sheetName val="QoQ Variance"/>
      <sheetName val="Operating Statement"/>
      <sheetName val="Rent Roll"/>
      <sheetName val="Paydown Analysis"/>
      <sheetName val="Aged Receivables"/>
      <sheetName val="Market Rate"/>
      <sheetName val="Coding"/>
      <sheetName val="RE Tax"/>
      <sheetName val="Insurance"/>
      <sheetName val="NOI Projection"/>
      <sheetName val="UW Comparison"/>
      <sheetName val="UW Pro Forma CF"/>
      <sheetName val="Stab. Appraisal CF"/>
      <sheetName val="Lease Tradeout"/>
      <sheetName val="redIQ"/>
      <sheetName val="1"/>
      <sheetName val="2025 Budget"/>
      <sheetName val="Portfolio Review Notes"/>
      <sheetName val="Mod Discussions"/>
      <sheetName val="Argus Comm Rollover Schedule"/>
    </sheetNames>
    <sheetDataSet>
      <sheetData sheetId="0"/>
      <sheetData sheetId="1"/>
      <sheetData sheetId="2"/>
      <sheetData sheetId="3">
        <row r="10">
          <cell r="S10" t="str">
            <v>OSAR Code</v>
          </cell>
        </row>
        <row r="17">
          <cell r="B17" t="str">
            <v xml:space="preserve"> </v>
          </cell>
          <cell r="S17" t="str">
            <v/>
          </cell>
        </row>
        <row r="18">
          <cell r="B18" t="str">
            <v xml:space="preserve"> </v>
          </cell>
        </row>
        <row r="19">
          <cell r="B19" t="str">
            <v xml:space="preserve">  INCOME</v>
          </cell>
        </row>
        <row r="20">
          <cell r="B20" t="str">
            <v xml:space="preserve"> </v>
          </cell>
        </row>
        <row r="21">
          <cell r="B21" t="str">
            <v xml:space="preserve">    4000-000 - Market Rent</v>
          </cell>
          <cell r="S21" t="str">
            <v>Gross Potential Rent (3)</v>
          </cell>
        </row>
        <row r="22">
          <cell r="B22" t="str">
            <v xml:space="preserve">    4010-000 - Gain/Loss to Lease</v>
          </cell>
          <cell r="S22" t="str">
            <v>Gross Potential Rent (3)</v>
          </cell>
        </row>
        <row r="23">
          <cell r="B23" t="str">
            <v xml:space="preserve"> </v>
          </cell>
        </row>
        <row r="24">
          <cell r="B24" t="str">
            <v xml:space="preserve">    Gross Possible</v>
          </cell>
        </row>
        <row r="25">
          <cell r="B25" t="str">
            <v xml:space="preserve"> </v>
          </cell>
        </row>
        <row r="26">
          <cell r="B26" t="str">
            <v xml:space="preserve">    LESS DEDUCTIONS</v>
          </cell>
        </row>
        <row r="27">
          <cell r="B27" t="str">
            <v xml:space="preserve">      4100-000 - Vacancy Loss</v>
          </cell>
          <cell r="S27" t="str">
            <v>Less: Vacancy Loss</v>
          </cell>
        </row>
        <row r="28">
          <cell r="B28" t="str">
            <v xml:space="preserve">      4110-000 - Concessions Market</v>
          </cell>
          <cell r="S28" t="str">
            <v>Gross Potential Rent (3)</v>
          </cell>
        </row>
        <row r="29">
          <cell r="B29" t="str">
            <v xml:space="preserve">      4110-100 - Concessions-One Time</v>
          </cell>
          <cell r="S29" t="str">
            <v>Gross Potential Rent (3)</v>
          </cell>
        </row>
        <row r="30">
          <cell r="B30" t="str">
            <v xml:space="preserve">      4110-300 - Concessions -Other</v>
          </cell>
          <cell r="S30" t="str">
            <v>Gross Potential Rent (3)</v>
          </cell>
        </row>
        <row r="31">
          <cell r="B31" t="str">
            <v xml:space="preserve">      4120-000 - Model/Guest Suite</v>
          </cell>
          <cell r="S31" t="str">
            <v>Gross Potential Rent (3)</v>
          </cell>
        </row>
        <row r="32">
          <cell r="B32" t="str">
            <v xml:space="preserve">      4130-000 - Employee Units</v>
          </cell>
          <cell r="S32" t="str">
            <v>Gross Potential Rent (3)</v>
          </cell>
        </row>
        <row r="33">
          <cell r="B33" t="str">
            <v xml:space="preserve"> </v>
          </cell>
        </row>
        <row r="34">
          <cell r="B34" t="str">
            <v xml:space="preserve">    Total Deductions</v>
          </cell>
        </row>
        <row r="35">
          <cell r="B35" t="str">
            <v xml:space="preserve"> </v>
          </cell>
        </row>
        <row r="36">
          <cell r="B36" t="str">
            <v xml:space="preserve">    EFFECTIVE ECONOMIC OCCUPANCY</v>
          </cell>
        </row>
        <row r="37">
          <cell r="B37" t="str">
            <v xml:space="preserve"> </v>
          </cell>
        </row>
        <row r="38">
          <cell r="B38" t="str">
            <v xml:space="preserve">    4140-000 - Rent Write Off</v>
          </cell>
          <cell r="S38" t="str">
            <v xml:space="preserve">      Delinquent Rent</v>
          </cell>
        </row>
        <row r="39">
          <cell r="B39" t="str">
            <v xml:space="preserve"> </v>
          </cell>
        </row>
        <row r="40">
          <cell r="B40" t="str">
            <v xml:space="preserve">    .</v>
          </cell>
        </row>
        <row r="41">
          <cell r="B41" t="str">
            <v xml:space="preserve"> </v>
          </cell>
        </row>
        <row r="42">
          <cell r="B42" t="str">
            <v xml:space="preserve">    Total Rental Income</v>
          </cell>
        </row>
        <row r="43">
          <cell r="B43" t="str">
            <v xml:space="preserve"> </v>
          </cell>
        </row>
        <row r="44">
          <cell r="B44" t="str">
            <v xml:space="preserve">    OTHER INCOME</v>
          </cell>
        </row>
        <row r="45">
          <cell r="B45" t="str">
            <v xml:space="preserve">      4200-000 - Application Fees</v>
          </cell>
          <cell r="S45" t="str">
            <v>Other Income</v>
          </cell>
        </row>
        <row r="46">
          <cell r="B46" t="str">
            <v xml:space="preserve">      4201-000 - Administrative Fees</v>
          </cell>
          <cell r="S46" t="str">
            <v>Other Income</v>
          </cell>
        </row>
        <row r="47">
          <cell r="B47" t="str">
            <v xml:space="preserve">      4205-000 - Month to Month Fees</v>
          </cell>
          <cell r="S47" t="str">
            <v>Other Income</v>
          </cell>
        </row>
        <row r="48">
          <cell r="B48" t="str">
            <v xml:space="preserve">      4210-000 - Late Fees</v>
          </cell>
          <cell r="S48" t="str">
            <v>Other Income</v>
          </cell>
        </row>
        <row r="49">
          <cell r="B49" t="str">
            <v xml:space="preserve">      4211-000 - NSF Fees</v>
          </cell>
          <cell r="S49" t="str">
            <v>Other Income</v>
          </cell>
        </row>
        <row r="50">
          <cell r="B50" t="str">
            <v xml:space="preserve">      4238-000 - Amenity Fee</v>
          </cell>
          <cell r="S50" t="str">
            <v>Other Income</v>
          </cell>
        </row>
        <row r="51">
          <cell r="B51" t="str">
            <v xml:space="preserve">      4244-000 - Cleaning/Damages</v>
          </cell>
          <cell r="S51" t="str">
            <v>Other Income</v>
          </cell>
        </row>
        <row r="52">
          <cell r="B52" t="str">
            <v xml:space="preserve">      4252-000 - Legal Fees</v>
          </cell>
          <cell r="S52" t="str">
            <v>Other Income</v>
          </cell>
        </row>
        <row r="53">
          <cell r="B53" t="str">
            <v xml:space="preserve">      4254-000 - Pet Rent</v>
          </cell>
          <cell r="S53" t="str">
            <v>Other Income</v>
          </cell>
        </row>
        <row r="54">
          <cell r="B54" t="str">
            <v xml:space="preserve">      4254-500 - Pet Fees</v>
          </cell>
          <cell r="S54" t="str">
            <v>Other Income</v>
          </cell>
        </row>
        <row r="55">
          <cell r="B55" t="str">
            <v xml:space="preserve">      4256-000 - Key/Lockout Fees</v>
          </cell>
          <cell r="S55" t="str">
            <v>Other Income</v>
          </cell>
        </row>
        <row r="56">
          <cell r="B56" t="str">
            <v xml:space="preserve">      4257-000 - Termination/Notice Fees</v>
          </cell>
          <cell r="S56" t="str">
            <v>N/A - non recurring</v>
          </cell>
        </row>
        <row r="57">
          <cell r="B57" t="str">
            <v xml:space="preserve">      4260-000 - Other Income</v>
          </cell>
          <cell r="S57" t="str">
            <v>Other Income</v>
          </cell>
        </row>
        <row r="58">
          <cell r="B58" t="str">
            <v xml:space="preserve">      4267-000 - Package Locker Fee</v>
          </cell>
          <cell r="S58" t="str">
            <v>Other Income</v>
          </cell>
        </row>
        <row r="59">
          <cell r="B59" t="str">
            <v xml:space="preserve">      4271-000 - Deposit Alternative Income</v>
          </cell>
          <cell r="S59" t="str">
            <v>Other Income</v>
          </cell>
        </row>
        <row r="60">
          <cell r="B60" t="str">
            <v xml:space="preserve">      4272-000 - Pest Control Income</v>
          </cell>
          <cell r="S60" t="str">
            <v>Other Income</v>
          </cell>
        </row>
        <row r="61">
          <cell r="B61" t="str">
            <v xml:space="preserve">      4273-000 - Trash Income</v>
          </cell>
          <cell r="S61" t="str">
            <v>Expense Reimbursement</v>
          </cell>
        </row>
        <row r="62">
          <cell r="B62" t="str">
            <v xml:space="preserve">      4274-000 - Resident Liability Ins. Inc</v>
          </cell>
          <cell r="S62" t="str">
            <v>Other Income</v>
          </cell>
        </row>
        <row r="63">
          <cell r="B63" t="str">
            <v xml:space="preserve">      4277-000 - Covered Pkng/Carport Inc</v>
          </cell>
          <cell r="S63" t="str">
            <v>Parking Income</v>
          </cell>
        </row>
        <row r="64">
          <cell r="B64" t="str">
            <v xml:space="preserve">      4277-500 - Parking Income</v>
          </cell>
          <cell r="S64" t="str">
            <v>Parking Income</v>
          </cell>
        </row>
        <row r="65">
          <cell r="B65" t="str">
            <v xml:space="preserve">      4280-000 - Utility Reimbursement Inc</v>
          </cell>
          <cell r="S65" t="str">
            <v>Expense Reimbursement</v>
          </cell>
        </row>
        <row r="66">
          <cell r="B66" t="str">
            <v xml:space="preserve">      4280-500 - Water/Sewer Income</v>
          </cell>
          <cell r="S66" t="str">
            <v>Expense Reimbursement</v>
          </cell>
        </row>
        <row r="67">
          <cell r="B67" t="str">
            <v xml:space="preserve"> </v>
          </cell>
        </row>
        <row r="68">
          <cell r="B68" t="str">
            <v xml:space="preserve">    Total Other Income</v>
          </cell>
          <cell r="S68" t="str">
            <v xml:space="preserve">  *Effective Gross Income</v>
          </cell>
        </row>
        <row r="69">
          <cell r="B69" t="str">
            <v xml:space="preserve"> </v>
          </cell>
        </row>
        <row r="70">
          <cell r="B70" t="str">
            <v xml:space="preserve">  TOTAL INCOME</v>
          </cell>
        </row>
        <row r="71">
          <cell r="B71" t="str">
            <v xml:space="preserve"> </v>
          </cell>
        </row>
        <row r="72">
          <cell r="B72" t="str">
            <v xml:space="preserve">  EXPENSES</v>
          </cell>
        </row>
        <row r="73">
          <cell r="B73" t="str">
            <v xml:space="preserve"> </v>
          </cell>
        </row>
        <row r="74">
          <cell r="B74" t="str">
            <v xml:space="preserve">    MARKETING &amp; LEASING EXPENSES</v>
          </cell>
        </row>
        <row r="75">
          <cell r="B75" t="str">
            <v xml:space="preserve">      5100-000 - Advertising</v>
          </cell>
          <cell r="S75" t="str">
            <v>Advertising &amp; Marketing</v>
          </cell>
        </row>
        <row r="76">
          <cell r="B76" t="str">
            <v xml:space="preserve">      5102-000 - Community Website Exp</v>
          </cell>
          <cell r="S76" t="str">
            <v>Advertising &amp; Marketing</v>
          </cell>
        </row>
        <row r="77">
          <cell r="B77" t="str">
            <v xml:space="preserve">      5110-000 - Locator Fees</v>
          </cell>
          <cell r="S77" t="str">
            <v>Advertising &amp; Marketing</v>
          </cell>
        </row>
        <row r="78">
          <cell r="B78" t="str">
            <v xml:space="preserve">      5130-000 - Other Marketing</v>
          </cell>
          <cell r="S78" t="str">
            <v>Advertising &amp; Marketing</v>
          </cell>
        </row>
        <row r="79">
          <cell r="B79" t="str">
            <v xml:space="preserve">      5155-000 - Prospect Refreshments</v>
          </cell>
          <cell r="S79" t="str">
            <v>Advertising &amp; Marketing</v>
          </cell>
        </row>
        <row r="80">
          <cell r="B80" t="str">
            <v xml:space="preserve">      5160-000 - Resident Promotion/Events</v>
          </cell>
          <cell r="S80" t="str">
            <v>Advertising &amp; Marketing</v>
          </cell>
        </row>
        <row r="81">
          <cell r="B81" t="str">
            <v xml:space="preserve">      5165-000 - Resident Services</v>
          </cell>
          <cell r="S81" t="str">
            <v>Advertising &amp; Marketing</v>
          </cell>
        </row>
        <row r="82">
          <cell r="B82" t="str">
            <v xml:space="preserve"> </v>
          </cell>
        </row>
        <row r="83">
          <cell r="B83" t="str">
            <v xml:space="preserve">    Total Marketing &amp; Leasing</v>
          </cell>
        </row>
        <row r="84">
          <cell r="B84" t="str">
            <v xml:space="preserve"> </v>
          </cell>
        </row>
        <row r="85">
          <cell r="B85" t="str">
            <v xml:space="preserve">    GENERAL &amp; ADMINISTRATIVE EXP</v>
          </cell>
        </row>
        <row r="86">
          <cell r="B86" t="str">
            <v xml:space="preserve">      5200-000 - Office Supplies</v>
          </cell>
          <cell r="S86" t="str">
            <v>General and Administrative</v>
          </cell>
        </row>
        <row r="87">
          <cell r="B87" t="str">
            <v xml:space="preserve">      5210-000 - Office Furn/Equip Rental</v>
          </cell>
          <cell r="S87" t="str">
            <v>General and Administrative</v>
          </cell>
        </row>
        <row r="88">
          <cell r="B88" t="str">
            <v xml:space="preserve">      5216-000 - Printing &amp; Copier Exp.</v>
          </cell>
          <cell r="S88" t="str">
            <v>General and Administrative</v>
          </cell>
        </row>
        <row r="89">
          <cell r="B89" t="str">
            <v xml:space="preserve">      5217-000 - Computer/Network Exp</v>
          </cell>
          <cell r="S89" t="str">
            <v>General and Administrative</v>
          </cell>
        </row>
        <row r="90">
          <cell r="B90" t="str">
            <v xml:space="preserve">      5218-000 - On-Site Sftwre &amp; Support</v>
          </cell>
          <cell r="S90" t="str">
            <v>General and Administrative</v>
          </cell>
        </row>
        <row r="91">
          <cell r="B91" t="str">
            <v xml:space="preserve">      5220-000 - Telephone/Fax</v>
          </cell>
          <cell r="S91" t="str">
            <v>General and Administrative</v>
          </cell>
        </row>
        <row r="92">
          <cell r="B92" t="str">
            <v xml:space="preserve">      5225-000 - Answering Service</v>
          </cell>
          <cell r="S92" t="str">
            <v>General and Administrative</v>
          </cell>
        </row>
        <row r="93">
          <cell r="B93" t="str">
            <v xml:space="preserve">      5230-000 - Postage &amp; Delivery</v>
          </cell>
          <cell r="S93" t="str">
            <v>General and Administrative</v>
          </cell>
        </row>
        <row r="94">
          <cell r="B94" t="str">
            <v xml:space="preserve">      5235-000 - Dues/Meeting</v>
          </cell>
          <cell r="S94" t="str">
            <v>General and Administrative</v>
          </cell>
        </row>
        <row r="95">
          <cell r="B95" t="str">
            <v xml:space="preserve">      5240-000 - Eviction Costs</v>
          </cell>
          <cell r="S95" t="str">
            <v>General and Administrative</v>
          </cell>
        </row>
        <row r="96">
          <cell r="B96" t="str">
            <v xml:space="preserve">      5245-000 - Vehicle/Travel Expense</v>
          </cell>
          <cell r="S96" t="str">
            <v>General and Administrative</v>
          </cell>
        </row>
        <row r="97">
          <cell r="B97" t="str">
            <v xml:space="preserve">      5250-000 - Permits &amp; Licenses</v>
          </cell>
          <cell r="S97" t="str">
            <v>General and Administrative</v>
          </cell>
        </row>
        <row r="98">
          <cell r="B98" t="str">
            <v xml:space="preserve">      5260-000 - Other Administrative</v>
          </cell>
          <cell r="S98" t="str">
            <v>General and Administrative</v>
          </cell>
        </row>
        <row r="99">
          <cell r="B99" t="str">
            <v xml:space="preserve">      5265-000 - Bank Fees</v>
          </cell>
          <cell r="S99" t="str">
            <v>General and Administrative</v>
          </cell>
        </row>
        <row r="100">
          <cell r="B100" t="str">
            <v xml:space="preserve">      5272-000 - Revenue Mgmt Expenses</v>
          </cell>
          <cell r="S100" t="str">
            <v>General and Administrative</v>
          </cell>
        </row>
        <row r="101">
          <cell r="B101" t="str">
            <v xml:space="preserve">      5274-000 - Applicant Screening Exps</v>
          </cell>
          <cell r="S101" t="str">
            <v>General and Administrative</v>
          </cell>
        </row>
        <row r="102">
          <cell r="B102" t="str">
            <v xml:space="preserve">      5275-000 - Res Payment Srvc Fees</v>
          </cell>
          <cell r="S102" t="str">
            <v>General and Administrative</v>
          </cell>
        </row>
        <row r="103">
          <cell r="B103" t="str">
            <v xml:space="preserve">      5280-000 - Training/Seminars</v>
          </cell>
          <cell r="S103" t="str">
            <v>General and Administrative</v>
          </cell>
        </row>
        <row r="104">
          <cell r="B104" t="str">
            <v xml:space="preserve"> </v>
          </cell>
        </row>
        <row r="105">
          <cell r="B105" t="str">
            <v xml:space="preserve">    Total General &amp; Administrative Exp</v>
          </cell>
        </row>
        <row r="106">
          <cell r="B106" t="str">
            <v xml:space="preserve"> </v>
          </cell>
        </row>
        <row r="107">
          <cell r="B107" t="str">
            <v xml:space="preserve">    CONTRACT SERVICES</v>
          </cell>
        </row>
        <row r="108">
          <cell r="B108" t="str">
            <v xml:space="preserve">      5303-000 - Internet Service</v>
          </cell>
          <cell r="S108" t="str">
            <v>Repairs and Maintenance</v>
          </cell>
        </row>
        <row r="109">
          <cell r="B109" t="str">
            <v xml:space="preserve">      5305-000 - Common Area Cleaning</v>
          </cell>
          <cell r="S109" t="str">
            <v>Repairs and Maintenance</v>
          </cell>
        </row>
        <row r="110">
          <cell r="B110" t="str">
            <v xml:space="preserve">      5316-000 - Equipment Service</v>
          </cell>
          <cell r="S110" t="str">
            <v>Repairs and Maintenance</v>
          </cell>
        </row>
        <row r="111">
          <cell r="B111" t="str">
            <v xml:space="preserve">      5320-000 - Exterminating</v>
          </cell>
          <cell r="S111" t="str">
            <v>Repairs and Maintenance</v>
          </cell>
        </row>
        <row r="112">
          <cell r="B112" t="str">
            <v xml:space="preserve">      5324-000 - Termite Treatment</v>
          </cell>
          <cell r="S112" t="str">
            <v>Repairs and Maintenance</v>
          </cell>
        </row>
        <row r="113">
          <cell r="B113" t="str">
            <v xml:space="preserve">      5325-000 - Landscaping Contract</v>
          </cell>
          <cell r="S113" t="str">
            <v>Repairs and Maintenance</v>
          </cell>
        </row>
        <row r="114">
          <cell r="B114" t="str">
            <v xml:space="preserve">      5327-000 - Landscaping Services</v>
          </cell>
          <cell r="S114" t="str">
            <v>Repairs and Maintenance</v>
          </cell>
        </row>
        <row r="115">
          <cell r="B115" t="str">
            <v xml:space="preserve">      5330-000 - Pool Service</v>
          </cell>
          <cell r="S115" t="str">
            <v>Repairs and Maintenance</v>
          </cell>
        </row>
        <row r="116">
          <cell r="B116" t="str">
            <v xml:space="preserve">      5335-000 - Security Service</v>
          </cell>
          <cell r="S116" t="str">
            <v>Repairs and Maintenance</v>
          </cell>
        </row>
        <row r="117">
          <cell r="B117" t="str">
            <v xml:space="preserve">      5337-000 - Key Control Contract</v>
          </cell>
          <cell r="S117" t="str">
            <v>Repairs and Maintenance</v>
          </cell>
        </row>
        <row r="118">
          <cell r="B118" t="str">
            <v xml:space="preserve">      5347-000 - Valet Trash Pick-up</v>
          </cell>
          <cell r="S118" t="str">
            <v>Repairs and Maintenance</v>
          </cell>
        </row>
        <row r="119">
          <cell r="B119" t="str">
            <v xml:space="preserve">      5350-000 - Uniforms</v>
          </cell>
          <cell r="S119" t="str">
            <v>Repairs and Maintenance</v>
          </cell>
        </row>
        <row r="120">
          <cell r="B120" t="str">
            <v xml:space="preserve">      5360-000 - Miscellaneous Service</v>
          </cell>
          <cell r="S120" t="str">
            <v>Repairs and Maintenance</v>
          </cell>
        </row>
        <row r="121">
          <cell r="B121" t="str">
            <v xml:space="preserve">      5365-000 - Alarm Monitoring Service</v>
          </cell>
          <cell r="S121" t="str">
            <v>Repairs and Maintenance</v>
          </cell>
        </row>
        <row r="122">
          <cell r="B122" t="str">
            <v xml:space="preserve">      5375-000 - Fire Safety Monitoring Sv</v>
          </cell>
          <cell r="S122" t="str">
            <v>Repairs and Maintenance</v>
          </cell>
        </row>
        <row r="123">
          <cell r="B123" t="str">
            <v xml:space="preserve">      5390-000 - GAP Renter's Liability Ins</v>
          </cell>
          <cell r="S123" t="str">
            <v>Repairs and Maintenance</v>
          </cell>
        </row>
        <row r="124">
          <cell r="B124" t="str">
            <v xml:space="preserve"> </v>
          </cell>
        </row>
        <row r="125">
          <cell r="B125" t="str">
            <v xml:space="preserve">    Total Contract Services</v>
          </cell>
        </row>
        <row r="126">
          <cell r="B126" t="str">
            <v xml:space="preserve"> </v>
          </cell>
        </row>
        <row r="127">
          <cell r="B127" t="str">
            <v xml:space="preserve">    REPAIR &amp; MAINTENANCE EXPENSES</v>
          </cell>
        </row>
        <row r="128">
          <cell r="B128" t="str">
            <v xml:space="preserve">      5500-000 - Appliance Supplies &amp; Rprs</v>
          </cell>
          <cell r="S128" t="str">
            <v>Repairs and Maintenance</v>
          </cell>
        </row>
        <row r="129">
          <cell r="B129" t="str">
            <v xml:space="preserve">      5505-000 - Electrical Supplies &amp; Rprs</v>
          </cell>
          <cell r="S129" t="str">
            <v>Repairs and Maintenance</v>
          </cell>
        </row>
        <row r="130">
          <cell r="B130" t="str">
            <v xml:space="preserve">      5510-000 - Plumbing Supplies &amp; Rprs</v>
          </cell>
          <cell r="S130" t="str">
            <v>Repairs and Maintenance</v>
          </cell>
        </row>
        <row r="131">
          <cell r="B131" t="str">
            <v xml:space="preserve">      5514-000 - Water Extraction/Repairs</v>
          </cell>
          <cell r="S131" t="str">
            <v>Repairs and Maintenance</v>
          </cell>
        </row>
        <row r="132">
          <cell r="B132" t="str">
            <v xml:space="preserve">      5515-000 - HVAC Supplies &amp; Rprs</v>
          </cell>
          <cell r="S132" t="str">
            <v>Repairs and Maintenance</v>
          </cell>
        </row>
        <row r="133">
          <cell r="B133" t="str">
            <v xml:space="preserve">      5520-000 - Interior Supplies &amp; Rprs</v>
          </cell>
          <cell r="S133" t="str">
            <v>Repairs and Maintenance</v>
          </cell>
        </row>
        <row r="134">
          <cell r="B134" t="str">
            <v xml:space="preserve">      5524-000 - Plaster/Sheetrock Rprs</v>
          </cell>
          <cell r="S134" t="str">
            <v>Repairs and Maintenance</v>
          </cell>
        </row>
        <row r="135">
          <cell r="B135" t="str">
            <v xml:space="preserve">      5525-000 - Doors/ Wndws/Glass Rprs</v>
          </cell>
          <cell r="S135" t="str">
            <v>Repairs and Maintenance</v>
          </cell>
        </row>
        <row r="136">
          <cell r="B136" t="str">
            <v xml:space="preserve">      5530-000 - Security Locks &amp; Keys</v>
          </cell>
          <cell r="S136" t="str">
            <v>Repairs and Maintenance</v>
          </cell>
        </row>
        <row r="137">
          <cell r="B137" t="str">
            <v xml:space="preserve">      5535-000 - Common Area Rprs/Maint.</v>
          </cell>
          <cell r="S137" t="str">
            <v>Repairs and Maintenance</v>
          </cell>
        </row>
        <row r="138">
          <cell r="B138" t="str">
            <v xml:space="preserve">      5540-000 - Exterior Supplies &amp; Rprs</v>
          </cell>
          <cell r="S138" t="str">
            <v>Repairs and Maintenance</v>
          </cell>
        </row>
        <row r="139">
          <cell r="B139" t="str">
            <v xml:space="preserve">      5555-000 - Fire Safety Repairs</v>
          </cell>
          <cell r="S139" t="str">
            <v>Repairs and Maintenance</v>
          </cell>
        </row>
        <row r="140">
          <cell r="B140" t="str">
            <v xml:space="preserve">      5558-000 - Access Gate Repairs</v>
          </cell>
          <cell r="S140" t="str">
            <v>Repairs and Maintenance</v>
          </cell>
        </row>
        <row r="141">
          <cell r="B141" t="str">
            <v xml:space="preserve">      5566-000 - Tools &amp; Small Equipment</v>
          </cell>
          <cell r="S141" t="str">
            <v>Repairs and Maintenance</v>
          </cell>
        </row>
        <row r="142">
          <cell r="B142" t="str">
            <v xml:space="preserve">      5567-000 - Roof/Gutter Repairs</v>
          </cell>
          <cell r="S142" t="str">
            <v>Repairs and Maintenance</v>
          </cell>
        </row>
        <row r="143">
          <cell r="B143" t="str">
            <v xml:space="preserve">      5570-000 - Other Maintenance Supp.</v>
          </cell>
          <cell r="S143" t="str">
            <v>Repairs and Maintenance</v>
          </cell>
        </row>
        <row r="144">
          <cell r="B144" t="str">
            <v xml:space="preserve">      5572-000 - Janitorial Supplies</v>
          </cell>
          <cell r="S144" t="str">
            <v>Repairs and Maintenance</v>
          </cell>
        </row>
        <row r="145">
          <cell r="B145" t="str">
            <v xml:space="preserve"> </v>
          </cell>
        </row>
        <row r="146">
          <cell r="B146" t="str">
            <v xml:space="preserve">    Total Repair &amp; Maintenance Expenses</v>
          </cell>
        </row>
        <row r="147">
          <cell r="B147" t="str">
            <v xml:space="preserve"> </v>
          </cell>
        </row>
        <row r="148">
          <cell r="B148" t="str">
            <v xml:space="preserve">    TURNKEY EXPENSES</v>
          </cell>
        </row>
        <row r="149">
          <cell r="B149" t="str">
            <v xml:space="preserve">      5600-000 - Carpet Cleaning &amp; Repairs</v>
          </cell>
          <cell r="S149" t="str">
            <v>Repairs and Maintenance</v>
          </cell>
        </row>
        <row r="150">
          <cell r="B150" t="str">
            <v xml:space="preserve">      5610-000 - Vinyl Repairs</v>
          </cell>
          <cell r="S150" t="str">
            <v>Repairs and Maintenance</v>
          </cell>
        </row>
        <row r="151">
          <cell r="B151" t="str">
            <v xml:space="preserve">      5620-000 - Contract Painting</v>
          </cell>
          <cell r="S151" t="str">
            <v>Repairs and Maintenance</v>
          </cell>
        </row>
        <row r="152">
          <cell r="B152" t="str">
            <v xml:space="preserve">      5630-000 - Contract Cleaning</v>
          </cell>
          <cell r="S152" t="str">
            <v>Repairs and Maintenance</v>
          </cell>
        </row>
        <row r="153">
          <cell r="B153" t="str">
            <v xml:space="preserve">      5634-000 - Bath Tub/Sink Resurfacing</v>
          </cell>
          <cell r="S153" t="str">
            <v>Repairs and Maintenance</v>
          </cell>
        </row>
        <row r="154">
          <cell r="B154" t="str">
            <v xml:space="preserve">      5640-000 - Paint &amp; Supplies</v>
          </cell>
          <cell r="S154" t="str">
            <v>Repairs and Maintenance</v>
          </cell>
        </row>
        <row r="155">
          <cell r="B155" t="str">
            <v xml:space="preserve">      5645-000 - Unit Cleaning Supplies</v>
          </cell>
          <cell r="S155" t="str">
            <v>Repairs and Maintenance</v>
          </cell>
        </row>
        <row r="156">
          <cell r="B156" t="str">
            <v xml:space="preserve"> </v>
          </cell>
        </row>
        <row r="157">
          <cell r="B157" t="str">
            <v xml:space="preserve">    Total Turnkey Expenses</v>
          </cell>
        </row>
        <row r="158">
          <cell r="B158" t="str">
            <v xml:space="preserve"> </v>
          </cell>
        </row>
        <row r="159">
          <cell r="B159" t="str">
            <v xml:space="preserve">    PAYROLL EXPENSES</v>
          </cell>
        </row>
        <row r="160">
          <cell r="B160" t="str">
            <v xml:space="preserve">      5710-000 - Mgt., Leasing &amp; Bookkpng.</v>
          </cell>
          <cell r="S160" t="str">
            <v xml:space="preserve">Payroll &amp; Benefits </v>
          </cell>
        </row>
        <row r="161">
          <cell r="B161" t="str">
            <v xml:space="preserve">      5720-000 - Maintenance &amp; Interior</v>
          </cell>
          <cell r="S161" t="str">
            <v xml:space="preserve">Payroll &amp; Benefits </v>
          </cell>
        </row>
        <row r="162">
          <cell r="B162" t="str">
            <v xml:space="preserve">      5730-000 - Exterior Porter</v>
          </cell>
          <cell r="S162" t="str">
            <v xml:space="preserve">Payroll &amp; Benefits </v>
          </cell>
        </row>
        <row r="163">
          <cell r="B163" t="str">
            <v xml:space="preserve">      5760-000 - Rental &amp; Renewal Bonuses</v>
          </cell>
          <cell r="S163" t="str">
            <v xml:space="preserve">Payroll &amp; Benefits </v>
          </cell>
        </row>
        <row r="164">
          <cell r="B164" t="str">
            <v xml:space="preserve">      5770-000 - Incentive Pay</v>
          </cell>
          <cell r="S164" t="str">
            <v xml:space="preserve">Payroll &amp; Benefits </v>
          </cell>
        </row>
        <row r="165">
          <cell r="B165" t="str">
            <v xml:space="preserve">      5776-000 - Employee Screening</v>
          </cell>
          <cell r="S165" t="str">
            <v xml:space="preserve">Payroll &amp; Benefits </v>
          </cell>
        </row>
        <row r="166">
          <cell r="B166" t="str">
            <v xml:space="preserve">      5780-000 - Payroll Taxes &amp; Benefits</v>
          </cell>
          <cell r="S166" t="str">
            <v xml:space="preserve">Payroll &amp; Benefits </v>
          </cell>
        </row>
        <row r="167">
          <cell r="B167" t="str">
            <v xml:space="preserve">      5780-100 - Workers Compensation</v>
          </cell>
          <cell r="S167" t="str">
            <v xml:space="preserve">Payroll &amp; Benefits </v>
          </cell>
        </row>
        <row r="168">
          <cell r="B168" t="str">
            <v xml:space="preserve">      5780-200 - Group Insurance</v>
          </cell>
          <cell r="S168" t="str">
            <v xml:space="preserve">Payroll &amp; Benefits </v>
          </cell>
        </row>
        <row r="169">
          <cell r="B169" t="str">
            <v xml:space="preserve"> </v>
          </cell>
        </row>
        <row r="170">
          <cell r="B170" t="str">
            <v xml:space="preserve">    Total Payroll Expenses</v>
          </cell>
        </row>
        <row r="171">
          <cell r="B171" t="str">
            <v xml:space="preserve"> </v>
          </cell>
        </row>
        <row r="172">
          <cell r="B172" t="str">
            <v xml:space="preserve">    UTILITY EXPENSES</v>
          </cell>
        </row>
        <row r="173">
          <cell r="B173" t="str">
            <v xml:space="preserve">      5910-000 - Electricity Expense-Bldg</v>
          </cell>
          <cell r="S173" t="str">
            <v xml:space="preserve">Utilities </v>
          </cell>
        </row>
        <row r="174">
          <cell r="B174" t="str">
            <v xml:space="preserve">      5915-000 - Electricity Expense-Units</v>
          </cell>
          <cell r="S174" t="str">
            <v xml:space="preserve">Utilities </v>
          </cell>
        </row>
        <row r="175">
          <cell r="B175" t="str">
            <v xml:space="preserve">      5920-000 - Gas Expense-Bldg</v>
          </cell>
          <cell r="S175" t="str">
            <v xml:space="preserve">Utilities </v>
          </cell>
        </row>
        <row r="176">
          <cell r="B176" t="str">
            <v xml:space="preserve">      5930-000 - Water &amp; Sewer Expense</v>
          </cell>
          <cell r="S176" t="str">
            <v xml:space="preserve">Utilities </v>
          </cell>
        </row>
        <row r="177">
          <cell r="B177" t="str">
            <v xml:space="preserve">      5940-000 - Trash Removal Expense</v>
          </cell>
          <cell r="S177" t="str">
            <v xml:space="preserve">Utilities </v>
          </cell>
        </row>
        <row r="178">
          <cell r="B178" t="str">
            <v xml:space="preserve">      5965-000 - Utility Billing Expense</v>
          </cell>
          <cell r="S178" t="str">
            <v xml:space="preserve">Utilities </v>
          </cell>
        </row>
        <row r="179">
          <cell r="B179" t="str">
            <v xml:space="preserve"> </v>
          </cell>
        </row>
        <row r="180">
          <cell r="B180" t="str">
            <v xml:space="preserve">    Total Utilities</v>
          </cell>
        </row>
        <row r="181">
          <cell r="B181" t="str">
            <v xml:space="preserve"> </v>
          </cell>
        </row>
        <row r="182">
          <cell r="B182" t="str">
            <v xml:space="preserve">    FIXED EXPENSES</v>
          </cell>
        </row>
        <row r="183">
          <cell r="B183" t="str">
            <v xml:space="preserve">      6030-000 - Real Property Taxes</v>
          </cell>
          <cell r="S183" t="str">
            <v>Real Estate Taxes</v>
          </cell>
        </row>
        <row r="184">
          <cell r="B184" t="str">
            <v xml:space="preserve">      6040-000 - Insurance Expense</v>
          </cell>
          <cell r="S184" t="str">
            <v>Property Insurance</v>
          </cell>
        </row>
        <row r="185">
          <cell r="B185" t="str">
            <v xml:space="preserve">      6040-100 - Insurance -Property</v>
          </cell>
          <cell r="S185" t="str">
            <v>Property Insurance</v>
          </cell>
        </row>
        <row r="186">
          <cell r="B186" t="str">
            <v xml:space="preserve">      6040-200 - Insurance -Liability</v>
          </cell>
          <cell r="S186" t="str">
            <v>Property Insurance</v>
          </cell>
        </row>
        <row r="187">
          <cell r="B187" t="str">
            <v xml:space="preserve"> </v>
          </cell>
        </row>
        <row r="188">
          <cell r="B188" t="str">
            <v xml:space="preserve">    Total Fixed Expenses</v>
          </cell>
        </row>
        <row r="189">
          <cell r="B189" t="str">
            <v xml:space="preserve"> </v>
          </cell>
        </row>
        <row r="190">
          <cell r="B190" t="str">
            <v xml:space="preserve">    HOME OFFICE EXPENSES</v>
          </cell>
        </row>
        <row r="191">
          <cell r="B191" t="str">
            <v xml:space="preserve">      6110-000 - Management Fees</v>
          </cell>
          <cell r="S191" t="str">
            <v>Management Fees</v>
          </cell>
        </row>
        <row r="192">
          <cell r="B192" t="str">
            <v xml:space="preserve">      6130-000 - Legal Fees</v>
          </cell>
          <cell r="S192" t="str">
            <v>Professional Fees</v>
          </cell>
        </row>
        <row r="193">
          <cell r="B193" t="str">
            <v xml:space="preserve"> </v>
          </cell>
        </row>
        <row r="194">
          <cell r="B194" t="str">
            <v xml:space="preserve">    Total Home Office</v>
          </cell>
        </row>
        <row r="195">
          <cell r="B195" t="str">
            <v xml:space="preserve"> </v>
          </cell>
        </row>
        <row r="196">
          <cell r="B196" t="str">
            <v xml:space="preserve">  TOTAL OPERATING EXPENSES</v>
          </cell>
        </row>
        <row r="197">
          <cell r="B197" t="str">
            <v xml:space="preserve"> </v>
          </cell>
        </row>
        <row r="198">
          <cell r="B198" t="str">
            <v xml:space="preserve">  NET OPERATING INCOME</v>
          </cell>
        </row>
        <row r="199">
          <cell r="B199" t="str">
            <v xml:space="preserve"> </v>
          </cell>
        </row>
        <row r="200">
          <cell r="B200" t="str">
            <v xml:space="preserve"> </v>
          </cell>
        </row>
        <row r="201">
          <cell r="B201" t="str">
            <v xml:space="preserve">  PARTNERSHIP EXPENSES</v>
          </cell>
        </row>
        <row r="202">
          <cell r="B202" t="str">
            <v xml:space="preserve">    6500-000 - Debt Svc-Interest 1st Mor</v>
          </cell>
          <cell r="S202" t="str">
            <v>Debt Service - A Note</v>
          </cell>
        </row>
        <row r="203">
          <cell r="B203" t="str">
            <v xml:space="preserve">    6545-000 - Loan Servicing Fees</v>
          </cell>
        </row>
        <row r="204">
          <cell r="B204" t="str">
            <v xml:space="preserve">    6550-000 - Other Partnership Exp.</v>
          </cell>
        </row>
        <row r="205">
          <cell r="B205" t="str">
            <v xml:space="preserve"> </v>
          </cell>
        </row>
        <row r="206">
          <cell r="B206" t="str">
            <v xml:space="preserve">  Total Partnership Expenses</v>
          </cell>
        </row>
        <row r="207">
          <cell r="B207" t="str">
            <v xml:space="preserve"> </v>
          </cell>
        </row>
        <row r="208">
          <cell r="B208" t="str">
            <v xml:space="preserve">  NET INCOME</v>
          </cell>
        </row>
        <row r="209">
          <cell r="B209" t="str">
            <v xml:space="preserve"> </v>
          </cell>
        </row>
        <row r="210">
          <cell r="B210" t="str">
            <v xml:space="preserve">  CAPITAL IMPROVEMENTS</v>
          </cell>
        </row>
        <row r="211">
          <cell r="B211" t="str">
            <v xml:space="preserve">    CAPITAL REPAIRS</v>
          </cell>
        </row>
        <row r="212">
          <cell r="B212" t="str">
            <v xml:space="preserve">      8010-000 - Carpet/Wood Flr Repair</v>
          </cell>
        </row>
        <row r="213">
          <cell r="B213" t="str">
            <v xml:space="preserve">      8020-000 - Vinyl/Floor Tile Repair</v>
          </cell>
        </row>
        <row r="214">
          <cell r="B214" t="str">
            <v xml:space="preserve">      8055-000 - Plumbing Repair</v>
          </cell>
        </row>
        <row r="215">
          <cell r="B215" t="str">
            <v xml:space="preserve">      8085-000 - Landscaping/Drainage Rpr</v>
          </cell>
        </row>
        <row r="216">
          <cell r="B216" t="str">
            <v xml:space="preserve">      8089-000 - Ofc/Club/Pool/Amnty Rpr</v>
          </cell>
        </row>
        <row r="217">
          <cell r="B217" t="str">
            <v xml:space="preserve"> </v>
          </cell>
        </row>
        <row r="218">
          <cell r="B218" t="str">
            <v xml:space="preserve">    Total Capital Repairs</v>
          </cell>
        </row>
        <row r="219">
          <cell r="B219" t="str">
            <v xml:space="preserve"> </v>
          </cell>
        </row>
        <row r="220">
          <cell r="B220" t="str">
            <v xml:space="preserve">    CAPITAL REPLACEMENTS</v>
          </cell>
        </row>
        <row r="221">
          <cell r="B221" t="str">
            <v xml:space="preserve">      8100-000 - Carpet/Wood Flr Rplcmnt</v>
          </cell>
        </row>
        <row r="222">
          <cell r="B222" t="str">
            <v xml:space="preserve">      8110-000 - Vinyl/Floor Tile Rplcmnt</v>
          </cell>
        </row>
        <row r="223">
          <cell r="B223" t="str">
            <v xml:space="preserve">      8130-000 - Dishwasher Replacement</v>
          </cell>
        </row>
        <row r="224">
          <cell r="B224" t="str">
            <v xml:space="preserve">      8145-000 - Other Appliances Rplcmnt</v>
          </cell>
        </row>
        <row r="225">
          <cell r="B225" t="str">
            <v xml:space="preserve">      8155-000 - Wind/Screen/Door Rplc</v>
          </cell>
        </row>
        <row r="226">
          <cell r="B226" t="str">
            <v xml:space="preserve">      8165-000 - Plumbing Replacement</v>
          </cell>
        </row>
        <row r="227">
          <cell r="B227" t="str">
            <v xml:space="preserve">      8170-000 - HVAC Replacement</v>
          </cell>
        </row>
        <row r="228">
          <cell r="B228" t="str">
            <v xml:space="preserve">      8180-000 - Electrical Replacement</v>
          </cell>
        </row>
        <row r="229">
          <cell r="B229" t="str">
            <v xml:space="preserve">      8182-000 - Int Lighting Fixture Replcmt</v>
          </cell>
        </row>
        <row r="230">
          <cell r="B230" t="str">
            <v xml:space="preserve">      8208-000 - Apts. Interior Upgrades</v>
          </cell>
        </row>
        <row r="231">
          <cell r="B231" t="str">
            <v xml:space="preserve">      8235-000 - Office/Club Addtns/Upgrd</v>
          </cell>
        </row>
        <row r="232">
          <cell r="B232" t="str">
            <v xml:space="preserve">      8238-000 - Pool/Tennis Court Addtns</v>
          </cell>
        </row>
        <row r="233">
          <cell r="B233" t="str">
            <v xml:space="preserve">      8260-000 - Equipment Replacement</v>
          </cell>
        </row>
        <row r="234">
          <cell r="B234" t="str">
            <v xml:space="preserve">      8275-000 - Start Up Costs-Office Setup</v>
          </cell>
        </row>
        <row r="235">
          <cell r="B235" t="str">
            <v xml:space="preserve">      8275-250 - Start Up Costs-Marketing</v>
          </cell>
        </row>
        <row r="236">
          <cell r="B236" t="str">
            <v xml:space="preserve"> </v>
          </cell>
        </row>
        <row r="237">
          <cell r="B237" t="str">
            <v xml:space="preserve">    Total Capital Replacements</v>
          </cell>
        </row>
        <row r="238">
          <cell r="B238" t="str">
            <v xml:space="preserve"> </v>
          </cell>
        </row>
        <row r="239">
          <cell r="B239" t="str">
            <v xml:space="preserve">  TOTAL CAPITAL IMPROVEMENTS</v>
          </cell>
        </row>
        <row r="240">
          <cell r="B240" t="str">
            <v xml:space="preserve"> </v>
          </cell>
        </row>
        <row r="241">
          <cell r="B241" t="str">
            <v xml:space="preserve">  CASH FLOW FROM OPERATION</v>
          </cell>
        </row>
        <row r="242">
          <cell r="B242" t="str">
            <v xml:space="preserve"> </v>
          </cell>
        </row>
        <row r="243">
          <cell r="B243" t="str">
            <v xml:space="preserve">  NET CASH FLOW</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MacKay Brown" id="{3B14C62F-6F72-4208-96BC-BF964EB4632F}" userId="S::mbrown@bellwetherco.com::d98b94de-8205-4ebf-81b6-964a28af256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35" dT="2025-03-31T20:44:28.52" personId="{3B14C62F-6F72-4208-96BC-BF964EB4632F}" id="{018AD74D-F648-476E-98A0-259B8C15F597}">
    <text>Flipped sign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244D-FC3D-4C02-B799-6CE60D7D3718}">
  <sheetPr>
    <pageSetUpPr fitToPage="1"/>
  </sheetPr>
  <dimension ref="B1:O99"/>
  <sheetViews>
    <sheetView showGridLines="0" tabSelected="1" view="pageBreakPreview" zoomScaleNormal="100" zoomScaleSheetLayoutView="100" zoomScalePageLayoutView="80" workbookViewId="0">
      <selection activeCell="I25" sqref="I25"/>
    </sheetView>
  </sheetViews>
  <sheetFormatPr defaultRowHeight="12.75" outlineLevelCol="1"/>
  <cols>
    <col min="1" max="1" width="4.5703125" style="108" customWidth="1"/>
    <col min="2" max="2" width="1.7109375" style="108" customWidth="1"/>
    <col min="3" max="3" width="48.140625" style="48" customWidth="1"/>
    <col min="4" max="4" width="3.28515625" style="48" customWidth="1"/>
    <col min="5" max="5" width="16.28515625" style="48" customWidth="1"/>
    <col min="6" max="6" width="14.85546875" style="48" customWidth="1"/>
    <col min="7" max="7" width="14.7109375" style="48" bestFit="1" customWidth="1"/>
    <col min="8" max="9" width="15" style="48" customWidth="1"/>
    <col min="10" max="10" width="15.140625" style="48" hidden="1" customWidth="1" outlineLevel="1"/>
    <col min="11" max="11" width="21.42578125" style="48" hidden="1" customWidth="1" outlineLevel="1"/>
    <col min="12" max="12" width="72" style="108" customWidth="1" collapsed="1"/>
    <col min="13" max="13" width="9" style="108"/>
    <col min="14" max="14" width="11.42578125" style="108" bestFit="1" customWidth="1"/>
    <col min="15" max="256" width="9" style="108"/>
    <col min="257" max="258" width="0" style="108" hidden="1" customWidth="1"/>
    <col min="259" max="259" width="48.140625" style="108" customWidth="1"/>
    <col min="260" max="260" width="3.28515625" style="108" customWidth="1"/>
    <col min="261" max="261" width="16.28515625" style="108" customWidth="1"/>
    <col min="262" max="263" width="13.5703125" style="108" customWidth="1"/>
    <col min="264" max="265" width="15" style="108" customWidth="1"/>
    <col min="266" max="266" width="15.140625" style="108" customWidth="1"/>
    <col min="267" max="267" width="21.42578125" style="108" customWidth="1"/>
    <col min="268" max="512" width="9" style="108"/>
    <col min="513" max="514" width="0" style="108" hidden="1" customWidth="1"/>
    <col min="515" max="515" width="48.140625" style="108" customWidth="1"/>
    <col min="516" max="516" width="3.28515625" style="108" customWidth="1"/>
    <col min="517" max="517" width="16.28515625" style="108" customWidth="1"/>
    <col min="518" max="519" width="13.5703125" style="108" customWidth="1"/>
    <col min="520" max="521" width="15" style="108" customWidth="1"/>
    <col min="522" max="522" width="15.140625" style="108" customWidth="1"/>
    <col min="523" max="523" width="21.42578125" style="108" customWidth="1"/>
    <col min="524" max="768" width="9" style="108"/>
    <col min="769" max="770" width="0" style="108" hidden="1" customWidth="1"/>
    <col min="771" max="771" width="48.140625" style="108" customWidth="1"/>
    <col min="772" max="772" width="3.28515625" style="108" customWidth="1"/>
    <col min="773" max="773" width="16.28515625" style="108" customWidth="1"/>
    <col min="774" max="775" width="13.5703125" style="108" customWidth="1"/>
    <col min="776" max="777" width="15" style="108" customWidth="1"/>
    <col min="778" max="778" width="15.140625" style="108" customWidth="1"/>
    <col min="779" max="779" width="21.42578125" style="108" customWidth="1"/>
    <col min="780" max="1024" width="9" style="108"/>
    <col min="1025" max="1026" width="0" style="108" hidden="1" customWidth="1"/>
    <col min="1027" max="1027" width="48.140625" style="108" customWidth="1"/>
    <col min="1028" max="1028" width="3.28515625" style="108" customWidth="1"/>
    <col min="1029" max="1029" width="16.28515625" style="108" customWidth="1"/>
    <col min="1030" max="1031" width="13.5703125" style="108" customWidth="1"/>
    <col min="1032" max="1033" width="15" style="108" customWidth="1"/>
    <col min="1034" max="1034" width="15.140625" style="108" customWidth="1"/>
    <col min="1035" max="1035" width="21.42578125" style="108" customWidth="1"/>
    <col min="1036" max="1280" width="9" style="108"/>
    <col min="1281" max="1282" width="0" style="108" hidden="1" customWidth="1"/>
    <col min="1283" max="1283" width="48.140625" style="108" customWidth="1"/>
    <col min="1284" max="1284" width="3.28515625" style="108" customWidth="1"/>
    <col min="1285" max="1285" width="16.28515625" style="108" customWidth="1"/>
    <col min="1286" max="1287" width="13.5703125" style="108" customWidth="1"/>
    <col min="1288" max="1289" width="15" style="108" customWidth="1"/>
    <col min="1290" max="1290" width="15.140625" style="108" customWidth="1"/>
    <col min="1291" max="1291" width="21.42578125" style="108" customWidth="1"/>
    <col min="1292" max="1536" width="9" style="108"/>
    <col min="1537" max="1538" width="0" style="108" hidden="1" customWidth="1"/>
    <col min="1539" max="1539" width="48.140625" style="108" customWidth="1"/>
    <col min="1540" max="1540" width="3.28515625" style="108" customWidth="1"/>
    <col min="1541" max="1541" width="16.28515625" style="108" customWidth="1"/>
    <col min="1542" max="1543" width="13.5703125" style="108" customWidth="1"/>
    <col min="1544" max="1545" width="15" style="108" customWidth="1"/>
    <col min="1546" max="1546" width="15.140625" style="108" customWidth="1"/>
    <col min="1547" max="1547" width="21.42578125" style="108" customWidth="1"/>
    <col min="1548" max="1792" width="9" style="108"/>
    <col min="1793" max="1794" width="0" style="108" hidden="1" customWidth="1"/>
    <col min="1795" max="1795" width="48.140625" style="108" customWidth="1"/>
    <col min="1796" max="1796" width="3.28515625" style="108" customWidth="1"/>
    <col min="1797" max="1797" width="16.28515625" style="108" customWidth="1"/>
    <col min="1798" max="1799" width="13.5703125" style="108" customWidth="1"/>
    <col min="1800" max="1801" width="15" style="108" customWidth="1"/>
    <col min="1802" max="1802" width="15.140625" style="108" customWidth="1"/>
    <col min="1803" max="1803" width="21.42578125" style="108" customWidth="1"/>
    <col min="1804" max="2048" width="9" style="108"/>
    <col min="2049" max="2050" width="0" style="108" hidden="1" customWidth="1"/>
    <col min="2051" max="2051" width="48.140625" style="108" customWidth="1"/>
    <col min="2052" max="2052" width="3.28515625" style="108" customWidth="1"/>
    <col min="2053" max="2053" width="16.28515625" style="108" customWidth="1"/>
    <col min="2054" max="2055" width="13.5703125" style="108" customWidth="1"/>
    <col min="2056" max="2057" width="15" style="108" customWidth="1"/>
    <col min="2058" max="2058" width="15.140625" style="108" customWidth="1"/>
    <col min="2059" max="2059" width="21.42578125" style="108" customWidth="1"/>
    <col min="2060" max="2304" width="9" style="108"/>
    <col min="2305" max="2306" width="0" style="108" hidden="1" customWidth="1"/>
    <col min="2307" max="2307" width="48.140625" style="108" customWidth="1"/>
    <col min="2308" max="2308" width="3.28515625" style="108" customWidth="1"/>
    <col min="2309" max="2309" width="16.28515625" style="108" customWidth="1"/>
    <col min="2310" max="2311" width="13.5703125" style="108" customWidth="1"/>
    <col min="2312" max="2313" width="15" style="108" customWidth="1"/>
    <col min="2314" max="2314" width="15.140625" style="108" customWidth="1"/>
    <col min="2315" max="2315" width="21.42578125" style="108" customWidth="1"/>
    <col min="2316" max="2560" width="9" style="108"/>
    <col min="2561" max="2562" width="0" style="108" hidden="1" customWidth="1"/>
    <col min="2563" max="2563" width="48.140625" style="108" customWidth="1"/>
    <col min="2564" max="2564" width="3.28515625" style="108" customWidth="1"/>
    <col min="2565" max="2565" width="16.28515625" style="108" customWidth="1"/>
    <col min="2566" max="2567" width="13.5703125" style="108" customWidth="1"/>
    <col min="2568" max="2569" width="15" style="108" customWidth="1"/>
    <col min="2570" max="2570" width="15.140625" style="108" customWidth="1"/>
    <col min="2571" max="2571" width="21.42578125" style="108" customWidth="1"/>
    <col min="2572" max="2816" width="9" style="108"/>
    <col min="2817" max="2818" width="0" style="108" hidden="1" customWidth="1"/>
    <col min="2819" max="2819" width="48.140625" style="108" customWidth="1"/>
    <col min="2820" max="2820" width="3.28515625" style="108" customWidth="1"/>
    <col min="2821" max="2821" width="16.28515625" style="108" customWidth="1"/>
    <col min="2822" max="2823" width="13.5703125" style="108" customWidth="1"/>
    <col min="2824" max="2825" width="15" style="108" customWidth="1"/>
    <col min="2826" max="2826" width="15.140625" style="108" customWidth="1"/>
    <col min="2827" max="2827" width="21.42578125" style="108" customWidth="1"/>
    <col min="2828" max="3072" width="9" style="108"/>
    <col min="3073" max="3074" width="0" style="108" hidden="1" customWidth="1"/>
    <col min="3075" max="3075" width="48.140625" style="108" customWidth="1"/>
    <col min="3076" max="3076" width="3.28515625" style="108" customWidth="1"/>
    <col min="3077" max="3077" width="16.28515625" style="108" customWidth="1"/>
    <col min="3078" max="3079" width="13.5703125" style="108" customWidth="1"/>
    <col min="3080" max="3081" width="15" style="108" customWidth="1"/>
    <col min="3082" max="3082" width="15.140625" style="108" customWidth="1"/>
    <col min="3083" max="3083" width="21.42578125" style="108" customWidth="1"/>
    <col min="3084" max="3328" width="9" style="108"/>
    <col min="3329" max="3330" width="0" style="108" hidden="1" customWidth="1"/>
    <col min="3331" max="3331" width="48.140625" style="108" customWidth="1"/>
    <col min="3332" max="3332" width="3.28515625" style="108" customWidth="1"/>
    <col min="3333" max="3333" width="16.28515625" style="108" customWidth="1"/>
    <col min="3334" max="3335" width="13.5703125" style="108" customWidth="1"/>
    <col min="3336" max="3337" width="15" style="108" customWidth="1"/>
    <col min="3338" max="3338" width="15.140625" style="108" customWidth="1"/>
    <col min="3339" max="3339" width="21.42578125" style="108" customWidth="1"/>
    <col min="3340" max="3584" width="9" style="108"/>
    <col min="3585" max="3586" width="0" style="108" hidden="1" customWidth="1"/>
    <col min="3587" max="3587" width="48.140625" style="108" customWidth="1"/>
    <col min="3588" max="3588" width="3.28515625" style="108" customWidth="1"/>
    <col min="3589" max="3589" width="16.28515625" style="108" customWidth="1"/>
    <col min="3590" max="3591" width="13.5703125" style="108" customWidth="1"/>
    <col min="3592" max="3593" width="15" style="108" customWidth="1"/>
    <col min="3594" max="3594" width="15.140625" style="108" customWidth="1"/>
    <col min="3595" max="3595" width="21.42578125" style="108" customWidth="1"/>
    <col min="3596" max="3840" width="9" style="108"/>
    <col min="3841" max="3842" width="0" style="108" hidden="1" customWidth="1"/>
    <col min="3843" max="3843" width="48.140625" style="108" customWidth="1"/>
    <col min="3844" max="3844" width="3.28515625" style="108" customWidth="1"/>
    <col min="3845" max="3845" width="16.28515625" style="108" customWidth="1"/>
    <col min="3846" max="3847" width="13.5703125" style="108" customWidth="1"/>
    <col min="3848" max="3849" width="15" style="108" customWidth="1"/>
    <col min="3850" max="3850" width="15.140625" style="108" customWidth="1"/>
    <col min="3851" max="3851" width="21.42578125" style="108" customWidth="1"/>
    <col min="3852" max="4096" width="9" style="108"/>
    <col min="4097" max="4098" width="0" style="108" hidden="1" customWidth="1"/>
    <col min="4099" max="4099" width="48.140625" style="108" customWidth="1"/>
    <col min="4100" max="4100" width="3.28515625" style="108" customWidth="1"/>
    <col min="4101" max="4101" width="16.28515625" style="108" customWidth="1"/>
    <col min="4102" max="4103" width="13.5703125" style="108" customWidth="1"/>
    <col min="4104" max="4105" width="15" style="108" customWidth="1"/>
    <col min="4106" max="4106" width="15.140625" style="108" customWidth="1"/>
    <col min="4107" max="4107" width="21.42578125" style="108" customWidth="1"/>
    <col min="4108" max="4352" width="9" style="108"/>
    <col min="4353" max="4354" width="0" style="108" hidden="1" customWidth="1"/>
    <col min="4355" max="4355" width="48.140625" style="108" customWidth="1"/>
    <col min="4356" max="4356" width="3.28515625" style="108" customWidth="1"/>
    <col min="4357" max="4357" width="16.28515625" style="108" customWidth="1"/>
    <col min="4358" max="4359" width="13.5703125" style="108" customWidth="1"/>
    <col min="4360" max="4361" width="15" style="108" customWidth="1"/>
    <col min="4362" max="4362" width="15.140625" style="108" customWidth="1"/>
    <col min="4363" max="4363" width="21.42578125" style="108" customWidth="1"/>
    <col min="4364" max="4608" width="9" style="108"/>
    <col min="4609" max="4610" width="0" style="108" hidden="1" customWidth="1"/>
    <col min="4611" max="4611" width="48.140625" style="108" customWidth="1"/>
    <col min="4612" max="4612" width="3.28515625" style="108" customWidth="1"/>
    <col min="4613" max="4613" width="16.28515625" style="108" customWidth="1"/>
    <col min="4614" max="4615" width="13.5703125" style="108" customWidth="1"/>
    <col min="4616" max="4617" width="15" style="108" customWidth="1"/>
    <col min="4618" max="4618" width="15.140625" style="108" customWidth="1"/>
    <col min="4619" max="4619" width="21.42578125" style="108" customWidth="1"/>
    <col min="4620" max="4864" width="9" style="108"/>
    <col min="4865" max="4866" width="0" style="108" hidden="1" customWidth="1"/>
    <col min="4867" max="4867" width="48.140625" style="108" customWidth="1"/>
    <col min="4868" max="4868" width="3.28515625" style="108" customWidth="1"/>
    <col min="4869" max="4869" width="16.28515625" style="108" customWidth="1"/>
    <col min="4870" max="4871" width="13.5703125" style="108" customWidth="1"/>
    <col min="4872" max="4873" width="15" style="108" customWidth="1"/>
    <col min="4874" max="4874" width="15.140625" style="108" customWidth="1"/>
    <col min="4875" max="4875" width="21.42578125" style="108" customWidth="1"/>
    <col min="4876" max="5120" width="9" style="108"/>
    <col min="5121" max="5122" width="0" style="108" hidden="1" customWidth="1"/>
    <col min="5123" max="5123" width="48.140625" style="108" customWidth="1"/>
    <col min="5124" max="5124" width="3.28515625" style="108" customWidth="1"/>
    <col min="5125" max="5125" width="16.28515625" style="108" customWidth="1"/>
    <col min="5126" max="5127" width="13.5703125" style="108" customWidth="1"/>
    <col min="5128" max="5129" width="15" style="108" customWidth="1"/>
    <col min="5130" max="5130" width="15.140625" style="108" customWidth="1"/>
    <col min="5131" max="5131" width="21.42578125" style="108" customWidth="1"/>
    <col min="5132" max="5376" width="9" style="108"/>
    <col min="5377" max="5378" width="0" style="108" hidden="1" customWidth="1"/>
    <col min="5379" max="5379" width="48.140625" style="108" customWidth="1"/>
    <col min="5380" max="5380" width="3.28515625" style="108" customWidth="1"/>
    <col min="5381" max="5381" width="16.28515625" style="108" customWidth="1"/>
    <col min="5382" max="5383" width="13.5703125" style="108" customWidth="1"/>
    <col min="5384" max="5385" width="15" style="108" customWidth="1"/>
    <col min="5386" max="5386" width="15.140625" style="108" customWidth="1"/>
    <col min="5387" max="5387" width="21.42578125" style="108" customWidth="1"/>
    <col min="5388" max="5632" width="9" style="108"/>
    <col min="5633" max="5634" width="0" style="108" hidden="1" customWidth="1"/>
    <col min="5635" max="5635" width="48.140625" style="108" customWidth="1"/>
    <col min="5636" max="5636" width="3.28515625" style="108" customWidth="1"/>
    <col min="5637" max="5637" width="16.28515625" style="108" customWidth="1"/>
    <col min="5638" max="5639" width="13.5703125" style="108" customWidth="1"/>
    <col min="5640" max="5641" width="15" style="108" customWidth="1"/>
    <col min="5642" max="5642" width="15.140625" style="108" customWidth="1"/>
    <col min="5643" max="5643" width="21.42578125" style="108" customWidth="1"/>
    <col min="5644" max="5888" width="9" style="108"/>
    <col min="5889" max="5890" width="0" style="108" hidden="1" customWidth="1"/>
    <col min="5891" max="5891" width="48.140625" style="108" customWidth="1"/>
    <col min="5892" max="5892" width="3.28515625" style="108" customWidth="1"/>
    <col min="5893" max="5893" width="16.28515625" style="108" customWidth="1"/>
    <col min="5894" max="5895" width="13.5703125" style="108" customWidth="1"/>
    <col min="5896" max="5897" width="15" style="108" customWidth="1"/>
    <col min="5898" max="5898" width="15.140625" style="108" customWidth="1"/>
    <col min="5899" max="5899" width="21.42578125" style="108" customWidth="1"/>
    <col min="5900" max="6144" width="9" style="108"/>
    <col min="6145" max="6146" width="0" style="108" hidden="1" customWidth="1"/>
    <col min="6147" max="6147" width="48.140625" style="108" customWidth="1"/>
    <col min="6148" max="6148" width="3.28515625" style="108" customWidth="1"/>
    <col min="6149" max="6149" width="16.28515625" style="108" customWidth="1"/>
    <col min="6150" max="6151" width="13.5703125" style="108" customWidth="1"/>
    <col min="6152" max="6153" width="15" style="108" customWidth="1"/>
    <col min="6154" max="6154" width="15.140625" style="108" customWidth="1"/>
    <col min="6155" max="6155" width="21.42578125" style="108" customWidth="1"/>
    <col min="6156" max="6400" width="9" style="108"/>
    <col min="6401" max="6402" width="0" style="108" hidden="1" customWidth="1"/>
    <col min="6403" max="6403" width="48.140625" style="108" customWidth="1"/>
    <col min="6404" max="6404" width="3.28515625" style="108" customWidth="1"/>
    <col min="6405" max="6405" width="16.28515625" style="108" customWidth="1"/>
    <col min="6406" max="6407" width="13.5703125" style="108" customWidth="1"/>
    <col min="6408" max="6409" width="15" style="108" customWidth="1"/>
    <col min="6410" max="6410" width="15.140625" style="108" customWidth="1"/>
    <col min="6411" max="6411" width="21.42578125" style="108" customWidth="1"/>
    <col min="6412" max="6656" width="9" style="108"/>
    <col min="6657" max="6658" width="0" style="108" hidden="1" customWidth="1"/>
    <col min="6659" max="6659" width="48.140625" style="108" customWidth="1"/>
    <col min="6660" max="6660" width="3.28515625" style="108" customWidth="1"/>
    <col min="6661" max="6661" width="16.28515625" style="108" customWidth="1"/>
    <col min="6662" max="6663" width="13.5703125" style="108" customWidth="1"/>
    <col min="6664" max="6665" width="15" style="108" customWidth="1"/>
    <col min="6666" max="6666" width="15.140625" style="108" customWidth="1"/>
    <col min="6667" max="6667" width="21.42578125" style="108" customWidth="1"/>
    <col min="6668" max="6912" width="9" style="108"/>
    <col min="6913" max="6914" width="0" style="108" hidden="1" customWidth="1"/>
    <col min="6915" max="6915" width="48.140625" style="108" customWidth="1"/>
    <col min="6916" max="6916" width="3.28515625" style="108" customWidth="1"/>
    <col min="6917" max="6917" width="16.28515625" style="108" customWidth="1"/>
    <col min="6918" max="6919" width="13.5703125" style="108" customWidth="1"/>
    <col min="6920" max="6921" width="15" style="108" customWidth="1"/>
    <col min="6922" max="6922" width="15.140625" style="108" customWidth="1"/>
    <col min="6923" max="6923" width="21.42578125" style="108" customWidth="1"/>
    <col min="6924" max="7168" width="9" style="108"/>
    <col min="7169" max="7170" width="0" style="108" hidden="1" customWidth="1"/>
    <col min="7171" max="7171" width="48.140625" style="108" customWidth="1"/>
    <col min="7172" max="7172" width="3.28515625" style="108" customWidth="1"/>
    <col min="7173" max="7173" width="16.28515625" style="108" customWidth="1"/>
    <col min="7174" max="7175" width="13.5703125" style="108" customWidth="1"/>
    <col min="7176" max="7177" width="15" style="108" customWidth="1"/>
    <col min="7178" max="7178" width="15.140625" style="108" customWidth="1"/>
    <col min="7179" max="7179" width="21.42578125" style="108" customWidth="1"/>
    <col min="7180" max="7424" width="9" style="108"/>
    <col min="7425" max="7426" width="0" style="108" hidden="1" customWidth="1"/>
    <col min="7427" max="7427" width="48.140625" style="108" customWidth="1"/>
    <col min="7428" max="7428" width="3.28515625" style="108" customWidth="1"/>
    <col min="7429" max="7429" width="16.28515625" style="108" customWidth="1"/>
    <col min="7430" max="7431" width="13.5703125" style="108" customWidth="1"/>
    <col min="7432" max="7433" width="15" style="108" customWidth="1"/>
    <col min="7434" max="7434" width="15.140625" style="108" customWidth="1"/>
    <col min="7435" max="7435" width="21.42578125" style="108" customWidth="1"/>
    <col min="7436" max="7680" width="9" style="108"/>
    <col min="7681" max="7682" width="0" style="108" hidden="1" customWidth="1"/>
    <col min="7683" max="7683" width="48.140625" style="108" customWidth="1"/>
    <col min="7684" max="7684" width="3.28515625" style="108" customWidth="1"/>
    <col min="7685" max="7685" width="16.28515625" style="108" customWidth="1"/>
    <col min="7686" max="7687" width="13.5703125" style="108" customWidth="1"/>
    <col min="7688" max="7689" width="15" style="108" customWidth="1"/>
    <col min="7690" max="7690" width="15.140625" style="108" customWidth="1"/>
    <col min="7691" max="7691" width="21.42578125" style="108" customWidth="1"/>
    <col min="7692" max="7936" width="9" style="108"/>
    <col min="7937" max="7938" width="0" style="108" hidden="1" customWidth="1"/>
    <col min="7939" max="7939" width="48.140625" style="108" customWidth="1"/>
    <col min="7940" max="7940" width="3.28515625" style="108" customWidth="1"/>
    <col min="7941" max="7941" width="16.28515625" style="108" customWidth="1"/>
    <col min="7942" max="7943" width="13.5703125" style="108" customWidth="1"/>
    <col min="7944" max="7945" width="15" style="108" customWidth="1"/>
    <col min="7946" max="7946" width="15.140625" style="108" customWidth="1"/>
    <col min="7947" max="7947" width="21.42578125" style="108" customWidth="1"/>
    <col min="7948" max="8192" width="9" style="108"/>
    <col min="8193" max="8194" width="0" style="108" hidden="1" customWidth="1"/>
    <col min="8195" max="8195" width="48.140625" style="108" customWidth="1"/>
    <col min="8196" max="8196" width="3.28515625" style="108" customWidth="1"/>
    <col min="8197" max="8197" width="16.28515625" style="108" customWidth="1"/>
    <col min="8198" max="8199" width="13.5703125" style="108" customWidth="1"/>
    <col min="8200" max="8201" width="15" style="108" customWidth="1"/>
    <col min="8202" max="8202" width="15.140625" style="108" customWidth="1"/>
    <col min="8203" max="8203" width="21.42578125" style="108" customWidth="1"/>
    <col min="8204" max="8448" width="9" style="108"/>
    <col min="8449" max="8450" width="0" style="108" hidden="1" customWidth="1"/>
    <col min="8451" max="8451" width="48.140625" style="108" customWidth="1"/>
    <col min="8452" max="8452" width="3.28515625" style="108" customWidth="1"/>
    <col min="8453" max="8453" width="16.28515625" style="108" customWidth="1"/>
    <col min="8454" max="8455" width="13.5703125" style="108" customWidth="1"/>
    <col min="8456" max="8457" width="15" style="108" customWidth="1"/>
    <col min="8458" max="8458" width="15.140625" style="108" customWidth="1"/>
    <col min="8459" max="8459" width="21.42578125" style="108" customWidth="1"/>
    <col min="8460" max="8704" width="9" style="108"/>
    <col min="8705" max="8706" width="0" style="108" hidden="1" customWidth="1"/>
    <col min="8707" max="8707" width="48.140625" style="108" customWidth="1"/>
    <col min="8708" max="8708" width="3.28515625" style="108" customWidth="1"/>
    <col min="8709" max="8709" width="16.28515625" style="108" customWidth="1"/>
    <col min="8710" max="8711" width="13.5703125" style="108" customWidth="1"/>
    <col min="8712" max="8713" width="15" style="108" customWidth="1"/>
    <col min="8714" max="8714" width="15.140625" style="108" customWidth="1"/>
    <col min="8715" max="8715" width="21.42578125" style="108" customWidth="1"/>
    <col min="8716" max="8960" width="9" style="108"/>
    <col min="8961" max="8962" width="0" style="108" hidden="1" customWidth="1"/>
    <col min="8963" max="8963" width="48.140625" style="108" customWidth="1"/>
    <col min="8964" max="8964" width="3.28515625" style="108" customWidth="1"/>
    <col min="8965" max="8965" width="16.28515625" style="108" customWidth="1"/>
    <col min="8966" max="8967" width="13.5703125" style="108" customWidth="1"/>
    <col min="8968" max="8969" width="15" style="108" customWidth="1"/>
    <col min="8970" max="8970" width="15.140625" style="108" customWidth="1"/>
    <col min="8971" max="8971" width="21.42578125" style="108" customWidth="1"/>
    <col min="8972" max="9216" width="9" style="108"/>
    <col min="9217" max="9218" width="0" style="108" hidden="1" customWidth="1"/>
    <col min="9219" max="9219" width="48.140625" style="108" customWidth="1"/>
    <col min="9220" max="9220" width="3.28515625" style="108" customWidth="1"/>
    <col min="9221" max="9221" width="16.28515625" style="108" customWidth="1"/>
    <col min="9222" max="9223" width="13.5703125" style="108" customWidth="1"/>
    <col min="9224" max="9225" width="15" style="108" customWidth="1"/>
    <col min="9226" max="9226" width="15.140625" style="108" customWidth="1"/>
    <col min="9227" max="9227" width="21.42578125" style="108" customWidth="1"/>
    <col min="9228" max="9472" width="9" style="108"/>
    <col min="9473" max="9474" width="0" style="108" hidden="1" customWidth="1"/>
    <col min="9475" max="9475" width="48.140625" style="108" customWidth="1"/>
    <col min="9476" max="9476" width="3.28515625" style="108" customWidth="1"/>
    <col min="9477" max="9477" width="16.28515625" style="108" customWidth="1"/>
    <col min="9478" max="9479" width="13.5703125" style="108" customWidth="1"/>
    <col min="9480" max="9481" width="15" style="108" customWidth="1"/>
    <col min="9482" max="9482" width="15.140625" style="108" customWidth="1"/>
    <col min="9483" max="9483" width="21.42578125" style="108" customWidth="1"/>
    <col min="9484" max="9728" width="9" style="108"/>
    <col min="9729" max="9730" width="0" style="108" hidden="1" customWidth="1"/>
    <col min="9731" max="9731" width="48.140625" style="108" customWidth="1"/>
    <col min="9732" max="9732" width="3.28515625" style="108" customWidth="1"/>
    <col min="9733" max="9733" width="16.28515625" style="108" customWidth="1"/>
    <col min="9734" max="9735" width="13.5703125" style="108" customWidth="1"/>
    <col min="9736" max="9737" width="15" style="108" customWidth="1"/>
    <col min="9738" max="9738" width="15.140625" style="108" customWidth="1"/>
    <col min="9739" max="9739" width="21.42578125" style="108" customWidth="1"/>
    <col min="9740" max="9984" width="9" style="108"/>
    <col min="9985" max="9986" width="0" style="108" hidden="1" customWidth="1"/>
    <col min="9987" max="9987" width="48.140625" style="108" customWidth="1"/>
    <col min="9988" max="9988" width="3.28515625" style="108" customWidth="1"/>
    <col min="9989" max="9989" width="16.28515625" style="108" customWidth="1"/>
    <col min="9990" max="9991" width="13.5703125" style="108" customWidth="1"/>
    <col min="9992" max="9993" width="15" style="108" customWidth="1"/>
    <col min="9994" max="9994" width="15.140625" style="108" customWidth="1"/>
    <col min="9995" max="9995" width="21.42578125" style="108" customWidth="1"/>
    <col min="9996" max="10240" width="9" style="108"/>
    <col min="10241" max="10242" width="0" style="108" hidden="1" customWidth="1"/>
    <col min="10243" max="10243" width="48.140625" style="108" customWidth="1"/>
    <col min="10244" max="10244" width="3.28515625" style="108" customWidth="1"/>
    <col min="10245" max="10245" width="16.28515625" style="108" customWidth="1"/>
    <col min="10246" max="10247" width="13.5703125" style="108" customWidth="1"/>
    <col min="10248" max="10249" width="15" style="108" customWidth="1"/>
    <col min="10250" max="10250" width="15.140625" style="108" customWidth="1"/>
    <col min="10251" max="10251" width="21.42578125" style="108" customWidth="1"/>
    <col min="10252" max="10496" width="9" style="108"/>
    <col min="10497" max="10498" width="0" style="108" hidden="1" customWidth="1"/>
    <col min="10499" max="10499" width="48.140625" style="108" customWidth="1"/>
    <col min="10500" max="10500" width="3.28515625" style="108" customWidth="1"/>
    <col min="10501" max="10501" width="16.28515625" style="108" customWidth="1"/>
    <col min="10502" max="10503" width="13.5703125" style="108" customWidth="1"/>
    <col min="10504" max="10505" width="15" style="108" customWidth="1"/>
    <col min="10506" max="10506" width="15.140625" style="108" customWidth="1"/>
    <col min="10507" max="10507" width="21.42578125" style="108" customWidth="1"/>
    <col min="10508" max="10752" width="9" style="108"/>
    <col min="10753" max="10754" width="0" style="108" hidden="1" customWidth="1"/>
    <col min="10755" max="10755" width="48.140625" style="108" customWidth="1"/>
    <col min="10756" max="10756" width="3.28515625" style="108" customWidth="1"/>
    <col min="10757" max="10757" width="16.28515625" style="108" customWidth="1"/>
    <col min="10758" max="10759" width="13.5703125" style="108" customWidth="1"/>
    <col min="10760" max="10761" width="15" style="108" customWidth="1"/>
    <col min="10762" max="10762" width="15.140625" style="108" customWidth="1"/>
    <col min="10763" max="10763" width="21.42578125" style="108" customWidth="1"/>
    <col min="10764" max="11008" width="9" style="108"/>
    <col min="11009" max="11010" width="0" style="108" hidden="1" customWidth="1"/>
    <col min="11011" max="11011" width="48.140625" style="108" customWidth="1"/>
    <col min="11012" max="11012" width="3.28515625" style="108" customWidth="1"/>
    <col min="11013" max="11013" width="16.28515625" style="108" customWidth="1"/>
    <col min="11014" max="11015" width="13.5703125" style="108" customWidth="1"/>
    <col min="11016" max="11017" width="15" style="108" customWidth="1"/>
    <col min="11018" max="11018" width="15.140625" style="108" customWidth="1"/>
    <col min="11019" max="11019" width="21.42578125" style="108" customWidth="1"/>
    <col min="11020" max="11264" width="9" style="108"/>
    <col min="11265" max="11266" width="0" style="108" hidden="1" customWidth="1"/>
    <col min="11267" max="11267" width="48.140625" style="108" customWidth="1"/>
    <col min="11268" max="11268" width="3.28515625" style="108" customWidth="1"/>
    <col min="11269" max="11269" width="16.28515625" style="108" customWidth="1"/>
    <col min="11270" max="11271" width="13.5703125" style="108" customWidth="1"/>
    <col min="11272" max="11273" width="15" style="108" customWidth="1"/>
    <col min="11274" max="11274" width="15.140625" style="108" customWidth="1"/>
    <col min="11275" max="11275" width="21.42578125" style="108" customWidth="1"/>
    <col min="11276" max="11520" width="9" style="108"/>
    <col min="11521" max="11522" width="0" style="108" hidden="1" customWidth="1"/>
    <col min="11523" max="11523" width="48.140625" style="108" customWidth="1"/>
    <col min="11524" max="11524" width="3.28515625" style="108" customWidth="1"/>
    <col min="11525" max="11525" width="16.28515625" style="108" customWidth="1"/>
    <col min="11526" max="11527" width="13.5703125" style="108" customWidth="1"/>
    <col min="11528" max="11529" width="15" style="108" customWidth="1"/>
    <col min="11530" max="11530" width="15.140625" style="108" customWidth="1"/>
    <col min="11531" max="11531" width="21.42578125" style="108" customWidth="1"/>
    <col min="11532" max="11776" width="9" style="108"/>
    <col min="11777" max="11778" width="0" style="108" hidden="1" customWidth="1"/>
    <col min="11779" max="11779" width="48.140625" style="108" customWidth="1"/>
    <col min="11780" max="11780" width="3.28515625" style="108" customWidth="1"/>
    <col min="11781" max="11781" width="16.28515625" style="108" customWidth="1"/>
    <col min="11782" max="11783" width="13.5703125" style="108" customWidth="1"/>
    <col min="11784" max="11785" width="15" style="108" customWidth="1"/>
    <col min="11786" max="11786" width="15.140625" style="108" customWidth="1"/>
    <col min="11787" max="11787" width="21.42578125" style="108" customWidth="1"/>
    <col min="11788" max="12032" width="9" style="108"/>
    <col min="12033" max="12034" width="0" style="108" hidden="1" customWidth="1"/>
    <col min="12035" max="12035" width="48.140625" style="108" customWidth="1"/>
    <col min="12036" max="12036" width="3.28515625" style="108" customWidth="1"/>
    <col min="12037" max="12037" width="16.28515625" style="108" customWidth="1"/>
    <col min="12038" max="12039" width="13.5703125" style="108" customWidth="1"/>
    <col min="12040" max="12041" width="15" style="108" customWidth="1"/>
    <col min="12042" max="12042" width="15.140625" style="108" customWidth="1"/>
    <col min="12043" max="12043" width="21.42578125" style="108" customWidth="1"/>
    <col min="12044" max="12288" width="9" style="108"/>
    <col min="12289" max="12290" width="0" style="108" hidden="1" customWidth="1"/>
    <col min="12291" max="12291" width="48.140625" style="108" customWidth="1"/>
    <col min="12292" max="12292" width="3.28515625" style="108" customWidth="1"/>
    <col min="12293" max="12293" width="16.28515625" style="108" customWidth="1"/>
    <col min="12294" max="12295" width="13.5703125" style="108" customWidth="1"/>
    <col min="12296" max="12297" width="15" style="108" customWidth="1"/>
    <col min="12298" max="12298" width="15.140625" style="108" customWidth="1"/>
    <col min="12299" max="12299" width="21.42578125" style="108" customWidth="1"/>
    <col min="12300" max="12544" width="9" style="108"/>
    <col min="12545" max="12546" width="0" style="108" hidden="1" customWidth="1"/>
    <col min="12547" max="12547" width="48.140625" style="108" customWidth="1"/>
    <col min="12548" max="12548" width="3.28515625" style="108" customWidth="1"/>
    <col min="12549" max="12549" width="16.28515625" style="108" customWidth="1"/>
    <col min="12550" max="12551" width="13.5703125" style="108" customWidth="1"/>
    <col min="12552" max="12553" width="15" style="108" customWidth="1"/>
    <col min="12554" max="12554" width="15.140625" style="108" customWidth="1"/>
    <col min="12555" max="12555" width="21.42578125" style="108" customWidth="1"/>
    <col min="12556" max="12800" width="9" style="108"/>
    <col min="12801" max="12802" width="0" style="108" hidden="1" customWidth="1"/>
    <col min="12803" max="12803" width="48.140625" style="108" customWidth="1"/>
    <col min="12804" max="12804" width="3.28515625" style="108" customWidth="1"/>
    <col min="12805" max="12805" width="16.28515625" style="108" customWidth="1"/>
    <col min="12806" max="12807" width="13.5703125" style="108" customWidth="1"/>
    <col min="12808" max="12809" width="15" style="108" customWidth="1"/>
    <col min="12810" max="12810" width="15.140625" style="108" customWidth="1"/>
    <col min="12811" max="12811" width="21.42578125" style="108" customWidth="1"/>
    <col min="12812" max="13056" width="9" style="108"/>
    <col min="13057" max="13058" width="0" style="108" hidden="1" customWidth="1"/>
    <col min="13059" max="13059" width="48.140625" style="108" customWidth="1"/>
    <col min="13060" max="13060" width="3.28515625" style="108" customWidth="1"/>
    <col min="13061" max="13061" width="16.28515625" style="108" customWidth="1"/>
    <col min="13062" max="13063" width="13.5703125" style="108" customWidth="1"/>
    <col min="13064" max="13065" width="15" style="108" customWidth="1"/>
    <col min="13066" max="13066" width="15.140625" style="108" customWidth="1"/>
    <col min="13067" max="13067" width="21.42578125" style="108" customWidth="1"/>
    <col min="13068" max="13312" width="9" style="108"/>
    <col min="13313" max="13314" width="0" style="108" hidden="1" customWidth="1"/>
    <col min="13315" max="13315" width="48.140625" style="108" customWidth="1"/>
    <col min="13316" max="13316" width="3.28515625" style="108" customWidth="1"/>
    <col min="13317" max="13317" width="16.28515625" style="108" customWidth="1"/>
    <col min="13318" max="13319" width="13.5703125" style="108" customWidth="1"/>
    <col min="13320" max="13321" width="15" style="108" customWidth="1"/>
    <col min="13322" max="13322" width="15.140625" style="108" customWidth="1"/>
    <col min="13323" max="13323" width="21.42578125" style="108" customWidth="1"/>
    <col min="13324" max="13568" width="9" style="108"/>
    <col min="13569" max="13570" width="0" style="108" hidden="1" customWidth="1"/>
    <col min="13571" max="13571" width="48.140625" style="108" customWidth="1"/>
    <col min="13572" max="13572" width="3.28515625" style="108" customWidth="1"/>
    <col min="13573" max="13573" width="16.28515625" style="108" customWidth="1"/>
    <col min="13574" max="13575" width="13.5703125" style="108" customWidth="1"/>
    <col min="13576" max="13577" width="15" style="108" customWidth="1"/>
    <col min="13578" max="13578" width="15.140625" style="108" customWidth="1"/>
    <col min="13579" max="13579" width="21.42578125" style="108" customWidth="1"/>
    <col min="13580" max="13824" width="9" style="108"/>
    <col min="13825" max="13826" width="0" style="108" hidden="1" customWidth="1"/>
    <col min="13827" max="13827" width="48.140625" style="108" customWidth="1"/>
    <col min="13828" max="13828" width="3.28515625" style="108" customWidth="1"/>
    <col min="13829" max="13829" width="16.28515625" style="108" customWidth="1"/>
    <col min="13830" max="13831" width="13.5703125" style="108" customWidth="1"/>
    <col min="13832" max="13833" width="15" style="108" customWidth="1"/>
    <col min="13834" max="13834" width="15.140625" style="108" customWidth="1"/>
    <col min="13835" max="13835" width="21.42578125" style="108" customWidth="1"/>
    <col min="13836" max="14080" width="9" style="108"/>
    <col min="14081" max="14082" width="0" style="108" hidden="1" customWidth="1"/>
    <col min="14083" max="14083" width="48.140625" style="108" customWidth="1"/>
    <col min="14084" max="14084" width="3.28515625" style="108" customWidth="1"/>
    <col min="14085" max="14085" width="16.28515625" style="108" customWidth="1"/>
    <col min="14086" max="14087" width="13.5703125" style="108" customWidth="1"/>
    <col min="14088" max="14089" width="15" style="108" customWidth="1"/>
    <col min="14090" max="14090" width="15.140625" style="108" customWidth="1"/>
    <col min="14091" max="14091" width="21.42578125" style="108" customWidth="1"/>
    <col min="14092" max="14336" width="9" style="108"/>
    <col min="14337" max="14338" width="0" style="108" hidden="1" customWidth="1"/>
    <col min="14339" max="14339" width="48.140625" style="108" customWidth="1"/>
    <col min="14340" max="14340" width="3.28515625" style="108" customWidth="1"/>
    <col min="14341" max="14341" width="16.28515625" style="108" customWidth="1"/>
    <col min="14342" max="14343" width="13.5703125" style="108" customWidth="1"/>
    <col min="14344" max="14345" width="15" style="108" customWidth="1"/>
    <col min="14346" max="14346" width="15.140625" style="108" customWidth="1"/>
    <col min="14347" max="14347" width="21.42578125" style="108" customWidth="1"/>
    <col min="14348" max="14592" width="9" style="108"/>
    <col min="14593" max="14594" width="0" style="108" hidden="1" customWidth="1"/>
    <col min="14595" max="14595" width="48.140625" style="108" customWidth="1"/>
    <col min="14596" max="14596" width="3.28515625" style="108" customWidth="1"/>
    <col min="14597" max="14597" width="16.28515625" style="108" customWidth="1"/>
    <col min="14598" max="14599" width="13.5703125" style="108" customWidth="1"/>
    <col min="14600" max="14601" width="15" style="108" customWidth="1"/>
    <col min="14602" max="14602" width="15.140625" style="108" customWidth="1"/>
    <col min="14603" max="14603" width="21.42578125" style="108" customWidth="1"/>
    <col min="14604" max="14848" width="9" style="108"/>
    <col min="14849" max="14850" width="0" style="108" hidden="1" customWidth="1"/>
    <col min="14851" max="14851" width="48.140625" style="108" customWidth="1"/>
    <col min="14852" max="14852" width="3.28515625" style="108" customWidth="1"/>
    <col min="14853" max="14853" width="16.28515625" style="108" customWidth="1"/>
    <col min="14854" max="14855" width="13.5703125" style="108" customWidth="1"/>
    <col min="14856" max="14857" width="15" style="108" customWidth="1"/>
    <col min="14858" max="14858" width="15.140625" style="108" customWidth="1"/>
    <col min="14859" max="14859" width="21.42578125" style="108" customWidth="1"/>
    <col min="14860" max="15104" width="9" style="108"/>
    <col min="15105" max="15106" width="0" style="108" hidden="1" customWidth="1"/>
    <col min="15107" max="15107" width="48.140625" style="108" customWidth="1"/>
    <col min="15108" max="15108" width="3.28515625" style="108" customWidth="1"/>
    <col min="15109" max="15109" width="16.28515625" style="108" customWidth="1"/>
    <col min="15110" max="15111" width="13.5703125" style="108" customWidth="1"/>
    <col min="15112" max="15113" width="15" style="108" customWidth="1"/>
    <col min="15114" max="15114" width="15.140625" style="108" customWidth="1"/>
    <col min="15115" max="15115" width="21.42578125" style="108" customWidth="1"/>
    <col min="15116" max="15360" width="9" style="108"/>
    <col min="15361" max="15362" width="0" style="108" hidden="1" customWidth="1"/>
    <col min="15363" max="15363" width="48.140625" style="108" customWidth="1"/>
    <col min="15364" max="15364" width="3.28515625" style="108" customWidth="1"/>
    <col min="15365" max="15365" width="16.28515625" style="108" customWidth="1"/>
    <col min="15366" max="15367" width="13.5703125" style="108" customWidth="1"/>
    <col min="15368" max="15369" width="15" style="108" customWidth="1"/>
    <col min="15370" max="15370" width="15.140625" style="108" customWidth="1"/>
    <col min="15371" max="15371" width="21.42578125" style="108" customWidth="1"/>
    <col min="15372" max="15616" width="9" style="108"/>
    <col min="15617" max="15618" width="0" style="108" hidden="1" customWidth="1"/>
    <col min="15619" max="15619" width="48.140625" style="108" customWidth="1"/>
    <col min="15620" max="15620" width="3.28515625" style="108" customWidth="1"/>
    <col min="15621" max="15621" width="16.28515625" style="108" customWidth="1"/>
    <col min="15622" max="15623" width="13.5703125" style="108" customWidth="1"/>
    <col min="15624" max="15625" width="15" style="108" customWidth="1"/>
    <col min="15626" max="15626" width="15.140625" style="108" customWidth="1"/>
    <col min="15627" max="15627" width="21.42578125" style="108" customWidth="1"/>
    <col min="15628" max="15872" width="9" style="108"/>
    <col min="15873" max="15874" width="0" style="108" hidden="1" customWidth="1"/>
    <col min="15875" max="15875" width="48.140625" style="108" customWidth="1"/>
    <col min="15876" max="15876" width="3.28515625" style="108" customWidth="1"/>
    <col min="15877" max="15877" width="16.28515625" style="108" customWidth="1"/>
    <col min="15878" max="15879" width="13.5703125" style="108" customWidth="1"/>
    <col min="15880" max="15881" width="15" style="108" customWidth="1"/>
    <col min="15882" max="15882" width="15.140625" style="108" customWidth="1"/>
    <col min="15883" max="15883" width="21.42578125" style="108" customWidth="1"/>
    <col min="15884" max="16128" width="9" style="108"/>
    <col min="16129" max="16130" width="0" style="108" hidden="1" customWidth="1"/>
    <col min="16131" max="16131" width="48.140625" style="108" customWidth="1"/>
    <col min="16132" max="16132" width="3.28515625" style="108" customWidth="1"/>
    <col min="16133" max="16133" width="16.28515625" style="108" customWidth="1"/>
    <col min="16134" max="16135" width="13.5703125" style="108" customWidth="1"/>
    <col min="16136" max="16137" width="15" style="108" customWidth="1"/>
    <col min="16138" max="16138" width="15.140625" style="108" customWidth="1"/>
    <col min="16139" max="16139" width="21.42578125" style="108" customWidth="1"/>
    <col min="16140" max="16384" width="9" style="108"/>
  </cols>
  <sheetData>
    <row r="1" spans="2:15" s="1158" customFormat="1" ht="15.75">
      <c r="B1" s="1331" t="s">
        <v>0</v>
      </c>
      <c r="C1" s="1331"/>
      <c r="D1" s="1331"/>
      <c r="E1" s="1331"/>
      <c r="F1" s="1331"/>
      <c r="G1" s="1331"/>
      <c r="H1" s="1331"/>
      <c r="I1" s="1331"/>
      <c r="J1" s="1331"/>
      <c r="K1" s="1331"/>
    </row>
    <row r="2" spans="2:15" s="1158" customFormat="1" ht="15.75">
      <c r="C2" s="1159" t="s">
        <v>56</v>
      </c>
      <c r="D2" s="1159"/>
      <c r="E2" s="1160"/>
      <c r="F2" s="1160"/>
      <c r="G2" s="1160"/>
      <c r="H2" s="1160"/>
      <c r="I2" s="1160"/>
      <c r="J2" s="1160"/>
      <c r="K2" s="1160"/>
    </row>
    <row r="3" spans="2:15" s="1158" customFormat="1" ht="16.5" thickBot="1">
      <c r="C3" s="1159" t="str">
        <f>"as of" &amp;TEXT(F6," mm/dd/yyyy")</f>
        <v>as of 03/31/2026</v>
      </c>
      <c r="D3" s="1159"/>
      <c r="E3" s="1160"/>
      <c r="F3" s="1160"/>
      <c r="G3" s="1160"/>
      <c r="H3" s="1160"/>
      <c r="I3" s="1160"/>
      <c r="J3" s="1160"/>
      <c r="K3" s="1160"/>
    </row>
    <row r="4" spans="2:15" ht="18.75" customHeight="1" thickTop="1" thickBot="1">
      <c r="C4" s="1" t="s">
        <v>1</v>
      </c>
      <c r="D4" s="1161"/>
      <c r="E4" s="2"/>
      <c r="F4" s="3"/>
      <c r="G4" s="2"/>
      <c r="H4" s="1332" t="s">
        <v>2</v>
      </c>
      <c r="I4" s="1332"/>
      <c r="J4" s="4"/>
      <c r="K4" s="1162"/>
      <c r="L4" s="5"/>
      <c r="M4" s="5"/>
      <c r="N4" s="5"/>
      <c r="O4" s="5"/>
    </row>
    <row r="5" spans="2:15" ht="27.75" customHeight="1" thickBot="1">
      <c r="C5" s="6" t="s">
        <v>3</v>
      </c>
      <c r="D5" s="1163"/>
      <c r="E5" s="7" t="s">
        <v>4</v>
      </c>
      <c r="F5" s="8" t="s">
        <v>5</v>
      </c>
      <c r="G5" s="9" t="s">
        <v>6</v>
      </c>
      <c r="H5" s="10" t="s">
        <v>7</v>
      </c>
      <c r="I5" s="10" t="s">
        <v>8</v>
      </c>
      <c r="J5" s="10"/>
      <c r="K5" s="1164"/>
      <c r="L5" s="5"/>
      <c r="M5" s="5"/>
      <c r="N5" s="5"/>
      <c r="O5" s="5"/>
    </row>
    <row r="6" spans="2:15">
      <c r="C6" s="11" t="s">
        <v>9</v>
      </c>
      <c r="D6" s="1165"/>
      <c r="E6" s="1292">
        <f>+'DSCR Calc'!H5</f>
        <v>47626516</v>
      </c>
      <c r="F6" s="1220">
        <v>46112</v>
      </c>
      <c r="G6" s="12" t="s">
        <v>2162</v>
      </c>
      <c r="H6" s="13">
        <v>0</v>
      </c>
      <c r="I6" s="1221">
        <v>1</v>
      </c>
      <c r="J6" s="14"/>
      <c r="K6" s="1168"/>
      <c r="L6" s="15"/>
      <c r="M6" s="15"/>
      <c r="N6" s="15"/>
      <c r="O6" s="15"/>
    </row>
    <row r="7" spans="2:15">
      <c r="C7" s="11" t="s">
        <v>10</v>
      </c>
      <c r="D7" s="1165"/>
      <c r="E7" s="13"/>
      <c r="F7" s="1166"/>
      <c r="G7" s="12"/>
      <c r="H7" s="13"/>
      <c r="I7" s="1167"/>
      <c r="J7" s="14"/>
      <c r="K7" s="1168"/>
      <c r="L7" s="15"/>
      <c r="M7" s="15"/>
      <c r="N7" s="15"/>
      <c r="O7" s="15"/>
    </row>
    <row r="8" spans="2:15">
      <c r="C8" s="11" t="s">
        <v>2163</v>
      </c>
      <c r="D8" s="1165"/>
      <c r="E8" s="13"/>
      <c r="F8" s="1166"/>
      <c r="G8" s="12"/>
      <c r="H8" s="13"/>
      <c r="I8" s="1167"/>
      <c r="J8" s="14"/>
      <c r="K8" s="1168"/>
      <c r="L8" s="15"/>
      <c r="M8" s="15"/>
      <c r="N8" s="15"/>
      <c r="O8" s="15"/>
    </row>
    <row r="9" spans="2:15">
      <c r="C9" s="16" t="s">
        <v>11</v>
      </c>
      <c r="D9" s="1169"/>
      <c r="E9" s="1333" t="s">
        <v>581</v>
      </c>
      <c r="F9" s="1334"/>
      <c r="G9" s="1334"/>
      <c r="H9" s="1334"/>
      <c r="I9" s="1335"/>
      <c r="J9" s="15"/>
      <c r="K9" s="1168"/>
      <c r="L9" s="15"/>
      <c r="M9" s="15"/>
      <c r="N9" s="15"/>
      <c r="O9" s="15"/>
    </row>
    <row r="10" spans="2:15">
      <c r="C10" s="17" t="s">
        <v>12</v>
      </c>
      <c r="D10" s="15"/>
      <c r="E10" s="1336" t="s">
        <v>2189</v>
      </c>
      <c r="F10" s="1337"/>
      <c r="G10" s="1337"/>
      <c r="H10" s="1337"/>
      <c r="I10" s="1338"/>
      <c r="J10" s="18"/>
      <c r="K10" s="1168"/>
      <c r="L10" s="15"/>
      <c r="M10" s="18"/>
      <c r="N10" s="15"/>
      <c r="O10" s="15"/>
    </row>
    <row r="11" spans="2:15">
      <c r="C11" s="11" t="s">
        <v>13</v>
      </c>
      <c r="D11" s="1165"/>
      <c r="E11" s="1339" t="s">
        <v>582</v>
      </c>
      <c r="F11" s="1340"/>
      <c r="G11" s="1340"/>
      <c r="H11" s="1340"/>
      <c r="I11" s="1341"/>
      <c r="J11" s="18"/>
      <c r="K11" s="1168"/>
      <c r="L11" s="15"/>
      <c r="M11" s="18"/>
      <c r="N11" s="15"/>
      <c r="O11" s="15"/>
    </row>
    <row r="12" spans="2:15">
      <c r="C12" s="19" t="s">
        <v>14</v>
      </c>
      <c r="D12" s="1170"/>
      <c r="E12" s="20">
        <v>308</v>
      </c>
      <c r="F12" s="1171" t="s">
        <v>2190</v>
      </c>
      <c r="G12" s="1172" t="s">
        <v>2164</v>
      </c>
      <c r="H12" s="1172"/>
      <c r="I12" s="21"/>
      <c r="J12" s="21"/>
      <c r="K12" s="1168"/>
      <c r="L12" s="15"/>
      <c r="M12" s="18"/>
      <c r="N12" s="15"/>
      <c r="O12" s="15"/>
    </row>
    <row r="13" spans="2:15">
      <c r="C13" s="19" t="s">
        <v>15</v>
      </c>
      <c r="D13" s="1170"/>
      <c r="E13" s="84">
        <v>2009</v>
      </c>
      <c r="F13" s="84">
        <v>2026</v>
      </c>
      <c r="G13" s="148"/>
      <c r="H13" s="148"/>
      <c r="I13" s="22"/>
      <c r="J13" s="22"/>
      <c r="K13" s="1168"/>
      <c r="L13" s="958"/>
      <c r="M13" s="18"/>
      <c r="N13" s="15"/>
      <c r="O13" s="15"/>
    </row>
    <row r="14" spans="2:15">
      <c r="C14" s="19" t="s">
        <v>16</v>
      </c>
      <c r="D14" s="1170"/>
      <c r="E14" s="13">
        <v>200</v>
      </c>
      <c r="F14" s="23" t="s">
        <v>2191</v>
      </c>
      <c r="G14" s="1173" t="s">
        <v>2165</v>
      </c>
      <c r="H14" s="1173"/>
      <c r="I14" s="22"/>
      <c r="J14" s="22"/>
      <c r="K14" s="1168"/>
      <c r="L14" s="958"/>
      <c r="M14" s="18"/>
      <c r="N14" s="15"/>
      <c r="O14" s="15"/>
    </row>
    <row r="15" spans="2:15">
      <c r="C15" s="24" t="s">
        <v>17</v>
      </c>
      <c r="D15" s="22"/>
      <c r="E15" s="25" t="s">
        <v>2166</v>
      </c>
      <c r="F15" s="85">
        <v>45930</v>
      </c>
      <c r="G15" s="85">
        <v>46022</v>
      </c>
      <c r="H15" s="1051">
        <f>+I15</f>
        <v>46112</v>
      </c>
      <c r="I15" s="85">
        <v>46112</v>
      </c>
      <c r="J15" s="1174"/>
      <c r="K15" s="1168"/>
      <c r="L15" s="18"/>
      <c r="M15" s="18"/>
      <c r="N15" s="15"/>
      <c r="O15" s="15"/>
    </row>
    <row r="16" spans="2:15">
      <c r="C16" s="26" t="s">
        <v>18</v>
      </c>
      <c r="D16" s="1175"/>
      <c r="E16" s="154">
        <v>0.94155844155844159</v>
      </c>
      <c r="F16" s="1167">
        <v>0.89610000000000001</v>
      </c>
      <c r="G16" s="1310">
        <v>0.88959999999999995</v>
      </c>
      <c r="H16" s="1156">
        <f>+I16</f>
        <v>0.86040000000000005</v>
      </c>
      <c r="I16" s="1222">
        <f>'Rent Roll'!I389/100</f>
        <v>0.86040000000000005</v>
      </c>
      <c r="J16" s="1176"/>
      <c r="K16" s="1168"/>
      <c r="L16" s="18"/>
      <c r="M16" s="18"/>
      <c r="N16" s="15" t="s">
        <v>1766</v>
      </c>
      <c r="O16" s="1258">
        <f>1-I16</f>
        <v>0.13959999999999995</v>
      </c>
    </row>
    <row r="17" spans="3:15">
      <c r="C17" s="26" t="s">
        <v>19</v>
      </c>
      <c r="D17" s="1175"/>
      <c r="E17" s="143">
        <v>45793</v>
      </c>
      <c r="F17" s="1220">
        <v>45930</v>
      </c>
      <c r="G17" s="1220">
        <v>46022</v>
      </c>
      <c r="H17" s="1056">
        <f>+H15</f>
        <v>46112</v>
      </c>
      <c r="I17" s="1056">
        <f>+I15</f>
        <v>46112</v>
      </c>
      <c r="J17" s="1177"/>
      <c r="K17" s="1168"/>
      <c r="L17" s="18"/>
      <c r="M17" s="18"/>
      <c r="N17" s="15" t="s">
        <v>2192</v>
      </c>
      <c r="O17" s="1257">
        <v>0.05</v>
      </c>
    </row>
    <row r="18" spans="3:15">
      <c r="C18" s="19"/>
      <c r="D18" s="1170"/>
      <c r="E18" s="27" t="s">
        <v>2167</v>
      </c>
      <c r="F18" s="28"/>
      <c r="G18" s="29"/>
      <c r="H18" s="28"/>
      <c r="I18" s="29"/>
      <c r="J18" s="29"/>
      <c r="K18" s="1168"/>
      <c r="L18" s="18"/>
      <c r="M18" s="18"/>
      <c r="N18" s="15"/>
      <c r="O18" s="15"/>
    </row>
    <row r="19" spans="3:15" ht="13.5" thickBot="1">
      <c r="C19" s="30"/>
      <c r="D19" s="1178"/>
      <c r="E19" s="31" t="s">
        <v>20</v>
      </c>
      <c r="F19" s="1179"/>
      <c r="G19" s="32"/>
      <c r="H19" s="32"/>
      <c r="I19" s="32"/>
      <c r="J19" s="32"/>
      <c r="K19" s="1180"/>
      <c r="L19" s="15"/>
      <c r="M19" s="15"/>
      <c r="N19" s="15"/>
      <c r="O19" s="15"/>
    </row>
    <row r="20" spans="3:15" ht="13.5" thickTop="1">
      <c r="C20" s="34" t="s">
        <v>21</v>
      </c>
      <c r="D20" s="34"/>
      <c r="E20" s="35"/>
      <c r="F20" s="36"/>
      <c r="G20" s="36"/>
      <c r="H20" s="36"/>
      <c r="I20" s="36"/>
      <c r="J20" s="36"/>
      <c r="K20" s="33"/>
    </row>
    <row r="21" spans="3:15">
      <c r="C21" s="37" t="s">
        <v>22</v>
      </c>
      <c r="D21" s="37"/>
      <c r="E21" s="33"/>
      <c r="F21" s="38"/>
      <c r="G21" s="38"/>
      <c r="H21" s="38"/>
      <c r="I21" s="39"/>
      <c r="J21" s="1181" t="s">
        <v>2168</v>
      </c>
      <c r="K21" s="1182" t="s">
        <v>2169</v>
      </c>
    </row>
    <row r="22" spans="3:15">
      <c r="C22" s="37" t="s">
        <v>23</v>
      </c>
      <c r="D22" s="37"/>
      <c r="E22" s="1183" t="s">
        <v>24</v>
      </c>
      <c r="F22" s="40" t="s">
        <v>2196</v>
      </c>
      <c r="G22" s="40" t="s">
        <v>2196</v>
      </c>
      <c r="H22" s="40" t="s">
        <v>2294</v>
      </c>
      <c r="I22" s="40" t="s">
        <v>2196</v>
      </c>
      <c r="J22" s="1184" t="str">
        <f>TEXT(H15," mm/dd/yyyy")&amp; "-U/W"</f>
        <v xml:space="preserve"> 03/31/2026-U/W</v>
      </c>
      <c r="K22" s="1183" t="str">
        <f>TEXT(G15," mm/dd/yyyy -") &amp; TEXT(H15,"mm/dd/yyyy")</f>
        <v xml:space="preserve"> 12/31/2025 -03/31/2026</v>
      </c>
      <c r="L22" s="1185"/>
    </row>
    <row r="23" spans="3:15">
      <c r="C23" s="37" t="s">
        <v>17</v>
      </c>
      <c r="D23" s="41"/>
      <c r="E23" s="1186" t="s">
        <v>25</v>
      </c>
      <c r="F23" s="1282">
        <v>45930</v>
      </c>
      <c r="G23" s="1282">
        <v>46022</v>
      </c>
      <c r="H23" s="1248">
        <v>46112</v>
      </c>
      <c r="I23" s="1248">
        <f>+I15</f>
        <v>46112</v>
      </c>
      <c r="J23" s="1187" t="s">
        <v>340</v>
      </c>
      <c r="K23" s="1187" t="s">
        <v>340</v>
      </c>
      <c r="L23" s="1188" t="s">
        <v>57</v>
      </c>
      <c r="N23" s="1284" t="s">
        <v>2197</v>
      </c>
      <c r="O23" s="1288" t="s">
        <v>2198</v>
      </c>
    </row>
    <row r="24" spans="3:15">
      <c r="C24" s="37" t="s">
        <v>26</v>
      </c>
      <c r="D24" s="37"/>
      <c r="E24" s="1223">
        <v>6960534.0579310348</v>
      </c>
      <c r="F24" s="1224">
        <v>6181628.7000000002</v>
      </c>
      <c r="G24" s="1223">
        <v>6033557.46</v>
      </c>
      <c r="H24" s="1280">
        <f>+SUMIF('Operating Statement'!U:U,'MF OSAR'!C24,'Operating Statement'!V:V)</f>
        <v>7109950.1879999992</v>
      </c>
      <c r="I24" s="1250">
        <f>(('Rent Roll'!Z364+'Rent Roll'!Z362+'Rent Roll'!Z358)*12)+'Operating Statement'!V57</f>
        <v>5790122.7000000002</v>
      </c>
      <c r="J24" s="1190">
        <f>IF(E24=0, " ",(H24-E24)/E24)</f>
        <v>2.1466187626611101E-2</v>
      </c>
      <c r="K24" s="1190">
        <f>IF(G24=0, " ",(H24-G24)/G24)</f>
        <v>0.17840100722269397</v>
      </c>
      <c r="L24" s="1253" t="str">
        <f>"Annualized RR as of "&amp;TEXT(I15,"MM/DD/YYYY") &amp;  " less T6 concessions"</f>
        <v>Annualized RR as of 03/31/2026 less T6 concessions</v>
      </c>
      <c r="N24" s="1285">
        <f>+IFERROR(I24-G24,"")</f>
        <v>-243434.75999999978</v>
      </c>
      <c r="O24" s="1289">
        <f>+IFERROR(N24/G24,"")</f>
        <v>-4.0346803956682595E-2</v>
      </c>
    </row>
    <row r="25" spans="3:15">
      <c r="C25" s="43" t="s">
        <v>27</v>
      </c>
      <c r="D25" s="1191"/>
      <c r="E25" s="1223">
        <v>-406784.45793103427</v>
      </c>
      <c r="F25" s="1224">
        <v>0</v>
      </c>
      <c r="G25" s="1223" t="s">
        <v>1775</v>
      </c>
      <c r="H25" s="1225">
        <f>+SUMIF('Operating Statement'!U:U,'MF OSAR'!C25,'Operating Statement'!V:V)</f>
        <v>-756218.50800000003</v>
      </c>
      <c r="I25" s="1224" t="str">
        <f>+IF(O16&gt;O17,"",(O17-O16)*-I24)</f>
        <v/>
      </c>
      <c r="J25" s="1190">
        <f>IF(E25=0, " ",(H25-E25)/E25)</f>
        <v>0.85901524322300526</v>
      </c>
      <c r="K25" s="1190" t="e">
        <f>IF(G25=0, " ",(H25-G25)/G25)</f>
        <v>#VALUE!</v>
      </c>
      <c r="L25" s="1253" t="str">
        <f>"Greater of actual vacancy ("&amp;TEXT(1-I16,"#.0%")&amp;") or "&amp;TEXT(O17,"#.0%")</f>
        <v>Greater of actual vacancy (14.0%) or 5.0%</v>
      </c>
      <c r="N25" s="1285" t="str">
        <f t="shared" ref="N25:N32" si="0">+IFERROR(I25-G25,"")</f>
        <v/>
      </c>
      <c r="O25" s="1289" t="str">
        <f t="shared" ref="O25:O32" si="1">+IFERROR(N25/G25,"")</f>
        <v/>
      </c>
    </row>
    <row r="26" spans="3:15">
      <c r="C26" s="44" t="s">
        <v>28</v>
      </c>
      <c r="D26" s="44"/>
      <c r="E26" s="1226"/>
      <c r="F26" s="1227"/>
      <c r="G26" s="1226"/>
      <c r="H26" s="1228">
        <f>+SUMIF('Operating Statement'!U:U,'MF OSAR'!C26,'Operating Statement'!V:V)</f>
        <v>0</v>
      </c>
      <c r="I26" s="1227"/>
      <c r="J26" s="1195"/>
      <c r="K26" s="1192"/>
      <c r="L26" s="1254"/>
      <c r="N26" s="1285">
        <f t="shared" si="0"/>
        <v>0</v>
      </c>
      <c r="O26" s="1289" t="str">
        <f t="shared" si="1"/>
        <v/>
      </c>
    </row>
    <row r="27" spans="3:15">
      <c r="C27" s="37" t="s">
        <v>29</v>
      </c>
      <c r="D27" s="37"/>
      <c r="E27" s="1243">
        <v>0</v>
      </c>
      <c r="F27" s="1224">
        <v>0</v>
      </c>
      <c r="G27" s="1223">
        <v>0</v>
      </c>
      <c r="H27" s="1223">
        <f>+SUMIF('Operating Statement'!U:U,'MF OSAR'!C27,'Operating Statement'!V:V)</f>
        <v>0</v>
      </c>
      <c r="I27" s="1281">
        <f>+H27</f>
        <v>0</v>
      </c>
      <c r="J27" s="1190" t="str">
        <f>IF(E27=0, " ",(H27-E27)/E27)</f>
        <v xml:space="preserve"> </v>
      </c>
      <c r="K27" s="1190" t="str">
        <f>IF(G27=0, " ",(H27-G27)/G27)</f>
        <v xml:space="preserve"> </v>
      </c>
      <c r="L27" s="1253" t="str">
        <f>$H$22&amp; " ended" &amp;TEXT($I$15," mm/dd/yyyy")</f>
        <v>T10 ended 03/31/2026</v>
      </c>
      <c r="N27" s="1285">
        <f t="shared" si="0"/>
        <v>0</v>
      </c>
      <c r="O27" s="1289" t="str">
        <f t="shared" si="1"/>
        <v/>
      </c>
    </row>
    <row r="28" spans="3:15">
      <c r="C28" s="37" t="s">
        <v>2170</v>
      </c>
      <c r="D28" s="37"/>
      <c r="E28" s="1243">
        <v>0</v>
      </c>
      <c r="F28" s="1224">
        <v>0</v>
      </c>
      <c r="G28" s="1223">
        <v>0</v>
      </c>
      <c r="H28" s="1223">
        <f>+SUMIF('Operating Statement'!U:U,'MF OSAR'!C28,'Operating Statement'!V:V)</f>
        <v>0</v>
      </c>
      <c r="I28" s="1281">
        <f>+H28</f>
        <v>0</v>
      </c>
      <c r="J28" s="1190" t="str">
        <f>IF(E28=0, " ",(H28-E28)/E28)</f>
        <v xml:space="preserve"> </v>
      </c>
      <c r="K28" s="1190" t="str">
        <f>IF(G28=0, " ",(H28-G28)/G28)</f>
        <v xml:space="preserve"> </v>
      </c>
      <c r="L28" s="1253" t="str">
        <f t="shared" ref="L28:L30" si="2">$I$22&amp; " ended" &amp;TEXT($I$15," mm/dd/yyyy")</f>
        <v>DY Test ended 03/31/2026</v>
      </c>
      <c r="N28" s="1285">
        <f t="shared" si="0"/>
        <v>0</v>
      </c>
      <c r="O28" s="1289" t="str">
        <f t="shared" si="1"/>
        <v/>
      </c>
    </row>
    <row r="29" spans="3:15">
      <c r="C29" s="37" t="s">
        <v>30</v>
      </c>
      <c r="D29" s="37"/>
      <c r="E29" s="1223">
        <f>+'Old OSAR'!E29</f>
        <v>17787.239999999998</v>
      </c>
      <c r="F29" s="1224">
        <v>15657</v>
      </c>
      <c r="G29" s="1223">
        <v>16552.28571428571</v>
      </c>
      <c r="H29" s="1225">
        <f>+SUMIF('Operating Statement'!U:U,'MF OSAR'!C29,'Operating Statement'!V:V)</f>
        <v>16272.575999999997</v>
      </c>
      <c r="I29" s="1281">
        <f t="shared" ref="I29:I30" si="3">+H29</f>
        <v>16272.575999999997</v>
      </c>
      <c r="J29" s="1190">
        <f>IF(E29=0, " ",(H29-E29)/E29)</f>
        <v>-8.5154526503268685E-2</v>
      </c>
      <c r="K29" s="1190">
        <f>IF(G29=0, " ",(H29-G29)/G29)</f>
        <v>-1.6898555227590407E-2</v>
      </c>
      <c r="L29" s="1253" t="str">
        <f t="shared" si="2"/>
        <v>DY Test ended 03/31/2026</v>
      </c>
      <c r="N29" s="1285">
        <f t="shared" si="0"/>
        <v>-279.70971428571283</v>
      </c>
      <c r="O29" s="1289">
        <f t="shared" si="1"/>
        <v>-1.6898555227590407E-2</v>
      </c>
    </row>
    <row r="30" spans="3:15">
      <c r="C30" s="37" t="s">
        <v>31</v>
      </c>
      <c r="D30" s="37"/>
      <c r="E30" s="1223">
        <f>'Old OSAR'!E30+'Old OSAR'!E27</f>
        <v>528398.77999999991</v>
      </c>
      <c r="F30" s="1224">
        <v>637495.80000000005</v>
      </c>
      <c r="G30" s="1223">
        <v>592415.50285714283</v>
      </c>
      <c r="H30" s="1223">
        <f>+SUMIF('Operating Statement'!U:U,'MF OSAR'!C30,'Operating Statement'!V:V)</f>
        <v>580172.36399999994</v>
      </c>
      <c r="I30" s="1281">
        <f t="shared" si="3"/>
        <v>580172.36399999994</v>
      </c>
      <c r="J30" s="1190">
        <f>IF(E30=0, " ",(H30-E30)/E30)</f>
        <v>9.7982027891888854E-2</v>
      </c>
      <c r="K30" s="1190">
        <f>IF(G30=0, " ",(H30-G30)/G30)</f>
        <v>-2.0666472768007958E-2</v>
      </c>
      <c r="L30" s="1253" t="str">
        <f t="shared" si="2"/>
        <v>DY Test ended 03/31/2026</v>
      </c>
      <c r="N30" s="1285">
        <f t="shared" si="0"/>
        <v>-12243.138857142883</v>
      </c>
      <c r="O30" s="1289">
        <f t="shared" si="1"/>
        <v>-2.0666472768007958E-2</v>
      </c>
    </row>
    <row r="31" spans="3:15">
      <c r="C31" s="33"/>
      <c r="D31" s="33"/>
      <c r="E31" s="1229"/>
      <c r="F31" s="1229"/>
      <c r="G31" s="1229"/>
      <c r="H31" s="1230"/>
      <c r="I31" s="1229"/>
      <c r="J31" s="1196"/>
      <c r="K31" s="45"/>
      <c r="L31" s="1255"/>
      <c r="N31" s="1285"/>
      <c r="O31" s="1289" t="str">
        <f t="shared" si="1"/>
        <v/>
      </c>
    </row>
    <row r="32" spans="3:15">
      <c r="C32" s="46" t="s">
        <v>32</v>
      </c>
      <c r="D32" s="46"/>
      <c r="E32" s="1231">
        <v>7099935.620000001</v>
      </c>
      <c r="F32" s="1231">
        <v>6834781.5</v>
      </c>
      <c r="G32" s="1231">
        <v>6642525.2485714285</v>
      </c>
      <c r="H32" s="1244">
        <f>+SUM(H24:H30)</f>
        <v>6950176.6199999992</v>
      </c>
      <c r="I32" s="1244">
        <f>+SUM(I24:I30)</f>
        <v>6386567.6400000006</v>
      </c>
      <c r="J32" s="1190">
        <f>IF(E32=0, " ",(H32-E32)/E32)</f>
        <v>-2.1093008164488378E-2</v>
      </c>
      <c r="K32" s="1190">
        <f>IF(G32=0, " ",(H32-G32)/G32)</f>
        <v>4.6315423715511748E-2</v>
      </c>
      <c r="L32" s="1253"/>
      <c r="N32" s="1287">
        <f t="shared" si="0"/>
        <v>-255957.60857142787</v>
      </c>
      <c r="O32" s="1289">
        <f t="shared" si="1"/>
        <v>-3.8533178120245051E-2</v>
      </c>
    </row>
    <row r="33" spans="3:15">
      <c r="C33" s="33"/>
      <c r="D33" s="33"/>
      <c r="E33" s="1232" t="s">
        <v>33</v>
      </c>
      <c r="F33" s="1233"/>
      <c r="G33" s="1233"/>
      <c r="H33" s="1234"/>
      <c r="I33" s="1233"/>
      <c r="J33" s="1198"/>
      <c r="K33" s="18"/>
      <c r="L33" s="1256"/>
      <c r="N33" s="1286"/>
      <c r="O33" s="1290"/>
    </row>
    <row r="34" spans="3:15">
      <c r="C34" s="33"/>
      <c r="D34" s="33"/>
      <c r="E34" s="1235"/>
      <c r="F34" s="1236"/>
      <c r="G34" s="1236"/>
      <c r="H34" s="1237"/>
      <c r="I34" s="1236"/>
      <c r="J34" s="1196"/>
      <c r="K34" s="1199"/>
      <c r="L34" s="1255"/>
      <c r="N34" s="1286"/>
      <c r="O34" s="1290"/>
    </row>
    <row r="35" spans="3:15">
      <c r="C35" s="34" t="s">
        <v>34</v>
      </c>
      <c r="D35" s="34"/>
      <c r="E35" s="1238"/>
      <c r="F35" s="1236"/>
      <c r="G35" s="1236"/>
      <c r="H35" s="1239"/>
      <c r="I35" s="1229"/>
      <c r="J35" s="1196" t="str">
        <f t="shared" ref="J35:J47" si="4">IF(E35=0, " ",(H35-E35)/E35)</f>
        <v xml:space="preserve"> </v>
      </c>
      <c r="K35" s="1199"/>
      <c r="L35" s="1255"/>
      <c r="N35" s="1286"/>
      <c r="O35" s="1290"/>
    </row>
    <row r="36" spans="3:15">
      <c r="C36" s="37" t="s">
        <v>35</v>
      </c>
      <c r="D36" s="37"/>
      <c r="E36" s="1240">
        <v>1485043.5769348999</v>
      </c>
      <c r="F36" s="1224">
        <v>1583361.78</v>
      </c>
      <c r="G36" s="1241">
        <v>1506316.6457142858</v>
      </c>
      <c r="H36" s="1225">
        <f>+SUMIF('Operating Statement'!U:U,'MF OSAR'!C36,'Operating Statement'!V:V)</f>
        <v>1521691.6560000002</v>
      </c>
      <c r="I36" s="1250">
        <f>+MAX(H36,'RE Tax'!C2)</f>
        <v>1521691.6560000002</v>
      </c>
      <c r="J36" s="1190">
        <f t="shared" si="4"/>
        <v>2.4678116948420589E-2</v>
      </c>
      <c r="K36" s="1190">
        <f t="shared" ref="K36:K47" si="5">IF(G36=0, " ",(H36-G36)/G36)</f>
        <v>1.0207024087172372E-2</v>
      </c>
      <c r="L36" s="1253" t="str">
        <f>"Greater of actual tax bill from " &amp;
TEXT('RE Tax'!$C$3,"mm/d/yyyy") &amp; "-" &amp;
TEXT('RE Tax'!$C$4,"mm/d/yyyy") &amp;
" (" &amp;
TEXT('RE Tax'!$C$2/1000000,"$0.0""MM""") &amp;
") and T10 ended " &amp;
TEXT($I$15,"mm/d/yyyy")</f>
        <v>Greater of actual tax bill from 11/15/2025-11/15/2026 ($1.4MM) and T10 ended 03/31/2026</v>
      </c>
      <c r="N36" s="1285">
        <f t="shared" ref="N36:N47" si="6">+IFERROR(I36-G36,"")</f>
        <v>15375.010285714408</v>
      </c>
      <c r="O36" s="1291">
        <f t="shared" ref="O36:O47" si="7">+IFERROR(N36/G36,"")</f>
        <v>1.0207024087172372E-2</v>
      </c>
    </row>
    <row r="37" spans="3:15">
      <c r="C37" s="37" t="s">
        <v>36</v>
      </c>
      <c r="D37" s="37"/>
      <c r="E37" s="1223">
        <v>215600</v>
      </c>
      <c r="F37" s="1224">
        <v>81669.58</v>
      </c>
      <c r="G37" s="1223">
        <v>81669.58</v>
      </c>
      <c r="H37" s="1225">
        <f>+SUMIF('Operating Statement'!U:U,'MF OSAR'!C37,'Operating Statement'!V:V)</f>
        <v>68540.495999999999</v>
      </c>
      <c r="I37" s="1250">
        <f>+Insurance!C5</f>
        <v>81669.58</v>
      </c>
      <c r="J37" s="1190">
        <f t="shared" si="4"/>
        <v>-0.68209417439703157</v>
      </c>
      <c r="K37" s="1190">
        <f t="shared" si="5"/>
        <v>-0.16075855906201553</v>
      </c>
      <c r="L37" s="1253" t="str">
        <f>"Actual insurance premium from " &amp;
TEXT(Insurance!$F$2,"mm/d/yyyy") &amp; "-" &amp;
TEXT(Insurance!$F$3,"mm/d/yyyy") &amp;
" (" &amp;
TEXT(Insurance!$C$5/1000,"$00.0""K"")")</f>
        <v>Actual insurance premium from 06/26/2025-06/26/2026 ($81.7K)</v>
      </c>
      <c r="N37" s="1285">
        <f t="shared" si="6"/>
        <v>0</v>
      </c>
      <c r="O37" s="1289">
        <f t="shared" si="7"/>
        <v>0</v>
      </c>
    </row>
    <row r="38" spans="3:15">
      <c r="C38" s="41" t="s">
        <v>37</v>
      </c>
      <c r="D38" s="41"/>
      <c r="E38" s="1223">
        <v>378063.92</v>
      </c>
      <c r="F38" s="1224">
        <v>435251.49000000005</v>
      </c>
      <c r="G38" s="1223">
        <v>382429.13142857142</v>
      </c>
      <c r="H38" s="1225">
        <f>+SUMIF('Operating Statement'!U:U,'MF OSAR'!C38,'Operating Statement'!V:V)</f>
        <v>423119.88000000006</v>
      </c>
      <c r="I38" s="1250">
        <f>+SUMIF('Operating Statement'!$U:$U,'MF OSAR'!C38,'Operating Statement'!$V:$V)</f>
        <v>423119.88000000006</v>
      </c>
      <c r="J38" s="1190">
        <f t="shared" si="4"/>
        <v>0.11917550873407884</v>
      </c>
      <c r="K38" s="1190">
        <f t="shared" si="5"/>
        <v>0.10640075566269643</v>
      </c>
      <c r="L38" s="1253" t="str">
        <f t="shared" ref="L38:L39" si="8">$H$22&amp; " ended" &amp;TEXT($I$15," mm/dd/yyyy")</f>
        <v>T10 ended 03/31/2026</v>
      </c>
      <c r="N38" s="1285">
        <f t="shared" si="6"/>
        <v>40690.748571428645</v>
      </c>
      <c r="O38" s="1289">
        <f t="shared" si="7"/>
        <v>0.10640075566269643</v>
      </c>
    </row>
    <row r="39" spans="3:15">
      <c r="C39" s="41" t="s">
        <v>38</v>
      </c>
      <c r="D39" s="41"/>
      <c r="E39" s="1223">
        <v>358377.1</v>
      </c>
      <c r="F39" s="1224">
        <v>276857.21999999997</v>
      </c>
      <c r="G39" s="1223">
        <v>343370.94857142848</v>
      </c>
      <c r="H39" s="1225">
        <f>+SUMIF('Operating Statement'!U:U,'MF OSAR'!C39,'Operating Statement'!V:V)</f>
        <v>333494.40000000008</v>
      </c>
      <c r="I39" s="1250">
        <f>+SUMIF('Operating Statement'!$U:$U,'MF OSAR'!C39,'Operating Statement'!$V:$V)</f>
        <v>333494.40000000008</v>
      </c>
      <c r="J39" s="1190">
        <f t="shared" si="4"/>
        <v>-6.9431612678376761E-2</v>
      </c>
      <c r="K39" s="1190">
        <f t="shared" si="5"/>
        <v>-2.8763495026353017E-2</v>
      </c>
      <c r="L39" s="1253" t="str">
        <f t="shared" si="8"/>
        <v>T10 ended 03/31/2026</v>
      </c>
      <c r="N39" s="1285">
        <f t="shared" si="6"/>
        <v>-9876.5485714284005</v>
      </c>
      <c r="O39" s="1289">
        <f t="shared" si="7"/>
        <v>-2.8763495026353017E-2</v>
      </c>
    </row>
    <row r="40" spans="3:15">
      <c r="C40" s="37" t="s">
        <v>39</v>
      </c>
      <c r="D40" s="37"/>
      <c r="E40" s="1223">
        <v>177498.39050000004</v>
      </c>
      <c r="F40" s="1224">
        <v>170869.53750000001</v>
      </c>
      <c r="G40" s="1229">
        <v>166063.13121428574</v>
      </c>
      <c r="H40" s="1225">
        <f>+SUMIF('Operating Statement'!U:U,'MF OSAR'!C40,'Operating Statement'!V:V)</f>
        <v>125036.59199999996</v>
      </c>
      <c r="I40" s="1281">
        <f>+MAX(H40,0.025*I32)</f>
        <v>159664.19100000002</v>
      </c>
      <c r="J40" s="1190">
        <f t="shared" si="4"/>
        <v>-0.29556210820965201</v>
      </c>
      <c r="K40" s="1190">
        <f t="shared" si="5"/>
        <v>-0.24705386990051184</v>
      </c>
      <c r="L40" s="1039">
        <v>2.5000000000000001E-2</v>
      </c>
      <c r="M40" s="1259"/>
      <c r="N40" s="1285">
        <f t="shared" si="6"/>
        <v>-6398.9402142857143</v>
      </c>
      <c r="O40" s="1289">
        <f t="shared" si="7"/>
        <v>-3.8533178120245148E-2</v>
      </c>
    </row>
    <row r="41" spans="3:15">
      <c r="C41" s="37" t="s">
        <v>40</v>
      </c>
      <c r="D41" s="37"/>
      <c r="E41" s="1240">
        <v>688888.3899999999</v>
      </c>
      <c r="F41" s="1224">
        <v>431244.92999999993</v>
      </c>
      <c r="G41" s="1240">
        <v>475945.4914285714</v>
      </c>
      <c r="H41" s="1225">
        <f>+SUMIF('Operating Statement'!U:U,'MF OSAR'!C41,'Operating Statement'!V:V)</f>
        <v>510450.74400000006</v>
      </c>
      <c r="I41" s="1250">
        <f>+SUMIF('Operating Statement'!$U:$U,'MF OSAR'!C41,'Operating Statement'!$V:$V)</f>
        <v>510450.74400000006</v>
      </c>
      <c r="J41" s="1190">
        <f t="shared" si="4"/>
        <v>-0.25902257693731762</v>
      </c>
      <c r="K41" s="1190">
        <f t="shared" si="5"/>
        <v>7.2498328470051526E-2</v>
      </c>
      <c r="L41" s="1253" t="str">
        <f t="shared" ref="L41:L46" si="9">$H$22&amp; " ended" &amp;TEXT($I$15," mm/dd/yyyy")</f>
        <v>T10 ended 03/31/2026</v>
      </c>
      <c r="N41" s="1285">
        <f t="shared" si="6"/>
        <v>34505.25257142866</v>
      </c>
      <c r="O41" s="1289">
        <f t="shared" si="7"/>
        <v>7.2498328470051526E-2</v>
      </c>
    </row>
    <row r="42" spans="3:15">
      <c r="C42" s="41" t="s">
        <v>41</v>
      </c>
      <c r="D42" s="41"/>
      <c r="E42" s="1240">
        <v>265543.05999999994</v>
      </c>
      <c r="F42" s="1224">
        <v>172875.81</v>
      </c>
      <c r="G42" s="1240">
        <v>216404.3314285714</v>
      </c>
      <c r="H42" s="1225">
        <f>+SUMIF('Operating Statement'!U:U,'MF OSAR'!C42,'Operating Statement'!V:V)</f>
        <v>233007.19199999995</v>
      </c>
      <c r="I42" s="1250">
        <f>+SUMIF('Operating Statement'!$U:$U,'MF OSAR'!C42,'Operating Statement'!$V:$V)</f>
        <v>233007.19199999995</v>
      </c>
      <c r="J42" s="1190">
        <f t="shared" si="4"/>
        <v>-0.12252577039671078</v>
      </c>
      <c r="K42" s="1190">
        <f t="shared" si="5"/>
        <v>7.6721479934465445E-2</v>
      </c>
      <c r="L42" s="1253" t="str">
        <f t="shared" si="9"/>
        <v>T10 ended 03/31/2026</v>
      </c>
      <c r="N42" s="1285">
        <f t="shared" si="6"/>
        <v>16602.860571428551</v>
      </c>
      <c r="O42" s="1289">
        <f t="shared" si="7"/>
        <v>7.6721479934465445E-2</v>
      </c>
    </row>
    <row r="43" spans="3:15">
      <c r="C43" s="37" t="s">
        <v>42</v>
      </c>
      <c r="D43" s="37"/>
      <c r="E43" s="1240">
        <v>0</v>
      </c>
      <c r="F43" s="1224">
        <v>27744.239999999998</v>
      </c>
      <c r="G43" s="1223">
        <v>8355.5657142857144</v>
      </c>
      <c r="H43" s="1225">
        <f>+SUMIF('Operating Statement'!U:U,'MF OSAR'!C43,'Operating Statement'!V:V)</f>
        <v>5848.8959999999997</v>
      </c>
      <c r="I43" s="1250">
        <f>+SUMIF('Operating Statement'!$U:$U,'MF OSAR'!C43,'Operating Statement'!$V:$V)</f>
        <v>5848.8959999999997</v>
      </c>
      <c r="J43" s="1190" t="str">
        <f t="shared" si="4"/>
        <v xml:space="preserve"> </v>
      </c>
      <c r="K43" s="1190">
        <f t="shared" si="5"/>
        <v>-0.30000000000000004</v>
      </c>
      <c r="L43" s="1253" t="str">
        <f t="shared" si="9"/>
        <v>T10 ended 03/31/2026</v>
      </c>
      <c r="N43" s="1285">
        <f t="shared" si="6"/>
        <v>-2506.6697142857147</v>
      </c>
      <c r="O43" s="1289">
        <f t="shared" si="7"/>
        <v>-0.30000000000000004</v>
      </c>
    </row>
    <row r="44" spans="3:15">
      <c r="C44" s="37" t="s">
        <v>43</v>
      </c>
      <c r="D44" s="37"/>
      <c r="E44" s="1223">
        <v>122141.05999999998</v>
      </c>
      <c r="F44" s="1224">
        <v>116703</v>
      </c>
      <c r="G44" s="1223">
        <v>63131.742857142846</v>
      </c>
      <c r="H44" s="1225">
        <f>+SUMIF('Operating Statement'!U:U,'MF OSAR'!C44,'Operating Statement'!V:V)</f>
        <v>82527.911999999997</v>
      </c>
      <c r="I44" s="1250">
        <f>+SUMIF('Operating Statement'!$U:$U,'MF OSAR'!C44,'Operating Statement'!$V:$V)</f>
        <v>82527.911999999997</v>
      </c>
      <c r="J44" s="1190">
        <f t="shared" si="4"/>
        <v>-0.3243229426697295</v>
      </c>
      <c r="K44" s="1190">
        <f t="shared" si="5"/>
        <v>0.30723322793016528</v>
      </c>
      <c r="L44" s="1253" t="str">
        <f t="shared" si="9"/>
        <v>T10 ended 03/31/2026</v>
      </c>
      <c r="N44" s="1285">
        <f t="shared" si="6"/>
        <v>19396.16914285715</v>
      </c>
      <c r="O44" s="1289">
        <f t="shared" si="7"/>
        <v>0.30723322793016528</v>
      </c>
    </row>
    <row r="45" spans="3:15">
      <c r="C45" s="37" t="s">
        <v>44</v>
      </c>
      <c r="D45" s="37"/>
      <c r="E45" s="1223">
        <v>59939.109999999986</v>
      </c>
      <c r="F45" s="1224"/>
      <c r="G45" s="1223">
        <v>0</v>
      </c>
      <c r="H45" s="1225">
        <f>+SUMIF('Operating Statement'!U:U,'MF OSAR'!C45,'Operating Statement'!V:V)</f>
        <v>0</v>
      </c>
      <c r="I45" s="1250">
        <f>+SUMIF('Operating Statement'!$U:$U,'MF OSAR'!C45,'Operating Statement'!$V:$V)</f>
        <v>0</v>
      </c>
      <c r="J45" s="1190">
        <f t="shared" si="4"/>
        <v>-1</v>
      </c>
      <c r="K45" s="1190" t="str">
        <f t="shared" si="5"/>
        <v xml:space="preserve"> </v>
      </c>
      <c r="L45" s="1253" t="str">
        <f t="shared" si="9"/>
        <v>T10 ended 03/31/2026</v>
      </c>
      <c r="N45" s="1285">
        <f t="shared" si="6"/>
        <v>0</v>
      </c>
      <c r="O45" s="1289" t="str">
        <f t="shared" si="7"/>
        <v/>
      </c>
    </row>
    <row r="46" spans="3:15">
      <c r="C46" s="37" t="s">
        <v>45</v>
      </c>
      <c r="D46" s="37"/>
      <c r="E46" s="1243">
        <v>0</v>
      </c>
      <c r="F46" s="1224"/>
      <c r="G46" s="1242">
        <v>0</v>
      </c>
      <c r="H46" s="1225">
        <f>+SUMIF('Operating Statement'!U:U,'MF OSAR'!C46,'Operating Statement'!V:V)</f>
        <v>0</v>
      </c>
      <c r="I46" s="1250">
        <f>+SUMIF('Operating Statement'!$U:$U,'MF OSAR'!C46,'Operating Statement'!$V:$V)</f>
        <v>0</v>
      </c>
      <c r="J46" s="1190" t="str">
        <f t="shared" si="4"/>
        <v xml:space="preserve"> </v>
      </c>
      <c r="K46" s="1190" t="str">
        <f t="shared" si="5"/>
        <v xml:space="preserve"> </v>
      </c>
      <c r="L46" s="1253" t="str">
        <f t="shared" si="9"/>
        <v>T10 ended 03/31/2026</v>
      </c>
      <c r="N46" s="1285">
        <f t="shared" si="6"/>
        <v>0</v>
      </c>
      <c r="O46" s="1289" t="str">
        <f t="shared" si="7"/>
        <v/>
      </c>
    </row>
    <row r="47" spans="3:15">
      <c r="C47" s="46" t="s">
        <v>46</v>
      </c>
      <c r="D47" s="46"/>
      <c r="E47" s="1244">
        <v>3751094.6074349</v>
      </c>
      <c r="F47" s="1231">
        <v>3296577.5875000008</v>
      </c>
      <c r="G47" s="1231">
        <v>3243686.5683571431</v>
      </c>
      <c r="H47" s="1244">
        <f>+SUM(H36:H45)</f>
        <v>3303717.7680000006</v>
      </c>
      <c r="I47" s="1244">
        <f>+SUM(I36:I45)</f>
        <v>3351474.4510000004</v>
      </c>
      <c r="J47" s="1190">
        <f t="shared" si="4"/>
        <v>-0.1192656774233769</v>
      </c>
      <c r="K47" s="1190">
        <f t="shared" si="5"/>
        <v>1.8507090120381771E-2</v>
      </c>
      <c r="L47" s="1200"/>
      <c r="N47" s="1287">
        <f t="shared" si="6"/>
        <v>107787.88264285726</v>
      </c>
      <c r="O47" s="1289">
        <f t="shared" si="7"/>
        <v>3.3230054868540977E-2</v>
      </c>
    </row>
    <row r="48" spans="3:15">
      <c r="C48" s="41"/>
      <c r="D48" s="41"/>
      <c r="E48" s="51"/>
      <c r="F48" s="45"/>
      <c r="G48" s="51"/>
      <c r="H48" s="583"/>
      <c r="I48" s="45"/>
      <c r="J48" s="45"/>
      <c r="K48" s="1202"/>
      <c r="L48" s="1201"/>
      <c r="N48" s="1286"/>
      <c r="O48" s="1290"/>
    </row>
    <row r="49" spans="3:15">
      <c r="C49" s="34" t="s">
        <v>47</v>
      </c>
      <c r="D49" s="34"/>
      <c r="E49" s="1245">
        <v>0.52832797481548144</v>
      </c>
      <c r="F49" s="52">
        <v>0.4823237710671513</v>
      </c>
      <c r="G49" s="52">
        <v>0.4883213005558007</v>
      </c>
      <c r="H49" s="1203">
        <v>0.4823237710671513</v>
      </c>
      <c r="I49" s="1260">
        <f>+I47/I32</f>
        <v>0.52476927199662449</v>
      </c>
      <c r="J49" s="1190">
        <f>IF(E49=0, " ",(H49-E49)/E49)</f>
        <v>-8.707508582031287E-2</v>
      </c>
      <c r="K49" s="1190">
        <f>IF(G49=0, " ",(H49-G49)/G49)</f>
        <v>-1.2281932985153614E-2</v>
      </c>
      <c r="L49" s="1200"/>
      <c r="N49" s="1286"/>
      <c r="O49" s="1290"/>
    </row>
    <row r="50" spans="3:15">
      <c r="C50" s="41"/>
      <c r="D50" s="41"/>
      <c r="E50" s="51"/>
      <c r="F50" s="53"/>
      <c r="G50" s="54"/>
      <c r="H50" s="583"/>
      <c r="I50" s="53"/>
      <c r="J50" s="54"/>
      <c r="K50" s="1202"/>
      <c r="L50" s="1200"/>
      <c r="N50" s="1286"/>
      <c r="O50" s="1290"/>
    </row>
    <row r="51" spans="3:15">
      <c r="C51" s="46" t="s">
        <v>48</v>
      </c>
      <c r="D51" s="46"/>
      <c r="E51" s="1266">
        <v>3348841.012565101</v>
      </c>
      <c r="F51" s="1266">
        <v>3538203.9124999992</v>
      </c>
      <c r="G51" s="1266">
        <v>3398838.6802142854</v>
      </c>
      <c r="H51" s="1267">
        <f>+H32-H47</f>
        <v>3646458.8519999986</v>
      </c>
      <c r="I51" s="1267">
        <f>+I32-I47</f>
        <v>3035093.1890000002</v>
      </c>
      <c r="J51" s="1190">
        <f>IF(E51=0, " ",(H51-E51)/E51)</f>
        <v>8.8871892788643353E-2</v>
      </c>
      <c r="K51" s="1190">
        <f>IF(G51=0, " ",(H51-G51)/G51)</f>
        <v>7.2854346758846916E-2</v>
      </c>
      <c r="L51" s="1200"/>
      <c r="N51" s="1287">
        <f>+IFERROR(I51-G51,"")</f>
        <v>-363745.49121428514</v>
      </c>
      <c r="O51" s="1291">
        <f>+IFERROR(N51/G51,"")</f>
        <v>-0.10702052243072396</v>
      </c>
    </row>
    <row r="52" spans="3:15">
      <c r="C52" s="46"/>
      <c r="D52" s="46"/>
      <c r="E52" s="1204"/>
      <c r="F52" s="45"/>
      <c r="G52" s="1204"/>
      <c r="H52" s="583"/>
      <c r="I52" s="45"/>
      <c r="J52" s="45"/>
      <c r="K52" s="1204"/>
      <c r="L52" s="1201"/>
    </row>
    <row r="53" spans="3:15">
      <c r="C53" s="55" t="s">
        <v>49</v>
      </c>
      <c r="D53" s="55"/>
      <c r="E53" s="577">
        <v>61600</v>
      </c>
      <c r="F53" s="1189">
        <v>61600</v>
      </c>
      <c r="G53" s="1189">
        <v>61600</v>
      </c>
      <c r="H53" s="1225">
        <f>I53</f>
        <v>61600</v>
      </c>
      <c r="I53" s="1261">
        <f>+E14*E12</f>
        <v>61600</v>
      </c>
      <c r="J53" s="1190">
        <f>IF(E53=0, " ",(H53-E53)/E53)</f>
        <v>0</v>
      </c>
      <c r="K53" s="1190">
        <f>IF(G53=0, " ",(H53-G53)/G53)</f>
        <v>0</v>
      </c>
      <c r="L53" s="1046">
        <v>200</v>
      </c>
    </row>
    <row r="54" spans="3:15">
      <c r="C54" s="55" t="s">
        <v>50</v>
      </c>
      <c r="D54" s="55"/>
      <c r="E54" s="1205"/>
      <c r="F54" s="1193"/>
      <c r="G54" s="1193"/>
      <c r="H54" s="1194"/>
      <c r="I54" s="1194"/>
      <c r="J54" s="1195"/>
      <c r="K54" s="1205"/>
      <c r="L54" s="1205"/>
    </row>
    <row r="55" spans="3:15">
      <c r="C55" s="56" t="s">
        <v>51</v>
      </c>
      <c r="D55" s="56"/>
      <c r="E55" s="1246">
        <v>61600</v>
      </c>
      <c r="F55" s="1206">
        <v>61600</v>
      </c>
      <c r="G55" s="1206">
        <v>61600</v>
      </c>
      <c r="H55" s="1283">
        <f>+SUM(H53:H54)</f>
        <v>61600</v>
      </c>
      <c r="I55" s="1246">
        <f>+SUM(I53:I54)</f>
        <v>61600</v>
      </c>
      <c r="J55" s="1190">
        <f>IF(E55=0, " ",(H55-E55)/E55)</f>
        <v>0</v>
      </c>
      <c r="K55" s="1190">
        <f>IF(G55=0, " ",(H55-G55)/G55)</f>
        <v>0</v>
      </c>
      <c r="L55" s="1207"/>
    </row>
    <row r="56" spans="3:15">
      <c r="C56" s="46"/>
      <c r="D56" s="46"/>
      <c r="E56" s="78"/>
      <c r="F56" s="57"/>
      <c r="G56" s="1208"/>
      <c r="H56" s="57"/>
      <c r="I56" s="57"/>
      <c r="J56" s="57"/>
      <c r="K56" s="1208"/>
      <c r="L56" s="1201"/>
    </row>
    <row r="57" spans="3:15">
      <c r="C57" s="56" t="s">
        <v>52</v>
      </c>
      <c r="D57" s="56"/>
      <c r="E57" s="1247">
        <v>3287241.012565101</v>
      </c>
      <c r="F57" s="1197">
        <v>3476603.9124999992</v>
      </c>
      <c r="G57" s="1197">
        <v>3337238.6802142854</v>
      </c>
      <c r="H57" s="1246">
        <f>+H51-H55</f>
        <v>3584858.8519999986</v>
      </c>
      <c r="I57" s="1246">
        <f>+I51-I55</f>
        <v>2973493.1890000002</v>
      </c>
      <c r="J57" s="1190">
        <f>IF(E57=0, " ",(H57-E57)/E57)</f>
        <v>9.0537273749410993E-2</v>
      </c>
      <c r="K57" s="1190">
        <f>IF(G57=0, " ",(H57-G57)/G57)</f>
        <v>7.4199119545687808E-2</v>
      </c>
      <c r="L57" s="1190"/>
    </row>
    <row r="58" spans="3:15">
      <c r="C58" s="33"/>
      <c r="D58" s="33"/>
      <c r="E58" s="33"/>
      <c r="F58" s="33"/>
      <c r="G58" s="33"/>
      <c r="H58" s="33"/>
      <c r="I58" s="33"/>
      <c r="J58" s="33"/>
      <c r="K58" s="33"/>
      <c r="L58" s="33"/>
    </row>
    <row r="59" spans="3:15">
      <c r="C59" s="34" t="s">
        <v>53</v>
      </c>
      <c r="D59" s="34"/>
      <c r="E59" s="1197"/>
      <c r="F59" s="1197">
        <v>3138899.5543015273</v>
      </c>
      <c r="G59" s="1197">
        <v>2914948.3008461278</v>
      </c>
      <c r="H59" s="1247">
        <f>+I59</f>
        <v>2863478.1265611108</v>
      </c>
      <c r="I59" s="1262">
        <f>+'DSCR Calc'!H17</f>
        <v>2863478.1265611108</v>
      </c>
      <c r="J59" s="1197"/>
      <c r="K59" s="1197"/>
      <c r="L59" s="1309" t="str">
        <f>"S+"&amp;TEXT('DSCR Calc'!H10*10000,"000")&amp;", SOFR as of "&amp;TEXT($I$15,"MM/DD/YYYY")</f>
        <v>S+225, SOFR as of 03/31/2026</v>
      </c>
    </row>
    <row r="60" spans="3:15">
      <c r="C60" s="34" t="s">
        <v>2171</v>
      </c>
      <c r="D60" s="34"/>
      <c r="E60" s="1197"/>
      <c r="F60" s="1197"/>
      <c r="G60" s="1197"/>
      <c r="H60" s="1197"/>
      <c r="I60" s="1197"/>
      <c r="J60" s="1197"/>
      <c r="K60" s="1197"/>
      <c r="L60" s="1197"/>
    </row>
    <row r="61" spans="3:15">
      <c r="C61" s="34" t="s">
        <v>2172</v>
      </c>
      <c r="D61" s="34"/>
      <c r="E61" s="1197"/>
      <c r="F61" s="1197"/>
      <c r="G61" s="1197"/>
      <c r="H61" s="1197"/>
      <c r="I61" s="1197"/>
      <c r="J61" s="1197"/>
      <c r="K61" s="1197"/>
      <c r="L61" s="1197"/>
    </row>
    <row r="62" spans="3:15">
      <c r="C62" s="34"/>
      <c r="D62" s="34"/>
      <c r="E62" s="58"/>
      <c r="F62" s="58"/>
      <c r="G62" s="58"/>
      <c r="H62" s="58"/>
      <c r="I62" s="58"/>
      <c r="J62" s="58"/>
      <c r="K62" s="58"/>
      <c r="L62" s="58"/>
    </row>
    <row r="63" spans="3:15">
      <c r="C63" s="34" t="s">
        <v>54</v>
      </c>
      <c r="D63" s="34"/>
      <c r="E63" s="1197"/>
      <c r="F63" s="1197">
        <v>337704.35819847183</v>
      </c>
      <c r="G63" s="1197">
        <v>422290.37936815759</v>
      </c>
      <c r="H63" s="1247">
        <f>+H57-H59</f>
        <v>721380.72543888772</v>
      </c>
      <c r="I63" s="1247">
        <f>+I57-I59</f>
        <v>110015.06243888941</v>
      </c>
      <c r="J63" s="1190" t="str">
        <f>IF(E63=0, " ",(H63-E63)/E63)</f>
        <v xml:space="preserve"> </v>
      </c>
      <c r="K63" s="1190">
        <f>IF(G63=0, " ",(H63-G63)/G63)</f>
        <v>0.70825754192704382</v>
      </c>
      <c r="L63" s="1190"/>
    </row>
    <row r="64" spans="3:15">
      <c r="C64" s="34"/>
      <c r="D64" s="34"/>
      <c r="E64" s="57"/>
      <c r="F64" s="57"/>
      <c r="G64" s="57"/>
      <c r="H64" s="57"/>
      <c r="I64" s="57"/>
      <c r="J64" s="57"/>
      <c r="K64" s="57"/>
      <c r="L64" s="57"/>
    </row>
    <row r="65" spans="3:12">
      <c r="C65" s="46" t="s">
        <v>2173</v>
      </c>
      <c r="D65" s="46"/>
      <c r="E65" s="1209"/>
      <c r="F65" s="75">
        <v>1.1272115756782557</v>
      </c>
      <c r="G65" s="75">
        <v>1.1660030743007339</v>
      </c>
      <c r="H65" s="1249">
        <f>+H51/H59</f>
        <v>1.2734369500420131</v>
      </c>
      <c r="I65" s="1249">
        <f>+I51/I59</f>
        <v>1.0599323811301433</v>
      </c>
      <c r="J65" s="1190"/>
      <c r="K65" s="1190">
        <f>IF(G65=0, " ",(H65-G65)/G65)</f>
        <v>9.213858703220705E-2</v>
      </c>
      <c r="L65" s="1190"/>
    </row>
    <row r="66" spans="3:12">
      <c r="C66" s="46" t="s">
        <v>2174</v>
      </c>
      <c r="D66" s="46"/>
      <c r="E66" s="1209"/>
      <c r="F66" s="75"/>
      <c r="G66" s="75"/>
      <c r="H66" s="75"/>
      <c r="I66" s="75"/>
      <c r="J66" s="1190"/>
      <c r="K66" s="1190"/>
      <c r="L66" s="1190"/>
    </row>
    <row r="67" spans="3:12">
      <c r="C67" s="46" t="s">
        <v>2175</v>
      </c>
      <c r="D67" s="46"/>
      <c r="E67" s="1209"/>
      <c r="F67" s="75"/>
      <c r="G67" s="75"/>
      <c r="H67" s="75"/>
      <c r="I67" s="75"/>
      <c r="J67" s="1190"/>
      <c r="K67" s="1190"/>
      <c r="L67" s="1190"/>
    </row>
    <row r="68" spans="3:12">
      <c r="C68" s="33"/>
      <c r="D68" s="33"/>
      <c r="E68" s="1210"/>
      <c r="F68" s="215"/>
      <c r="G68" s="215"/>
      <c r="H68" s="215"/>
      <c r="I68" s="215"/>
      <c r="J68" s="33"/>
      <c r="K68" s="33"/>
      <c r="L68" s="33"/>
    </row>
    <row r="69" spans="3:12">
      <c r="C69" s="46" t="s">
        <v>2176</v>
      </c>
      <c r="D69" s="46"/>
      <c r="E69" s="1209"/>
      <c r="F69" s="75">
        <v>1.1075868635986406</v>
      </c>
      <c r="G69" s="75">
        <v>1.1448706240332216</v>
      </c>
      <c r="H69" s="1249">
        <f t="shared" ref="H69:I69" si="10">+H57/H59</f>
        <v>1.2519246502173316</v>
      </c>
      <c r="I69" s="1249">
        <f t="shared" si="10"/>
        <v>1.0384200813054618</v>
      </c>
      <c r="J69" s="1190"/>
      <c r="K69" s="1190">
        <f>IF(G69=0, " ",(H69-G69)/G69)</f>
        <v>9.3507531713036163E-2</v>
      </c>
      <c r="L69" s="1190"/>
    </row>
    <row r="70" spans="3:12">
      <c r="C70" s="46" t="s">
        <v>2177</v>
      </c>
      <c r="D70" s="46"/>
      <c r="E70" s="1209"/>
      <c r="F70" s="75"/>
      <c r="G70" s="75"/>
      <c r="H70" s="75"/>
      <c r="I70" s="75"/>
      <c r="J70" s="1190"/>
      <c r="K70" s="1190"/>
      <c r="L70" s="1190"/>
    </row>
    <row r="71" spans="3:12">
      <c r="C71" s="46" t="s">
        <v>2178</v>
      </c>
      <c r="D71" s="46"/>
      <c r="E71" s="1209"/>
      <c r="F71" s="75"/>
      <c r="G71" s="75"/>
      <c r="H71" s="75"/>
      <c r="I71" s="75"/>
      <c r="J71" s="1190"/>
      <c r="K71" s="1190"/>
      <c r="L71" s="1190"/>
    </row>
    <row r="72" spans="3:12">
      <c r="C72" s="46"/>
      <c r="D72" s="46"/>
      <c r="E72" s="57"/>
      <c r="F72" s="57"/>
      <c r="G72" s="57"/>
      <c r="H72" s="57"/>
      <c r="I72" s="57"/>
      <c r="J72" s="62"/>
      <c r="K72" s="62"/>
    </row>
    <row r="73" spans="3:12">
      <c r="C73" s="54" t="s">
        <v>2199</v>
      </c>
      <c r="D73" s="54"/>
      <c r="E73" s="38"/>
      <c r="F73" s="1293">
        <v>9.724637638182547E-2</v>
      </c>
      <c r="G73" s="1293">
        <v>7.0071022625595489E-2</v>
      </c>
      <c r="H73" s="1293">
        <v>7.3639544778664329E-2</v>
      </c>
      <c r="I73" s="1313">
        <f>+I57/E6</f>
        <v>6.2433565138377965E-2</v>
      </c>
      <c r="J73" s="58"/>
      <c r="K73" s="58"/>
    </row>
    <row r="74" spans="3:12">
      <c r="C74" s="46"/>
      <c r="D74" s="46"/>
      <c r="E74" s="57"/>
      <c r="F74" s="57"/>
      <c r="G74" s="57"/>
      <c r="H74" s="57"/>
      <c r="I74" s="57"/>
      <c r="J74" s="58"/>
      <c r="K74" s="58"/>
    </row>
    <row r="75" spans="3:12">
      <c r="C75" s="54" t="s">
        <v>55</v>
      </c>
      <c r="D75" s="54"/>
      <c r="E75" s="38"/>
      <c r="F75" s="38"/>
      <c r="G75" s="38"/>
      <c r="H75" s="38"/>
      <c r="I75" s="38"/>
      <c r="J75" s="33"/>
      <c r="K75" s="33"/>
    </row>
    <row r="76" spans="3:12" ht="13.5" thickBot="1">
      <c r="C76" s="59"/>
      <c r="D76" s="59"/>
      <c r="E76" s="60" t="s">
        <v>2179</v>
      </c>
      <c r="F76" s="61"/>
      <c r="G76" s="61"/>
      <c r="H76" s="61"/>
      <c r="I76" s="61"/>
      <c r="J76" s="61"/>
      <c r="K76" s="61"/>
    </row>
    <row r="77" spans="3:12">
      <c r="C77" s="56" t="s">
        <v>2180</v>
      </c>
      <c r="D77" s="56"/>
      <c r="E77" s="33"/>
      <c r="F77" s="33"/>
      <c r="G77" s="33"/>
      <c r="H77" s="33"/>
      <c r="I77" s="33"/>
      <c r="J77" s="33"/>
      <c r="K77" s="33"/>
    </row>
    <row r="78" spans="3:12">
      <c r="C78" s="1173" t="s">
        <v>2181</v>
      </c>
      <c r="D78" s="1173"/>
      <c r="E78" s="33"/>
      <c r="F78" s="33"/>
      <c r="G78" s="33"/>
      <c r="H78" s="33"/>
      <c r="I78" s="33"/>
      <c r="J78" s="33"/>
      <c r="K78" s="33"/>
    </row>
    <row r="79" spans="3:12">
      <c r="C79" s="1211" t="s">
        <v>2182</v>
      </c>
      <c r="D79" s="1173"/>
      <c r="E79" s="33"/>
      <c r="F79" s="33"/>
      <c r="G79" s="33"/>
      <c r="H79" s="33"/>
      <c r="I79" s="33"/>
      <c r="J79" s="33"/>
      <c r="K79" s="33"/>
    </row>
    <row r="80" spans="3:12">
      <c r="C80" s="1212" t="s">
        <v>2183</v>
      </c>
      <c r="D80" s="1212"/>
      <c r="E80" s="1213"/>
      <c r="F80" s="1213"/>
      <c r="G80" s="1213"/>
      <c r="H80" s="1213"/>
      <c r="I80" s="1213"/>
      <c r="J80" s="1213"/>
      <c r="K80" s="1213"/>
    </row>
    <row r="81" spans="3:11">
      <c r="C81" s="1214"/>
      <c r="D81" s="1214"/>
      <c r="E81" s="1215"/>
      <c r="F81" s="1215"/>
      <c r="G81" s="1215"/>
      <c r="H81" s="1215"/>
      <c r="I81" s="1215"/>
      <c r="J81" s="1215"/>
      <c r="K81" s="1215"/>
    </row>
    <row r="82" spans="3:11">
      <c r="C82" s="1214"/>
      <c r="D82" s="1214"/>
      <c r="E82" s="1215"/>
      <c r="F82" s="1215"/>
      <c r="G82" s="1215"/>
      <c r="H82" s="1215"/>
      <c r="I82" s="1215"/>
      <c r="J82" s="1215"/>
      <c r="K82" s="1215"/>
    </row>
    <row r="83" spans="3:11">
      <c r="C83" s="1216" t="s">
        <v>2184</v>
      </c>
      <c r="D83" s="1216"/>
      <c r="E83" s="1213"/>
      <c r="F83" s="1213"/>
      <c r="G83" s="1213"/>
      <c r="H83" s="1213"/>
      <c r="I83" s="1213"/>
      <c r="J83" s="1213"/>
      <c r="K83" s="1213"/>
    </row>
    <row r="84" spans="3:11">
      <c r="C84" s="1214"/>
      <c r="D84" s="1214"/>
      <c r="E84" s="1215"/>
      <c r="F84" s="1215"/>
      <c r="G84" s="1215"/>
      <c r="H84" s="1215"/>
      <c r="I84" s="1215"/>
      <c r="J84" s="1215"/>
      <c r="K84" s="1215"/>
    </row>
    <row r="85" spans="3:11">
      <c r="C85" s="1214"/>
      <c r="D85" s="1214"/>
      <c r="E85" s="1215"/>
      <c r="F85" s="1215"/>
      <c r="G85" s="1215"/>
      <c r="H85" s="1215"/>
      <c r="I85" s="1215"/>
      <c r="J85" s="1215"/>
      <c r="K85" s="1215"/>
    </row>
    <row r="86" spans="3:11">
      <c r="C86" s="1216" t="s">
        <v>2185</v>
      </c>
      <c r="D86" s="1216"/>
      <c r="E86" s="1213"/>
      <c r="F86" s="1213"/>
      <c r="G86" s="1213"/>
      <c r="H86" s="1213"/>
      <c r="I86" s="1213"/>
      <c r="J86" s="1213"/>
      <c r="K86" s="1213"/>
    </row>
    <row r="87" spans="3:11">
      <c r="C87" s="1217"/>
      <c r="D87" s="1217"/>
      <c r="E87" s="1215"/>
      <c r="F87" s="1215"/>
      <c r="G87" s="1215"/>
      <c r="H87" s="1215"/>
      <c r="I87" s="1215"/>
      <c r="J87" s="1215"/>
      <c r="K87" s="1215"/>
    </row>
    <row r="88" spans="3:11">
      <c r="C88" s="1218"/>
      <c r="D88" s="1218"/>
      <c r="E88" s="1215"/>
      <c r="F88" s="1215"/>
      <c r="G88" s="1215"/>
      <c r="H88" s="1215"/>
      <c r="I88" s="1215"/>
      <c r="J88" s="1215"/>
      <c r="K88" s="1215"/>
    </row>
    <row r="89" spans="3:11">
      <c r="C89" s="1212" t="s">
        <v>2186</v>
      </c>
      <c r="D89" s="1213"/>
      <c r="E89" s="1213"/>
      <c r="F89" s="1213"/>
      <c r="G89" s="1213"/>
      <c r="H89" s="1213"/>
      <c r="I89" s="1213"/>
      <c r="J89" s="1213"/>
      <c r="K89" s="1213"/>
    </row>
    <row r="90" spans="3:11">
      <c r="C90" s="1213"/>
      <c r="D90" s="1213"/>
      <c r="E90" s="1213"/>
      <c r="F90" s="1213"/>
      <c r="G90" s="1213"/>
      <c r="H90" s="1213"/>
      <c r="I90" s="1213"/>
      <c r="J90" s="1213"/>
      <c r="K90" s="1213"/>
    </row>
    <row r="91" spans="3:11">
      <c r="C91" s="1213" t="s">
        <v>327</v>
      </c>
      <c r="D91" s="1213"/>
      <c r="E91" s="1213"/>
      <c r="F91" s="1213"/>
      <c r="G91" s="1213"/>
      <c r="H91" s="1213"/>
      <c r="I91" s="1213"/>
      <c r="J91" s="1213"/>
      <c r="K91" s="33"/>
    </row>
    <row r="92" spans="3:11">
      <c r="C92" s="1219" t="s">
        <v>2187</v>
      </c>
      <c r="D92" s="1219"/>
      <c r="E92" s="33"/>
      <c r="F92" s="33"/>
      <c r="G92" s="33"/>
      <c r="H92" s="33"/>
      <c r="I92" s="33"/>
      <c r="J92" s="34"/>
      <c r="K92" s="33"/>
    </row>
    <row r="93" spans="3:11">
      <c r="C93" s="15" t="s">
        <v>2188</v>
      </c>
      <c r="D93" s="15"/>
      <c r="E93" s="33"/>
      <c r="F93" s="33"/>
      <c r="G93" s="33"/>
      <c r="H93" s="33"/>
      <c r="I93" s="33"/>
      <c r="J93" s="54"/>
      <c r="K93" s="33"/>
    </row>
    <row r="94" spans="3:11">
      <c r="C94" s="33"/>
      <c r="D94" s="33"/>
      <c r="E94" s="33"/>
      <c r="F94" s="33"/>
      <c r="G94" s="33"/>
      <c r="H94" s="33"/>
      <c r="I94" s="33"/>
      <c r="J94" s="54"/>
      <c r="K94" s="33"/>
    </row>
    <row r="95" spans="3:11">
      <c r="C95" s="33"/>
      <c r="D95" s="33"/>
      <c r="E95" s="33"/>
      <c r="F95" s="33"/>
      <c r="G95" s="33"/>
      <c r="H95" s="33"/>
      <c r="I95" s="33"/>
      <c r="J95" s="33"/>
      <c r="K95" s="33"/>
    </row>
    <row r="96" spans="3:11">
      <c r="C96" s="33"/>
      <c r="D96" s="33"/>
      <c r="E96" s="33"/>
      <c r="F96" s="33"/>
      <c r="G96" s="33"/>
      <c r="H96" s="33"/>
      <c r="I96" s="33"/>
      <c r="J96" s="33"/>
      <c r="K96" s="33"/>
    </row>
    <row r="97" spans="3:11">
      <c r="C97" s="33"/>
      <c r="D97" s="33"/>
      <c r="E97" s="33"/>
      <c r="F97" s="33"/>
      <c r="G97" s="33"/>
      <c r="H97" s="33"/>
      <c r="I97" s="33"/>
      <c r="J97" s="33"/>
      <c r="K97" s="33"/>
    </row>
    <row r="98" spans="3:11">
      <c r="C98" s="33"/>
      <c r="D98" s="33"/>
      <c r="E98" s="33"/>
      <c r="F98" s="33"/>
      <c r="G98" s="33"/>
      <c r="H98" s="33"/>
      <c r="I98" s="33"/>
      <c r="J98" s="33"/>
      <c r="K98" s="33"/>
    </row>
    <row r="99" spans="3:11">
      <c r="C99" s="33"/>
      <c r="D99" s="33"/>
      <c r="E99" s="33"/>
      <c r="F99" s="33"/>
      <c r="G99" s="33"/>
      <c r="H99" s="33"/>
      <c r="I99" s="33"/>
      <c r="J99" s="33"/>
      <c r="K99" s="33"/>
    </row>
  </sheetData>
  <mergeCells count="5">
    <mergeCell ref="B1:K1"/>
    <mergeCell ref="H4:I4"/>
    <mergeCell ref="E9:I9"/>
    <mergeCell ref="E10:I10"/>
    <mergeCell ref="E11:I11"/>
  </mergeCells>
  <conditionalFormatting sqref="E16:E17">
    <cfRule type="expression" dxfId="61" priority="4">
      <formula>$A$2=1</formula>
    </cfRule>
  </conditionalFormatting>
  <conditionalFormatting sqref="E53">
    <cfRule type="expression" dxfId="60" priority="3">
      <formula>$A$2=1</formula>
    </cfRule>
  </conditionalFormatting>
  <conditionalFormatting sqref="E9:I11">
    <cfRule type="expression" dxfId="59" priority="7">
      <formula>$A$2=1</formula>
    </cfRule>
  </conditionalFormatting>
  <conditionalFormatting sqref="F6">
    <cfRule type="expression" dxfId="58" priority="8">
      <formula>$A$2=1</formula>
    </cfRule>
  </conditionalFormatting>
  <conditionalFormatting sqref="F15 I15">
    <cfRule type="expression" dxfId="57" priority="6">
      <formula>$A$2=1</formula>
    </cfRule>
  </conditionalFormatting>
  <conditionalFormatting sqref="G15:H16">
    <cfRule type="expression" dxfId="56" priority="5">
      <formula>$A$2=1</formula>
    </cfRule>
  </conditionalFormatting>
  <conditionalFormatting sqref="L22:L23">
    <cfRule type="expression" dxfId="55" priority="9">
      <formula>$A$1=1</formula>
    </cfRule>
  </conditionalFormatting>
  <conditionalFormatting sqref="L40">
    <cfRule type="expression" dxfId="54" priority="2">
      <formula>$A$2=1</formula>
    </cfRule>
  </conditionalFormatting>
  <conditionalFormatting sqref="L47:L52 L55:L56">
    <cfRule type="expression" dxfId="53" priority="10">
      <formula>$A$1=1</formula>
    </cfRule>
  </conditionalFormatting>
  <conditionalFormatting sqref="L53">
    <cfRule type="expression" dxfId="52" priority="1">
      <formula>$A$2=1</formula>
    </cfRule>
  </conditionalFormatting>
  <pageMargins left="0.75" right="0.25" top="0.5" bottom="0.63" header="0.5" footer="0.32"/>
  <pageSetup scale="47" firstPageNumber="75" orientation="portrait"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F131-CE27-4ABB-9A99-2997873A5A64}">
  <sheetPr>
    <pageSetUpPr fitToPage="1"/>
  </sheetPr>
  <dimension ref="A1:Q80"/>
  <sheetViews>
    <sheetView showGridLines="0" view="pageBreakPreview" topLeftCell="A24" zoomScale="90" zoomScaleNormal="90" zoomScaleSheetLayoutView="90" workbookViewId="0">
      <selection activeCell="E27" sqref="E27"/>
    </sheetView>
  </sheetViews>
  <sheetFormatPr defaultRowHeight="12.75" outlineLevelCol="1"/>
  <cols>
    <col min="1" max="1" width="3.7109375" customWidth="1"/>
    <col min="2" max="2" width="10.140625" customWidth="1" outlineLevel="1"/>
    <col min="3" max="3" width="2" customWidth="1" outlineLevel="1"/>
    <col min="4" max="4" width="48.140625" style="48" customWidth="1"/>
    <col min="5" max="5" width="17.7109375" style="48" customWidth="1"/>
    <col min="6" max="6" width="14.42578125" style="48" bestFit="1" customWidth="1"/>
    <col min="7" max="7" width="15.5703125" style="48" customWidth="1"/>
    <col min="8" max="10" width="15" style="48" customWidth="1"/>
    <col min="11" max="11" width="17" style="48" customWidth="1"/>
    <col min="12" max="12" width="48" style="48" customWidth="1"/>
    <col min="13" max="13" width="12.42578125" style="48" bestFit="1" customWidth="1"/>
    <col min="14" max="14" width="13.42578125" style="48" bestFit="1" customWidth="1"/>
    <col min="15" max="15" width="12.140625" customWidth="1"/>
    <col min="16" max="16" width="20.28515625" customWidth="1"/>
    <col min="18" max="18" width="9" customWidth="1"/>
    <col min="19" max="19" width="14.7109375" customWidth="1"/>
    <col min="20" max="20" width="11.42578125" customWidth="1"/>
    <col min="23" max="23" width="11.7109375" customWidth="1"/>
    <col min="24" max="24" width="10.85546875" customWidth="1"/>
    <col min="27" max="27" width="9" customWidth="1"/>
    <col min="28" max="28" width="10.140625" customWidth="1"/>
  </cols>
  <sheetData>
    <row r="1" spans="1:17" s="63" customFormat="1" ht="15.75">
      <c r="D1" s="1345" t="s">
        <v>0</v>
      </c>
      <c r="E1" s="1345"/>
      <c r="F1" s="1345"/>
      <c r="G1" s="1345"/>
      <c r="H1" s="1345"/>
      <c r="I1" s="1345"/>
      <c r="J1" s="1345"/>
      <c r="K1" s="1345"/>
      <c r="L1" s="513"/>
      <c r="M1" s="513"/>
      <c r="N1" s="513"/>
    </row>
    <row r="2" spans="1:17" s="63" customFormat="1" ht="15.75">
      <c r="A2" s="1054">
        <v>1</v>
      </c>
      <c r="B2" s="226"/>
      <c r="D2" s="1346" t="s">
        <v>56</v>
      </c>
      <c r="E2" s="1346"/>
      <c r="F2" s="1346"/>
      <c r="G2" s="1346"/>
      <c r="H2" s="1346"/>
      <c r="I2" s="1346"/>
      <c r="J2" s="1346"/>
      <c r="K2" s="1346"/>
      <c r="L2" s="514"/>
      <c r="M2" s="514"/>
      <c r="N2" s="514"/>
    </row>
    <row r="3" spans="1:17" s="63" customFormat="1" ht="16.5" thickBot="1">
      <c r="D3" s="1347" t="str">
        <f>"as of "&amp;TEXT($J$14,"m/dd/yyyy")</f>
        <v>as of 12/31/2025</v>
      </c>
      <c r="E3" s="1347"/>
      <c r="F3" s="1347"/>
      <c r="G3" s="1347"/>
      <c r="H3" s="1347"/>
      <c r="I3" s="1347"/>
      <c r="J3" s="1347"/>
      <c r="K3" s="1347"/>
      <c r="L3" s="514"/>
      <c r="M3" s="514"/>
      <c r="N3" s="514"/>
    </row>
    <row r="4" spans="1:17" ht="18.75" customHeight="1" thickTop="1" thickBot="1">
      <c r="D4" s="1" t="s">
        <v>1</v>
      </c>
      <c r="E4" s="2"/>
      <c r="F4" s="3"/>
      <c r="G4" s="2"/>
      <c r="H4" s="1332" t="s">
        <v>2</v>
      </c>
      <c r="I4" s="1332"/>
      <c r="J4" s="4"/>
      <c r="K4" s="4"/>
      <c r="L4" s="516"/>
      <c r="M4" s="516"/>
      <c r="N4" s="516"/>
      <c r="O4" s="5"/>
      <c r="P4" s="5"/>
      <c r="Q4" s="5"/>
    </row>
    <row r="5" spans="1:17" ht="27.75" customHeight="1" thickBot="1">
      <c r="D5" s="6" t="s">
        <v>3</v>
      </c>
      <c r="E5" s="7" t="s">
        <v>4</v>
      </c>
      <c r="F5" s="8" t="s">
        <v>5</v>
      </c>
      <c r="G5" s="9" t="s">
        <v>6</v>
      </c>
      <c r="H5" s="10" t="s">
        <v>7</v>
      </c>
      <c r="I5" s="10" t="s">
        <v>8</v>
      </c>
      <c r="J5" s="10"/>
      <c r="K5" s="10"/>
      <c r="L5" s="10"/>
      <c r="M5" s="10"/>
      <c r="N5" s="10"/>
      <c r="O5" s="5"/>
      <c r="P5" s="5"/>
      <c r="Q5" s="5"/>
    </row>
    <row r="6" spans="1:17">
      <c r="D6" s="11" t="s">
        <v>9</v>
      </c>
      <c r="E6" s="146">
        <f>'DSCR Calc'!H5</f>
        <v>47626516</v>
      </c>
      <c r="F6" s="1056">
        <f>J14</f>
        <v>46022</v>
      </c>
      <c r="G6" s="12"/>
      <c r="H6" s="13">
        <v>0</v>
      </c>
      <c r="I6" s="156">
        <v>1</v>
      </c>
      <c r="J6" s="14"/>
      <c r="K6" s="14"/>
      <c r="L6" s="517"/>
      <c r="M6" s="517"/>
      <c r="N6" s="517"/>
      <c r="O6" s="15"/>
      <c r="P6" s="15"/>
      <c r="Q6" s="15"/>
    </row>
    <row r="7" spans="1:17">
      <c r="D7" s="11" t="s">
        <v>10</v>
      </c>
      <c r="E7" s="13">
        <v>0</v>
      </c>
      <c r="F7" s="83"/>
      <c r="G7" s="12"/>
      <c r="H7" s="13">
        <v>0</v>
      </c>
      <c r="I7" s="156"/>
      <c r="J7" s="14"/>
      <c r="K7" s="14"/>
      <c r="L7" s="517"/>
      <c r="M7" s="517"/>
      <c r="N7" s="517"/>
      <c r="O7" s="15"/>
      <c r="P7" s="15"/>
      <c r="Q7" s="15"/>
    </row>
    <row r="8" spans="1:17">
      <c r="D8" s="16" t="s">
        <v>11</v>
      </c>
      <c r="E8" s="1333" t="s">
        <v>581</v>
      </c>
      <c r="F8" s="1334"/>
      <c r="G8" s="1334"/>
      <c r="H8" s="1334"/>
      <c r="I8" s="1335"/>
      <c r="J8" s="15"/>
      <c r="K8" s="15"/>
      <c r="L8" s="15"/>
      <c r="M8" s="15"/>
      <c r="N8" s="15"/>
      <c r="O8" s="15"/>
      <c r="P8" s="15"/>
      <c r="Q8" s="15"/>
    </row>
    <row r="9" spans="1:17">
      <c r="D9" s="17" t="s">
        <v>12</v>
      </c>
      <c r="E9" s="1336" t="s">
        <v>60</v>
      </c>
      <c r="F9" s="1337"/>
      <c r="G9" s="1337"/>
      <c r="H9" s="1337"/>
      <c r="I9" s="1338"/>
      <c r="J9" s="18"/>
      <c r="K9" s="18"/>
      <c r="L9" s="18"/>
      <c r="M9" s="18"/>
      <c r="N9" s="18"/>
      <c r="O9" s="15"/>
      <c r="P9" s="15"/>
      <c r="Q9" s="15"/>
    </row>
    <row r="10" spans="1:17">
      <c r="D10" s="11" t="s">
        <v>13</v>
      </c>
      <c r="E10" s="1339" t="s">
        <v>582</v>
      </c>
      <c r="F10" s="1340"/>
      <c r="G10" s="1340"/>
      <c r="H10" s="1340"/>
      <c r="I10" s="1341"/>
      <c r="J10" s="18"/>
      <c r="K10" s="18"/>
      <c r="L10" s="18"/>
      <c r="M10" s="18"/>
      <c r="N10" s="18"/>
      <c r="O10" s="15"/>
      <c r="P10" s="15"/>
      <c r="Q10" s="15"/>
    </row>
    <row r="11" spans="1:17">
      <c r="D11" s="19" t="s">
        <v>14</v>
      </c>
      <c r="E11" s="20">
        <v>308</v>
      </c>
      <c r="F11" s="411" t="s">
        <v>59</v>
      </c>
      <c r="G11" s="150"/>
      <c r="H11" s="151"/>
      <c r="I11" s="152"/>
      <c r="J11" s="21"/>
      <c r="K11" s="21"/>
      <c r="L11" s="21"/>
      <c r="M11" s="21"/>
      <c r="N11" s="957"/>
      <c r="O11" s="15"/>
      <c r="P11" s="15"/>
      <c r="Q11" s="15"/>
    </row>
    <row r="12" spans="1:17">
      <c r="D12" s="19" t="s">
        <v>15</v>
      </c>
      <c r="E12" s="84">
        <v>2009</v>
      </c>
      <c r="F12" s="412"/>
      <c r="G12" s="147"/>
      <c r="H12" s="148"/>
      <c r="I12" s="149"/>
      <c r="J12" s="22"/>
      <c r="K12" s="22"/>
      <c r="L12" s="22"/>
      <c r="M12" s="22"/>
      <c r="N12" s="22"/>
      <c r="O12" s="958"/>
      <c r="P12" s="15"/>
      <c r="Q12" s="15"/>
    </row>
    <row r="13" spans="1:17">
      <c r="D13" s="19" t="s">
        <v>16</v>
      </c>
      <c r="E13" s="23">
        <v>200</v>
      </c>
      <c r="F13" s="413" t="s">
        <v>62</v>
      </c>
      <c r="G13" s="150"/>
      <c r="H13" s="151"/>
      <c r="I13" s="153"/>
      <c r="J13" s="22"/>
      <c r="K13" s="22"/>
      <c r="L13" s="22"/>
      <c r="M13" s="22"/>
      <c r="N13" s="22"/>
      <c r="O13" s="958"/>
      <c r="P13" s="15"/>
      <c r="Q13" s="15"/>
    </row>
    <row r="14" spans="1:17">
      <c r="D14" s="24" t="s">
        <v>17</v>
      </c>
      <c r="E14" s="25" t="str">
        <f>'UW Pro Forma CF'!C3</f>
        <v>At Close (In Place)</v>
      </c>
      <c r="F14" s="867">
        <f>'UW Pro Forma CF'!E12</f>
        <v>46173</v>
      </c>
      <c r="G14" s="867">
        <f>'UW Pro Forma CF'!F12</f>
        <v>46538</v>
      </c>
      <c r="H14" s="953">
        <v>45838</v>
      </c>
      <c r="I14" s="953">
        <v>45930</v>
      </c>
      <c r="J14" s="953">
        <v>46022</v>
      </c>
      <c r="K14" s="1051">
        <f>J14</f>
        <v>46022</v>
      </c>
      <c r="L14" s="67"/>
      <c r="M14" s="67"/>
      <c r="N14" s="67"/>
      <c r="O14" s="18"/>
      <c r="P14" s="15"/>
      <c r="Q14" s="15"/>
    </row>
    <row r="15" spans="1:17">
      <c r="D15" s="26" t="s">
        <v>18</v>
      </c>
      <c r="E15" s="154">
        <f>'UW Pro Forma CF'!C8</f>
        <v>0.94155844155844159</v>
      </c>
      <c r="F15" s="155">
        <f>'UW Pro Forma CF'!E8</f>
        <v>0.90191795293894805</v>
      </c>
      <c r="G15" s="155">
        <f>'UW Pro Forma CF'!F8</f>
        <v>0.88636363636363635</v>
      </c>
      <c r="H15" s="1133">
        <v>0.91879999999999995</v>
      </c>
      <c r="I15" s="1133">
        <v>0.89610000000000001</v>
      </c>
      <c r="J15" s="1112" t="e">
        <f>'Rent Roll'!#REF!/100</f>
        <v>#REF!</v>
      </c>
      <c r="K15" s="1156" t="e">
        <f>J15</f>
        <v>#REF!</v>
      </c>
      <c r="L15" s="518"/>
      <c r="M15" s="1068" t="s">
        <v>1765</v>
      </c>
      <c r="N15" s="1068" t="s">
        <v>1766</v>
      </c>
      <c r="O15" s="18"/>
      <c r="P15" s="15"/>
      <c r="Q15" s="15"/>
    </row>
    <row r="16" spans="1:17">
      <c r="D16" s="26" t="s">
        <v>19</v>
      </c>
      <c r="E16" s="143">
        <v>45793</v>
      </c>
      <c r="F16" s="868">
        <f>'UW Pro Forma CF'!E12</f>
        <v>46173</v>
      </c>
      <c r="G16" s="868">
        <f>'UW Pro Forma CF'!F12</f>
        <v>46538</v>
      </c>
      <c r="H16" s="1134">
        <v>45838</v>
      </c>
      <c r="I16" s="1135">
        <v>45930</v>
      </c>
      <c r="J16" s="143">
        <f>J14</f>
        <v>46022</v>
      </c>
      <c r="K16" s="143">
        <f>K14</f>
        <v>46022</v>
      </c>
      <c r="L16" s="68"/>
      <c r="M16" s="1069">
        <v>0.05</v>
      </c>
      <c r="N16" s="1070" t="e">
        <f>1-J15</f>
        <v>#REF!</v>
      </c>
      <c r="O16" s="18"/>
      <c r="P16" s="15"/>
      <c r="Q16" s="15"/>
    </row>
    <row r="17" spans="4:17">
      <c r="D17" s="19"/>
      <c r="E17" s="27" t="s">
        <v>25</v>
      </c>
      <c r="F17" s="28"/>
      <c r="G17" s="28"/>
      <c r="H17" s="28"/>
      <c r="I17" s="29"/>
      <c r="J17" s="29"/>
      <c r="K17" s="29"/>
      <c r="L17" s="29"/>
      <c r="M17" s="999"/>
      <c r="N17" s="29"/>
      <c r="O17" s="18"/>
      <c r="P17" s="15"/>
      <c r="Q17" s="15"/>
    </row>
    <row r="18" spans="4:17" ht="13.5" thickBot="1">
      <c r="D18" s="30"/>
      <c r="E18" s="31" t="s">
        <v>20</v>
      </c>
      <c r="F18" s="32"/>
      <c r="G18" s="32"/>
      <c r="H18" s="32"/>
      <c r="I18" s="32"/>
      <c r="J18" s="32"/>
      <c r="K18" s="32"/>
      <c r="L18" s="18"/>
      <c r="M18" s="18"/>
      <c r="N18" s="18"/>
      <c r="O18" s="15"/>
      <c r="P18" s="15"/>
      <c r="Q18" s="15"/>
    </row>
    <row r="19" spans="4:17" ht="13.5" thickTop="1">
      <c r="D19" s="34" t="s">
        <v>21</v>
      </c>
      <c r="E19" s="35"/>
      <c r="F19" s="36"/>
      <c r="G19" s="36"/>
      <c r="H19" s="36"/>
      <c r="I19" s="36"/>
      <c r="J19" s="36"/>
      <c r="K19" s="36"/>
      <c r="L19" s="36"/>
      <c r="M19" s="36"/>
      <c r="N19" s="36"/>
    </row>
    <row r="20" spans="4:17">
      <c r="D20" s="37" t="s">
        <v>22</v>
      </c>
      <c r="E20" s="33"/>
      <c r="F20" s="76"/>
      <c r="G20" s="76"/>
      <c r="H20" s="76"/>
      <c r="I20" s="76"/>
      <c r="J20" s="39"/>
      <c r="K20" s="110"/>
      <c r="L20" s="64"/>
      <c r="M20" s="54"/>
      <c r="N20" s="54"/>
      <c r="O20" s="54"/>
    </row>
    <row r="21" spans="4:17">
      <c r="D21" s="37" t="s">
        <v>23</v>
      </c>
      <c r="E21" s="89" t="s">
        <v>24</v>
      </c>
      <c r="F21" s="142" t="s">
        <v>684</v>
      </c>
      <c r="G21" s="142" t="s">
        <v>685</v>
      </c>
      <c r="H21" s="142" t="s">
        <v>687</v>
      </c>
      <c r="I21" s="1048" t="s">
        <v>1777</v>
      </c>
      <c r="J21" s="135" t="str">
        <f>'Operating Statement'!V11</f>
        <v>T10</v>
      </c>
      <c r="K21" s="40" t="s">
        <v>1956</v>
      </c>
      <c r="L21" s="519" t="s">
        <v>57</v>
      </c>
      <c r="M21" s="579"/>
      <c r="N21" s="1342" t="s">
        <v>1776</v>
      </c>
      <c r="O21" s="1343"/>
      <c r="P21" s="959"/>
    </row>
    <row r="22" spans="4:17">
      <c r="D22" s="37" t="s">
        <v>17</v>
      </c>
      <c r="E22" s="90" t="s">
        <v>25</v>
      </c>
      <c r="F22" s="85">
        <f>'UW Pro Forma CF'!E12</f>
        <v>46173</v>
      </c>
      <c r="G22" s="85">
        <f>'UW Pro Forma CF'!F12</f>
        <v>46538</v>
      </c>
      <c r="H22" s="85">
        <v>45838</v>
      </c>
      <c r="I22" s="85">
        <v>45930</v>
      </c>
      <c r="J22" s="1051">
        <f>$J$14</f>
        <v>46022</v>
      </c>
      <c r="K22" s="1051">
        <f>$J$14</f>
        <v>46022</v>
      </c>
      <c r="L22" s="520"/>
      <c r="M22" s="580"/>
      <c r="N22" s="988" t="s">
        <v>1763</v>
      </c>
      <c r="O22" s="988" t="s">
        <v>1764</v>
      </c>
    </row>
    <row r="23" spans="4:17" ht="15">
      <c r="D23" s="940" t="s">
        <v>1756</v>
      </c>
      <c r="E23" s="42">
        <f>'UW Pro Forma CF'!C13</f>
        <v>6960534.0579310348</v>
      </c>
      <c r="F23" s="857">
        <f>'UW Pro Forma CF'!E13</f>
        <v>7125090.4005534863</v>
      </c>
      <c r="G23" s="857">
        <f>'UW Pro Forma CF'!F13</f>
        <v>7547179.0579670602</v>
      </c>
      <c r="H23" s="857">
        <v>6437938.0800000001</v>
      </c>
      <c r="I23" s="857">
        <v>6181628.7000000002</v>
      </c>
      <c r="J23" s="136">
        <f>SUMIFS('Operating Statement'!Q:Q,'Operating Statement'!S:S,'Old OSAR'!D23)</f>
        <v>0</v>
      </c>
      <c r="K23" s="1111">
        <f>('Rent Roll'!Z363*12)+'Operating Statement'!V57</f>
        <v>-327351.30000000005</v>
      </c>
      <c r="L23" s="1116" t="str">
        <f>"Annualized RR as of "&amp;TEXT(J14,"MM/DD/YYYY") &amp;  " less T6 concessions"</f>
        <v>Annualized RR as of 12/31/2025 less T6 concessions</v>
      </c>
      <c r="M23" s="79"/>
      <c r="N23" s="1050">
        <f>IFERROR(K23-I23,"N/A")</f>
        <v>-6508980</v>
      </c>
      <c r="O23" s="1057">
        <f>IFERROR(N23/I23,"N/A")</f>
        <v>-1.0529555099289609</v>
      </c>
      <c r="P23" s="960"/>
      <c r="Q23" s="960"/>
    </row>
    <row r="24" spans="4:17" ht="15">
      <c r="D24" s="942" t="s">
        <v>1757</v>
      </c>
      <c r="E24" s="407">
        <f>'UW Pro Forma CF'!C14</f>
        <v>-406784.45793103427</v>
      </c>
      <c r="F24" s="858">
        <f>'UW Pro Forma CF'!E14</f>
        <v>-698843.45198133623</v>
      </c>
      <c r="G24" s="858">
        <f>'UW Pro Forma CF'!F14</f>
        <v>-857633.9838598934</v>
      </c>
      <c r="H24" s="858" t="s">
        <v>1775</v>
      </c>
      <c r="I24" s="858" t="s">
        <v>1775</v>
      </c>
      <c r="J24" s="408">
        <f>SUMIFS('Operating Statement'!Q:Q,'Operating Statement'!S:S,'Old OSAR'!D24)</f>
        <v>0</v>
      </c>
      <c r="K24" s="408" t="e">
        <f>IF(N16&lt;M16,(-M16+N16)*K23,"")</f>
        <v>#REF!</v>
      </c>
      <c r="L24" s="521" t="e">
        <f>"Greater of actual vacancy ("&amp;TEXT(N16,"#.0%")&amp;") or "&amp;TEXT(M16,"#.0%")</f>
        <v>#REF!</v>
      </c>
      <c r="M24" s="973"/>
      <c r="N24" s="1050" t="str">
        <f t="shared" ref="N24:N32" si="0">IFERROR(K24-I24,"N/A")</f>
        <v>N/A</v>
      </c>
      <c r="O24" s="1058" t="str">
        <f t="shared" ref="O24:O51" si="1">IFERROR(N24/I24,"N/A")</f>
        <v>N/A</v>
      </c>
      <c r="P24" s="961"/>
      <c r="Q24" s="962"/>
    </row>
    <row r="25" spans="4:17" ht="15">
      <c r="D25" s="44" t="s">
        <v>28</v>
      </c>
      <c r="E25" s="409"/>
      <c r="F25" s="409"/>
      <c r="G25" s="409"/>
      <c r="H25" s="409"/>
      <c r="I25" s="409"/>
      <c r="J25" s="409"/>
      <c r="K25" s="410"/>
      <c r="L25" s="522"/>
      <c r="M25" s="79"/>
      <c r="N25" s="1050">
        <f t="shared" si="0"/>
        <v>0</v>
      </c>
      <c r="O25" s="1059" t="str">
        <f t="shared" si="1"/>
        <v>N/A</v>
      </c>
      <c r="P25" s="226"/>
      <c r="Q25" s="226"/>
    </row>
    <row r="26" spans="4:17" ht="15">
      <c r="D26" s="37" t="s">
        <v>29</v>
      </c>
      <c r="E26" s="407">
        <f>'UW Pro Forma CF'!C16</f>
        <v>0</v>
      </c>
      <c r="F26" s="858"/>
      <c r="G26" s="858"/>
      <c r="H26" s="858"/>
      <c r="I26" s="858"/>
      <c r="J26" s="38"/>
      <c r="K26" s="1043"/>
      <c r="L26" s="521"/>
      <c r="M26" s="79"/>
      <c r="N26" s="1050">
        <f t="shared" si="0"/>
        <v>0</v>
      </c>
      <c r="O26" s="1058" t="str">
        <f t="shared" si="1"/>
        <v>N/A</v>
      </c>
      <c r="P26" s="226"/>
      <c r="Q26" s="226"/>
    </row>
    <row r="27" spans="4:17" ht="15">
      <c r="D27" s="37" t="s">
        <v>61</v>
      </c>
      <c r="E27" s="407">
        <f>'UW Pro Forma CF'!C17</f>
        <v>-25478.68</v>
      </c>
      <c r="F27" s="858">
        <f>'UW Pro Forma CF'!E17</f>
        <v>-16911.176180453025</v>
      </c>
      <c r="G27" s="858">
        <f>'UW Pro Forma CF'!F17</f>
        <v>-17604.065984492547</v>
      </c>
      <c r="H27" s="858">
        <v>-3334.08</v>
      </c>
      <c r="I27" s="858">
        <v>-10224.39</v>
      </c>
      <c r="J27" s="408">
        <f>SUMIFS('Operating Statement'!Q:Q,'Operating Statement'!S:S,'Old OSAR'!D27)</f>
        <v>0</v>
      </c>
      <c r="K27" s="408">
        <f>J27</f>
        <v>0</v>
      </c>
      <c r="L27" s="521" t="str">
        <f>TEXT($J$21,0) &amp;" ended "&amp;TEXT($J$14,"MM/DD/YYYY")</f>
        <v>T10 ended 12/31/2025</v>
      </c>
      <c r="M27" s="79"/>
      <c r="N27" s="1050">
        <f t="shared" si="0"/>
        <v>10224.39</v>
      </c>
      <c r="O27" s="1058">
        <f t="shared" si="1"/>
        <v>-1</v>
      </c>
      <c r="P27" s="226"/>
      <c r="Q27" s="226"/>
    </row>
    <row r="28" spans="4:17" ht="15">
      <c r="D28" s="940" t="s">
        <v>1736</v>
      </c>
      <c r="E28" s="407"/>
      <c r="F28" s="858"/>
      <c r="G28" s="858"/>
      <c r="H28" s="858">
        <v>0</v>
      </c>
      <c r="I28" s="858">
        <v>370468.05000000005</v>
      </c>
      <c r="J28" s="408">
        <f>SUMIFS('Operating Statement'!Q:Q,'Operating Statement'!S:S,'Old OSAR'!D28)</f>
        <v>0</v>
      </c>
      <c r="K28" s="408">
        <f>J28</f>
        <v>0</v>
      </c>
      <c r="L28" s="521" t="str">
        <f t="shared" ref="L28:L30" si="2">TEXT($J$21,0) &amp;" ended "&amp;TEXT($J$14,"MM/DD/YYYY")</f>
        <v>T10 ended 12/31/2025</v>
      </c>
      <c r="M28" s="79"/>
      <c r="N28" s="1050">
        <f t="shared" si="0"/>
        <v>-370468.05000000005</v>
      </c>
      <c r="O28" s="1058">
        <f t="shared" si="1"/>
        <v>-1</v>
      </c>
      <c r="P28" s="226"/>
      <c r="Q28" s="226"/>
    </row>
    <row r="29" spans="4:17" ht="15">
      <c r="D29" s="940" t="s">
        <v>1738</v>
      </c>
      <c r="E29" s="407">
        <f>'UW Pro Forma CF'!C18</f>
        <v>17787.239999999998</v>
      </c>
      <c r="F29" s="858">
        <f>'UW Pro Forma CF'!E18</f>
        <v>22176</v>
      </c>
      <c r="G29" s="858">
        <f>'UW Pro Forma CF'!F18</f>
        <v>22841.279999999999</v>
      </c>
      <c r="H29" s="858">
        <v>15060</v>
      </c>
      <c r="I29" s="858">
        <v>15657</v>
      </c>
      <c r="J29" s="408">
        <f>SUMIFS('Operating Statement'!Q:Q,'Operating Statement'!S:S,'Old OSAR'!D29)</f>
        <v>0</v>
      </c>
      <c r="K29" s="408">
        <f t="shared" ref="K29" si="3">J29</f>
        <v>0</v>
      </c>
      <c r="L29" s="521" t="str">
        <f t="shared" si="2"/>
        <v>T10 ended 12/31/2025</v>
      </c>
      <c r="M29" s="79"/>
      <c r="N29" s="1050">
        <f t="shared" si="0"/>
        <v>-15657</v>
      </c>
      <c r="O29" s="1058">
        <f t="shared" si="1"/>
        <v>-1</v>
      </c>
      <c r="P29" s="963"/>
      <c r="Q29" s="226"/>
    </row>
    <row r="30" spans="4:17" ht="15">
      <c r="D30" s="940" t="s">
        <v>64</v>
      </c>
      <c r="E30" s="944">
        <f>'UW Pro Forma CF'!C19</f>
        <v>553877.46</v>
      </c>
      <c r="F30" s="858">
        <f>'UW Pro Forma CF'!E19</f>
        <v>363880.87069625448</v>
      </c>
      <c r="G30" s="858">
        <f>'UW Pro Forma CF'!F19</f>
        <v>454679.06725600699</v>
      </c>
      <c r="H30" s="858">
        <v>782824.20000000007</v>
      </c>
      <c r="I30" s="858">
        <v>277252.14</v>
      </c>
      <c r="J30" s="408">
        <f>SUMIFS('Operating Statement'!Q:Q,'Operating Statement'!S:S,'Old OSAR'!D30)</f>
        <v>0</v>
      </c>
      <c r="K30" s="1043">
        <f>J30</f>
        <v>0</v>
      </c>
      <c r="L30" s="521" t="str">
        <f t="shared" si="2"/>
        <v>T10 ended 12/31/2025</v>
      </c>
      <c r="M30" s="79"/>
      <c r="N30" s="1050">
        <f t="shared" si="0"/>
        <v>-277252.14</v>
      </c>
      <c r="O30" s="1058">
        <f t="shared" si="1"/>
        <v>-1</v>
      </c>
      <c r="P30" s="960"/>
      <c r="Q30" s="226"/>
    </row>
    <row r="31" spans="4:17" ht="15">
      <c r="D31" s="46"/>
      <c r="E31" s="945"/>
      <c r="F31" s="858"/>
      <c r="G31" s="858"/>
      <c r="H31" s="858"/>
      <c r="I31" s="1049"/>
      <c r="J31" s="946"/>
      <c r="K31" s="947"/>
      <c r="L31" s="1115"/>
      <c r="M31" s="88"/>
      <c r="N31" s="1050">
        <f t="shared" si="0"/>
        <v>0</v>
      </c>
      <c r="O31" s="1058" t="str">
        <f t="shared" si="1"/>
        <v>N/A</v>
      </c>
      <c r="P31" s="964"/>
      <c r="Q31" s="226"/>
    </row>
    <row r="32" spans="4:17" ht="15">
      <c r="D32" s="46" t="s">
        <v>32</v>
      </c>
      <c r="E32" s="127">
        <f>'UW Pro Forma CF'!C21</f>
        <v>7099935.620000001</v>
      </c>
      <c r="F32" s="858">
        <f>'UW Pro Forma CF'!E21</f>
        <v>6795392.6430879515</v>
      </c>
      <c r="G32" s="858">
        <f>'UW Pro Forma CF'!F21</f>
        <v>7149461.3553786818</v>
      </c>
      <c r="H32" s="1040">
        <v>7232488.2000000002</v>
      </c>
      <c r="I32" s="1040">
        <v>6834781.5</v>
      </c>
      <c r="J32" s="948">
        <f>SUM(J23:J30)</f>
        <v>0</v>
      </c>
      <c r="K32" s="948" t="e">
        <f>SUM(K23:K30)</f>
        <v>#REF!</v>
      </c>
      <c r="L32" s="521"/>
      <c r="M32" s="80"/>
      <c r="N32" s="1050" t="str">
        <f t="shared" si="0"/>
        <v>N/A</v>
      </c>
      <c r="O32" s="1058" t="str">
        <f t="shared" si="1"/>
        <v>N/A</v>
      </c>
      <c r="P32" s="226"/>
      <c r="Q32" s="226"/>
    </row>
    <row r="33" spans="4:17">
      <c r="D33" s="33"/>
      <c r="E33" s="128" t="s">
        <v>33</v>
      </c>
      <c r="F33" s="128"/>
      <c r="G33" s="128"/>
      <c r="H33" s="128"/>
      <c r="I33" s="128"/>
      <c r="J33" s="47"/>
      <c r="K33" s="949"/>
      <c r="L33" s="80"/>
      <c r="M33" s="80"/>
      <c r="N33" s="949"/>
      <c r="O33" s="1060"/>
      <c r="P33" s="226"/>
      <c r="Q33" s="226"/>
    </row>
    <row r="34" spans="4:17">
      <c r="D34" s="33"/>
      <c r="E34" s="129"/>
      <c r="F34" s="129"/>
      <c r="G34" s="129"/>
      <c r="H34" s="129"/>
      <c r="I34" s="129"/>
      <c r="J34" s="49"/>
      <c r="K34" s="49"/>
      <c r="L34" s="81"/>
      <c r="M34" s="81"/>
      <c r="N34" s="49"/>
      <c r="O34" s="1061"/>
      <c r="P34" s="226"/>
      <c r="Q34" s="226"/>
    </row>
    <row r="35" spans="4:17">
      <c r="D35" s="34" t="s">
        <v>34</v>
      </c>
      <c r="E35" s="50"/>
      <c r="F35" s="50"/>
      <c r="G35" s="50"/>
      <c r="H35" s="50"/>
      <c r="I35" s="50"/>
      <c r="J35" s="126"/>
      <c r="K35" s="950"/>
      <c r="L35" s="66"/>
      <c r="M35" s="66"/>
      <c r="N35" s="950"/>
      <c r="O35" s="1062"/>
      <c r="P35" s="226"/>
      <c r="Q35" s="226"/>
    </row>
    <row r="36" spans="4:17" ht="15">
      <c r="D36" s="940" t="s">
        <v>674</v>
      </c>
      <c r="E36" s="130">
        <f>'UW Pro Forma CF'!C25</f>
        <v>1485043.5769348999</v>
      </c>
      <c r="F36" s="951">
        <f>'UW Pro Forma CF'!E25</f>
        <v>1484035.539681321</v>
      </c>
      <c r="G36" s="951">
        <f>'UW Pro Forma CF'!F25</f>
        <v>1529382.6379477417</v>
      </c>
      <c r="H36" s="951">
        <v>1318188.06</v>
      </c>
      <c r="I36" s="951">
        <v>1583361.78</v>
      </c>
      <c r="J36" s="136">
        <f>SUMIFS('Operating Statement'!Q:Q,'Operating Statement'!S:S,'Old OSAR'!D36)</f>
        <v>0</v>
      </c>
      <c r="K36" s="136">
        <f>+MAX(J36,'RE Tax'!C2)</f>
        <v>1425631.43</v>
      </c>
      <c r="L36" s="521" t="s">
        <v>1823</v>
      </c>
      <c r="M36" s="79"/>
      <c r="N36" s="1071">
        <f t="shared" ref="N36:N47" si="4">IFERROR(K36-I36,"N/A")</f>
        <v>-157730.35000000009</v>
      </c>
      <c r="O36" s="1063">
        <f t="shared" si="1"/>
        <v>-9.961737866376949E-2</v>
      </c>
      <c r="P36" s="965"/>
      <c r="Q36" s="226"/>
    </row>
    <row r="37" spans="4:17" ht="15">
      <c r="D37" s="940" t="s">
        <v>675</v>
      </c>
      <c r="E37" s="1042">
        <f>'UW Pro Forma CF'!C26</f>
        <v>215600</v>
      </c>
      <c r="F37" s="1041">
        <f>'UW Pro Forma CF'!E26</f>
        <v>215600</v>
      </c>
      <c r="G37" s="1041">
        <f>'UW Pro Forma CF'!F26</f>
        <v>226380</v>
      </c>
      <c r="H37" s="1041">
        <v>76674.58</v>
      </c>
      <c r="I37" s="1041">
        <v>81669.58</v>
      </c>
      <c r="J37" s="408">
        <f>SUMIFS('Operating Statement'!Q:Q,'Operating Statement'!S:S,'Old OSAR'!D37)</f>
        <v>0</v>
      </c>
      <c r="K37" s="408">
        <f>Insurance!C5</f>
        <v>81669.58</v>
      </c>
      <c r="L37" s="521" t="s">
        <v>1774</v>
      </c>
      <c r="M37" s="1132">
        <f>K37/E37-1</f>
        <v>-0.62119860853432285</v>
      </c>
      <c r="N37" s="1050">
        <f t="shared" si="4"/>
        <v>0</v>
      </c>
      <c r="O37" s="1058">
        <f t="shared" si="1"/>
        <v>0</v>
      </c>
      <c r="P37" s="966"/>
      <c r="Q37" s="226"/>
    </row>
    <row r="38" spans="4:17" ht="15">
      <c r="D38" s="941" t="s">
        <v>1759</v>
      </c>
      <c r="E38" s="1042">
        <f>'UW Pro Forma CF'!C27</f>
        <v>378063.92</v>
      </c>
      <c r="F38" s="1041">
        <f>'UW Pro Forma CF'!E27</f>
        <v>369600</v>
      </c>
      <c r="G38" s="1041">
        <f>'UW Pro Forma CF'!F27</f>
        <v>388080</v>
      </c>
      <c r="H38" s="1041">
        <v>388047.24</v>
      </c>
      <c r="I38" s="1041">
        <v>435251.49000000005</v>
      </c>
      <c r="J38" s="408">
        <f>SUMIFS('Operating Statement'!Q:Q,'Operating Statement'!S:S,'Old OSAR'!D38)</f>
        <v>0</v>
      </c>
      <c r="K38" s="877">
        <f>J38</f>
        <v>0</v>
      </c>
      <c r="L38" s="521" t="str">
        <f>TEXT($J$21,0) &amp;" ended "&amp;TEXT($J$14,"MM/DD/YYYY")</f>
        <v>T10 ended 12/31/2025</v>
      </c>
      <c r="M38" s="79"/>
      <c r="N38" s="1050">
        <f t="shared" si="4"/>
        <v>-435251.49000000005</v>
      </c>
      <c r="O38" s="1058">
        <f t="shared" si="1"/>
        <v>-1</v>
      </c>
      <c r="P38" s="966"/>
      <c r="Q38" s="226"/>
    </row>
    <row r="39" spans="4:17" ht="15">
      <c r="D39" s="941" t="s">
        <v>1760</v>
      </c>
      <c r="E39" s="1042">
        <f>'UW Pro Forma CF'!C28</f>
        <v>358377.1</v>
      </c>
      <c r="F39" s="1041">
        <f>'UW Pro Forma CF'!E28</f>
        <v>377300</v>
      </c>
      <c r="G39" s="1041">
        <f>'UW Pro Forma CF'!F28</f>
        <v>396165</v>
      </c>
      <c r="H39" s="1041">
        <v>102901.92</v>
      </c>
      <c r="I39" s="1041">
        <v>276857.21999999997</v>
      </c>
      <c r="J39" s="408">
        <f>SUMIFS('Operating Statement'!Q:Q,'Operating Statement'!S:S,'Old OSAR'!D39)</f>
        <v>0</v>
      </c>
      <c r="K39" s="877">
        <f t="shared" ref="K39:K44" si="5">J39</f>
        <v>0</v>
      </c>
      <c r="L39" s="521" t="str">
        <f>TEXT($J$21,0) &amp;" ended "&amp;TEXT($J$14,"MM/DD/YYYY")</f>
        <v>T10 ended 12/31/2025</v>
      </c>
      <c r="M39" s="79"/>
      <c r="N39" s="1050">
        <f t="shared" si="4"/>
        <v>-276857.21999999997</v>
      </c>
      <c r="O39" s="1058">
        <f t="shared" si="1"/>
        <v>-1</v>
      </c>
      <c r="P39" s="967"/>
      <c r="Q39" s="226"/>
    </row>
    <row r="40" spans="4:17" ht="15">
      <c r="D40" s="940" t="s">
        <v>1741</v>
      </c>
      <c r="E40" s="1042">
        <f>'UW Pro Forma CF'!C29</f>
        <v>177498.39050000004</v>
      </c>
      <c r="F40" s="1041">
        <f>'UW Pro Forma CF'!E29</f>
        <v>169884.8160771988</v>
      </c>
      <c r="G40" s="1041">
        <f>'UW Pro Forma CF'!F29</f>
        <v>178736.53388446703</v>
      </c>
      <c r="H40" s="1041">
        <v>188251.8</v>
      </c>
      <c r="I40" s="1041">
        <v>170869.53750000001</v>
      </c>
      <c r="J40" s="408">
        <f>SUMIFS('Operating Statement'!Q:Q,'Operating Statement'!S:S,'Old OSAR'!D40)</f>
        <v>0</v>
      </c>
      <c r="K40" s="877" t="e">
        <f>+MAX(J40,L40*K32)</f>
        <v>#REF!</v>
      </c>
      <c r="L40" s="1039">
        <v>2.5000000000000001E-2</v>
      </c>
      <c r="M40" s="973"/>
      <c r="N40" s="1050" t="str">
        <f t="shared" si="4"/>
        <v>N/A</v>
      </c>
      <c r="O40" s="1058" t="str">
        <f t="shared" si="1"/>
        <v>N/A</v>
      </c>
      <c r="P40" s="966"/>
      <c r="Q40" s="226"/>
    </row>
    <row r="41" spans="4:17" ht="15">
      <c r="D41" s="941" t="s">
        <v>1761</v>
      </c>
      <c r="E41" s="1042">
        <f>'UW Pro Forma CF'!C30</f>
        <v>688888.3899999999</v>
      </c>
      <c r="F41" s="1041">
        <f>'UW Pro Forma CF'!E30</f>
        <v>646800</v>
      </c>
      <c r="G41" s="1041">
        <f>'UW Pro Forma CF'!F30</f>
        <v>679140</v>
      </c>
      <c r="H41" s="1041">
        <v>172441.56</v>
      </c>
      <c r="I41" s="1041">
        <v>431244.92999999993</v>
      </c>
      <c r="J41" s="408">
        <f>SUMIFS('Operating Statement'!Q:Q,'Operating Statement'!S:S,'Old OSAR'!D41)</f>
        <v>0</v>
      </c>
      <c r="K41" s="877">
        <f t="shared" si="5"/>
        <v>0</v>
      </c>
      <c r="L41" s="521" t="str">
        <f t="shared" ref="L41:L44" si="6">TEXT($J$21,0) &amp;" ended "&amp;TEXT($J$14,"MM/DD/YYYY")</f>
        <v>T10 ended 12/31/2025</v>
      </c>
      <c r="M41" s="79"/>
      <c r="N41" s="1050">
        <f t="shared" si="4"/>
        <v>-431244.92999999993</v>
      </c>
      <c r="O41" s="1058">
        <f t="shared" si="1"/>
        <v>-1</v>
      </c>
      <c r="P41" s="966"/>
      <c r="Q41" s="226"/>
    </row>
    <row r="42" spans="4:17" ht="15">
      <c r="D42" s="940" t="s">
        <v>1742</v>
      </c>
      <c r="E42" s="1042">
        <f>'UW Pro Forma CF'!C31</f>
        <v>265543.05999999994</v>
      </c>
      <c r="F42" s="1041">
        <f>'UW Pro Forma CF'!E31</f>
        <v>261800</v>
      </c>
      <c r="G42" s="1041">
        <f>'UW Pro Forma CF'!F31</f>
        <v>154000</v>
      </c>
      <c r="H42" s="1041">
        <v>17199.96</v>
      </c>
      <c r="I42" s="1041">
        <v>172875.81</v>
      </c>
      <c r="J42" s="408">
        <f>SUMIFS('Operating Statement'!Q:Q,'Operating Statement'!S:S,'Old OSAR'!D42)</f>
        <v>0</v>
      </c>
      <c r="K42" s="877">
        <f t="shared" si="5"/>
        <v>0</v>
      </c>
      <c r="L42" s="521" t="str">
        <f t="shared" si="6"/>
        <v>T10 ended 12/31/2025</v>
      </c>
      <c r="M42" s="79"/>
      <c r="N42" s="1050">
        <f t="shared" si="4"/>
        <v>-172875.81</v>
      </c>
      <c r="O42" s="1058">
        <f t="shared" si="1"/>
        <v>-1</v>
      </c>
      <c r="P42" s="966"/>
      <c r="Q42" s="226"/>
    </row>
    <row r="43" spans="4:17" ht="15">
      <c r="D43" s="940" t="s">
        <v>1743</v>
      </c>
      <c r="E43" s="1042">
        <f>'UW Pro Forma CF'!C32</f>
        <v>0</v>
      </c>
      <c r="F43" s="1041">
        <f>'UW Pro Forma CF'!E32</f>
        <v>0</v>
      </c>
      <c r="G43" s="1041">
        <f>'UW Pro Forma CF'!F32</f>
        <v>0</v>
      </c>
      <c r="H43" s="1041">
        <v>179175.12</v>
      </c>
      <c r="I43" s="1041">
        <v>27744.239999999998</v>
      </c>
      <c r="J43" s="408">
        <f>SUMIFS('Operating Statement'!Q:Q,'Operating Statement'!S:S,'Old OSAR'!D43)</f>
        <v>0</v>
      </c>
      <c r="K43" s="877">
        <f t="shared" si="5"/>
        <v>0</v>
      </c>
      <c r="L43" s="521" t="str">
        <f t="shared" si="6"/>
        <v>T10 ended 12/31/2025</v>
      </c>
      <c r="M43" s="79"/>
      <c r="N43" s="1050">
        <f t="shared" si="4"/>
        <v>-27744.239999999998</v>
      </c>
      <c r="O43" s="1058">
        <f t="shared" si="1"/>
        <v>-1</v>
      </c>
      <c r="P43" s="966"/>
      <c r="Q43" s="226"/>
    </row>
    <row r="44" spans="4:17" ht="15">
      <c r="D44" s="940" t="s">
        <v>1744</v>
      </c>
      <c r="E44" s="1042">
        <f>'UW Pro Forma CF'!C33</f>
        <v>122141.05999999998</v>
      </c>
      <c r="F44" s="1041">
        <f>'UW Pro Forma CF'!E33</f>
        <v>123200</v>
      </c>
      <c r="G44" s="1041">
        <f>'UW Pro Forma CF'!F33</f>
        <v>129360</v>
      </c>
      <c r="H44" s="1041">
        <v>198499.56</v>
      </c>
      <c r="I44" s="1041">
        <v>116703</v>
      </c>
      <c r="J44" s="408">
        <f>SUMIFS('Operating Statement'!Q:Q,'Operating Statement'!S:S,'Old OSAR'!D44)</f>
        <v>0</v>
      </c>
      <c r="K44" s="877">
        <f t="shared" si="5"/>
        <v>0</v>
      </c>
      <c r="L44" s="521" t="str">
        <f t="shared" si="6"/>
        <v>T10 ended 12/31/2025</v>
      </c>
      <c r="M44" s="79"/>
      <c r="N44" s="1050">
        <f t="shared" si="4"/>
        <v>-116703</v>
      </c>
      <c r="O44" s="1058">
        <f t="shared" si="1"/>
        <v>-1</v>
      </c>
      <c r="P44" s="966"/>
      <c r="Q44" s="226"/>
    </row>
    <row r="45" spans="4:17" ht="15">
      <c r="D45" s="940" t="s">
        <v>1745</v>
      </c>
      <c r="E45" s="1042">
        <f>'UW Pro Forma CF'!C34</f>
        <v>59939.109999999986</v>
      </c>
      <c r="F45" s="1041"/>
      <c r="G45" s="1041"/>
      <c r="H45" s="1041"/>
      <c r="I45" s="1041"/>
      <c r="J45" s="408"/>
      <c r="K45" s="408"/>
      <c r="L45" s="521"/>
      <c r="M45" s="79"/>
      <c r="N45" s="1050">
        <f t="shared" si="4"/>
        <v>0</v>
      </c>
      <c r="O45" s="1058" t="str">
        <f t="shared" si="1"/>
        <v>N/A</v>
      </c>
      <c r="P45" s="960"/>
      <c r="Q45" s="226"/>
    </row>
    <row r="46" spans="4:17" ht="15">
      <c r="D46" s="940" t="s">
        <v>1746</v>
      </c>
      <c r="E46" s="1042"/>
      <c r="F46" s="1041"/>
      <c r="G46" s="1041"/>
      <c r="H46" s="1041"/>
      <c r="I46" s="1041"/>
      <c r="J46" s="408"/>
      <c r="K46" s="408"/>
      <c r="L46" s="523"/>
      <c r="M46" s="88"/>
      <c r="N46" s="1050">
        <f t="shared" si="4"/>
        <v>0</v>
      </c>
      <c r="O46" s="1058" t="str">
        <f t="shared" si="1"/>
        <v>N/A</v>
      </c>
      <c r="P46" s="964"/>
      <c r="Q46" s="226"/>
    </row>
    <row r="47" spans="4:17" ht="15">
      <c r="D47" s="46" t="s">
        <v>356</v>
      </c>
      <c r="E47" s="131">
        <f>'UW Pro Forma CF'!C36</f>
        <v>3751094.6074349</v>
      </c>
      <c r="F47" s="952">
        <f>'UW Pro Forma CF'!E36</f>
        <v>3648220.3557585198</v>
      </c>
      <c r="G47" s="952">
        <f>'UW Pro Forma CF'!F36</f>
        <v>3681244.171832209</v>
      </c>
      <c r="H47" s="952">
        <v>2641379.8000000003</v>
      </c>
      <c r="I47" s="952">
        <v>3296577.5875000008</v>
      </c>
      <c r="J47" s="948">
        <f>SUM(J36:J46)</f>
        <v>0</v>
      </c>
      <c r="K47" s="220" t="e">
        <f>SUM(K36:K46)</f>
        <v>#REF!</v>
      </c>
      <c r="L47" s="88"/>
      <c r="M47" s="88"/>
      <c r="N47" s="1050" t="str">
        <f t="shared" si="4"/>
        <v>N/A</v>
      </c>
      <c r="O47" s="1058" t="str">
        <f t="shared" si="1"/>
        <v>N/A</v>
      </c>
      <c r="P47" s="964"/>
      <c r="Q47" s="226"/>
    </row>
    <row r="48" spans="4:17" ht="15">
      <c r="D48" s="41"/>
      <c r="E48" s="51"/>
      <c r="F48" s="417"/>
      <c r="G48" s="417"/>
      <c r="H48" s="417"/>
      <c r="I48" s="417"/>
      <c r="J48" s="45"/>
      <c r="K48" s="109"/>
      <c r="L48" s="79"/>
      <c r="M48" s="79"/>
      <c r="N48" s="998"/>
      <c r="O48" s="1064"/>
      <c r="P48" s="226"/>
      <c r="Q48" s="226"/>
    </row>
    <row r="49" spans="4:17" ht="15">
      <c r="D49" s="34" t="s">
        <v>47</v>
      </c>
      <c r="E49" s="52">
        <f>'UW Pro Forma CF'!C38</f>
        <v>0.52832797481548144</v>
      </c>
      <c r="F49" s="396">
        <f>'UW Pro Forma CF'!E38</f>
        <v>0.53686674889483665</v>
      </c>
      <c r="G49" s="396">
        <f>'UW Pro Forma CF'!F38</f>
        <v>0.51489811453596235</v>
      </c>
      <c r="H49" s="396">
        <v>0.36521038499585801</v>
      </c>
      <c r="I49" s="396">
        <v>0.4823237710671513</v>
      </c>
      <c r="J49" s="74" t="e">
        <f>J47/J32</f>
        <v>#DIV/0!</v>
      </c>
      <c r="K49" s="74" t="e">
        <f>K47/K32</f>
        <v>#REF!</v>
      </c>
      <c r="L49" s="524"/>
      <c r="M49" s="581"/>
      <c r="N49" s="956"/>
      <c r="O49" s="1065"/>
      <c r="P49" s="226"/>
      <c r="Q49" s="226"/>
    </row>
    <row r="50" spans="4:17" ht="15">
      <c r="D50" s="41"/>
      <c r="E50" s="51"/>
      <c r="F50" s="417"/>
      <c r="G50" s="417"/>
      <c r="H50" s="417"/>
      <c r="I50" s="417"/>
      <c r="J50" s="53"/>
      <c r="K50" s="53"/>
      <c r="L50" s="82"/>
      <c r="M50" s="82"/>
      <c r="N50" s="1072"/>
      <c r="O50" s="1066"/>
      <c r="P50" s="960"/>
    </row>
    <row r="51" spans="4:17" ht="15">
      <c r="D51" s="46" t="s">
        <v>48</v>
      </c>
      <c r="E51" s="131">
        <f>'UW Pro Forma CF'!C40</f>
        <v>3348841.012565101</v>
      </c>
      <c r="F51" s="859">
        <f>'UW Pro Forma CF'!E40</f>
        <v>3147172.2873294316</v>
      </c>
      <c r="G51" s="859">
        <f>'UW Pro Forma CF'!F40</f>
        <v>3468217.1835464728</v>
      </c>
      <c r="H51" s="859">
        <v>4591108.4000000004</v>
      </c>
      <c r="I51" s="859">
        <v>3538203.9124999992</v>
      </c>
      <c r="J51" s="1105">
        <f>J32-J47</f>
        <v>0</v>
      </c>
      <c r="K51" s="131" t="e">
        <f>K32-K47</f>
        <v>#REF!</v>
      </c>
      <c r="L51" s="525"/>
      <c r="M51" s="582"/>
      <c r="N51" s="1050" t="str">
        <f>IFERROR(K51-I51,"N/A")</f>
        <v>N/A</v>
      </c>
      <c r="O51" s="1067" t="str">
        <f t="shared" si="1"/>
        <v>N/A</v>
      </c>
      <c r="P51" s="964"/>
      <c r="Q51" s="145"/>
    </row>
    <row r="52" spans="4:17" ht="15">
      <c r="D52" s="46"/>
      <c r="E52" s="77"/>
      <c r="F52" s="860"/>
      <c r="G52" s="860"/>
      <c r="H52" s="860"/>
      <c r="I52" s="860"/>
      <c r="J52" s="45"/>
      <c r="K52" s="45"/>
      <c r="L52" s="79"/>
      <c r="M52" s="79"/>
      <c r="N52" s="968"/>
      <c r="O52" s="968"/>
      <c r="P52" s="145"/>
    </row>
    <row r="53" spans="4:17" ht="15">
      <c r="D53" s="55" t="s">
        <v>49</v>
      </c>
      <c r="E53" s="577">
        <f>'UW Pro Forma CF'!C42</f>
        <v>61600</v>
      </c>
      <c r="F53" s="861">
        <f>'UW Pro Forma CF'!E42</f>
        <v>61600</v>
      </c>
      <c r="G53" s="861">
        <f>'UW Pro Forma CF'!F42</f>
        <v>61600</v>
      </c>
      <c r="H53" s="861">
        <v>61600</v>
      </c>
      <c r="I53" s="861">
        <v>61600</v>
      </c>
      <c r="J53" s="1043">
        <f>K53</f>
        <v>61600</v>
      </c>
      <c r="K53" s="1043">
        <f>L53*E11</f>
        <v>61600</v>
      </c>
      <c r="L53" s="1046">
        <v>200</v>
      </c>
      <c r="M53" s="79"/>
      <c r="N53" s="989"/>
      <c r="O53" s="989"/>
    </row>
    <row r="54" spans="4:17" ht="15">
      <c r="D54" s="55" t="s">
        <v>50</v>
      </c>
      <c r="E54" s="132"/>
      <c r="F54" s="862"/>
      <c r="G54" s="862"/>
      <c r="H54" s="862"/>
      <c r="I54" s="862"/>
      <c r="J54" s="132"/>
      <c r="K54" s="132"/>
      <c r="L54" s="526"/>
      <c r="M54" s="583"/>
      <c r="N54" s="990"/>
      <c r="O54" s="990"/>
    </row>
    <row r="55" spans="4:17" ht="15">
      <c r="D55" s="56" t="s">
        <v>51</v>
      </c>
      <c r="E55" s="133">
        <f>'UW Pro Forma CF'!C44</f>
        <v>61600</v>
      </c>
      <c r="F55" s="863">
        <f>'UW Pro Forma CF'!E44</f>
        <v>61600</v>
      </c>
      <c r="G55" s="863">
        <f>'UW Pro Forma CF'!F44</f>
        <v>61600</v>
      </c>
      <c r="H55" s="863">
        <v>61600</v>
      </c>
      <c r="I55" s="863">
        <v>61600</v>
      </c>
      <c r="J55" s="133">
        <f>SUM(J53:J54)</f>
        <v>61600</v>
      </c>
      <c r="K55" s="987">
        <f>SUM(K53:K54)</f>
        <v>61600</v>
      </c>
      <c r="L55" s="986"/>
      <c r="M55" s="584"/>
      <c r="N55" s="991"/>
      <c r="O55" s="991"/>
    </row>
    <row r="56" spans="4:17" ht="15">
      <c r="D56" s="46"/>
      <c r="E56" s="78"/>
      <c r="F56" s="864"/>
      <c r="G56" s="864"/>
      <c r="H56" s="864"/>
      <c r="I56" s="864"/>
      <c r="J56" s="57"/>
      <c r="K56" s="975"/>
      <c r="L56" s="976"/>
      <c r="M56" s="88"/>
      <c r="N56" s="992"/>
      <c r="O56" s="992"/>
    </row>
    <row r="57" spans="4:17" ht="15">
      <c r="D57" s="56" t="s">
        <v>52</v>
      </c>
      <c r="E57" s="127">
        <f>'UW Pro Forma CF'!C46</f>
        <v>3287241.012565101</v>
      </c>
      <c r="F57" s="220">
        <f>'UW Pro Forma CF'!E46</f>
        <v>3085572.2873294316</v>
      </c>
      <c r="G57" s="220">
        <f>'UW Pro Forma CF'!F46</f>
        <v>3406617.1835464728</v>
      </c>
      <c r="H57" s="220">
        <v>4529508.4000000004</v>
      </c>
      <c r="I57" s="220">
        <v>3476603.9124999992</v>
      </c>
      <c r="J57" s="133">
        <f>J51-J55</f>
        <v>-61600</v>
      </c>
      <c r="K57" s="133" t="e">
        <f>K51-K55</f>
        <v>#REF!</v>
      </c>
      <c r="L57" s="986"/>
      <c r="M57" s="584"/>
      <c r="N57" s="993"/>
      <c r="O57" s="994"/>
    </row>
    <row r="58" spans="4:17" ht="15">
      <c r="D58" s="33"/>
      <c r="E58" s="33"/>
      <c r="F58" s="865"/>
      <c r="G58" s="865"/>
      <c r="H58" s="865"/>
      <c r="I58" s="865"/>
      <c r="J58" s="33"/>
      <c r="K58" s="981"/>
      <c r="L58" s="982"/>
      <c r="M58" s="66"/>
      <c r="N58" s="554"/>
      <c r="O58" s="554"/>
      <c r="P58" s="970"/>
      <c r="Q58" s="970"/>
    </row>
    <row r="59" spans="4:17" ht="15">
      <c r="D59" s="34" t="s">
        <v>53</v>
      </c>
      <c r="E59" s="127">
        <f>'UW Pro Forma CF'!C48</f>
        <v>3102916.4997299998</v>
      </c>
      <c r="F59" s="220">
        <f>'UW Pro Forma CF'!E48</f>
        <v>2962470.6125462544</v>
      </c>
      <c r="G59" s="220">
        <f>'UW Pro Forma CF'!F48</f>
        <v>2818742.7098348504</v>
      </c>
      <c r="H59" s="220">
        <v>3144495.1843580552</v>
      </c>
      <c r="I59" s="220">
        <v>3138899.5543015273</v>
      </c>
      <c r="J59" s="1111">
        <f>'Operating Statement'!Q183</f>
        <v>160683.33600000004</v>
      </c>
      <c r="K59" s="974">
        <f>'DSCR Calc'!H16</f>
        <v>2863478.1265611108</v>
      </c>
      <c r="L59" s="984" t="str">
        <f>"S+"&amp;TEXT('DSCR Calc'!H10*10000,"000")&amp;", SOFR as of "&amp;TEXT($J$14,"MM/DD/YYYY")</f>
        <v>S+225, SOFR as of 12/31/2025</v>
      </c>
      <c r="M59" s="79"/>
      <c r="N59" s="993"/>
      <c r="O59" s="994"/>
      <c r="P59" s="65"/>
      <c r="Q59" s="65"/>
    </row>
    <row r="60" spans="4:17" ht="13.5" customHeight="1">
      <c r="D60" s="34"/>
      <c r="E60" s="58"/>
      <c r="F60" s="866"/>
      <c r="G60" s="866"/>
      <c r="H60" s="866"/>
      <c r="I60" s="866"/>
      <c r="J60" s="58"/>
      <c r="K60" s="977"/>
      <c r="L60" s="978"/>
      <c r="M60" s="88"/>
      <c r="N60" s="969"/>
      <c r="O60" s="969"/>
    </row>
    <row r="61" spans="4:17" ht="15">
      <c r="D61" s="34" t="s">
        <v>54</v>
      </c>
      <c r="E61" s="127">
        <f>'UW Pro Forma CF'!C52</f>
        <v>184324.51283510122</v>
      </c>
      <c r="F61" s="220">
        <f>'UW Pro Forma CF'!E52</f>
        <v>123101.67478317721</v>
      </c>
      <c r="G61" s="220">
        <f>'UW Pro Forma CF'!F52</f>
        <v>587874.47371162241</v>
      </c>
      <c r="H61" s="220">
        <v>1385013.2156419451</v>
      </c>
      <c r="I61" s="220">
        <v>337704.35819847183</v>
      </c>
      <c r="J61" s="127">
        <f>J57-J59</f>
        <v>-222283.33600000004</v>
      </c>
      <c r="K61" s="127" t="e">
        <f>K57-K59</f>
        <v>#REF!</v>
      </c>
      <c r="L61" s="985"/>
      <c r="M61" s="88"/>
      <c r="N61" s="995"/>
      <c r="O61" s="993"/>
    </row>
    <row r="62" spans="4:17" ht="15">
      <c r="D62" s="34"/>
      <c r="E62" s="57"/>
      <c r="F62" s="414"/>
      <c r="G62" s="414"/>
      <c r="H62" s="414"/>
      <c r="I62" s="414"/>
      <c r="J62" s="57"/>
      <c r="K62" s="975"/>
      <c r="L62" s="978"/>
      <c r="M62" s="88"/>
      <c r="N62" s="992"/>
      <c r="O62" s="992"/>
    </row>
    <row r="63" spans="4:17" ht="15">
      <c r="D63" s="46" t="s">
        <v>451</v>
      </c>
      <c r="E63" s="855">
        <f>'UW Pro Forma CF'!C54</f>
        <v>1.0594036329534295</v>
      </c>
      <c r="F63" s="192">
        <f>'UW Pro Forma CF'!E54</f>
        <v>1.0415537201489302</v>
      </c>
      <c r="G63" s="192">
        <f>'UW Pro Forma CF'!F54</f>
        <v>1.2085591110038085</v>
      </c>
      <c r="H63" s="192">
        <v>1.4600462493432851</v>
      </c>
      <c r="I63" s="192">
        <v>1.1272115756782557</v>
      </c>
      <c r="J63" s="75">
        <f>J51/J59</f>
        <v>0</v>
      </c>
      <c r="K63" s="75" t="e">
        <f>K51/K59</f>
        <v>#REF!</v>
      </c>
      <c r="L63" s="985"/>
      <c r="M63" s="88"/>
      <c r="N63" s="996"/>
      <c r="O63" s="997"/>
      <c r="Q63" s="972"/>
    </row>
    <row r="64" spans="4:17" ht="15">
      <c r="D64" s="46"/>
      <c r="E64" s="856"/>
      <c r="F64" s="415"/>
      <c r="G64" s="415"/>
      <c r="H64" s="415"/>
      <c r="I64" s="415"/>
      <c r="J64" s="87"/>
      <c r="K64" s="979"/>
      <c r="L64" s="978"/>
      <c r="M64" s="88"/>
      <c r="N64" s="971"/>
      <c r="O64" s="971"/>
    </row>
    <row r="65" spans="4:15" ht="15" collapsed="1">
      <c r="D65" s="46" t="s">
        <v>452</v>
      </c>
      <c r="E65" s="855">
        <f>'UW Pro Forma CF'!C56</f>
        <v>1.25</v>
      </c>
      <c r="F65" s="192">
        <f>'UW Pro Forma CF'!E56</f>
        <v>1.25</v>
      </c>
      <c r="G65" s="192">
        <f>'UW Pro Forma CF'!F56</f>
        <v>1.2500000000000004</v>
      </c>
      <c r="H65" s="192">
        <v>1.2209978065508318</v>
      </c>
      <c r="I65" s="192">
        <v>1.1075868635986406</v>
      </c>
      <c r="J65" s="75">
        <f>+J57/'DSCR Calc'!$H$17</f>
        <v>-2.1512299824681537E-2</v>
      </c>
      <c r="K65" s="75">
        <f>'DSCR Calc'!H20</f>
        <v>1.0384200813054618</v>
      </c>
      <c r="L65" s="984" t="s">
        <v>453</v>
      </c>
      <c r="M65" s="79"/>
      <c r="N65" s="997"/>
      <c r="O65" s="997"/>
    </row>
    <row r="66" spans="4:15" ht="15">
      <c r="D66" s="46"/>
      <c r="E66" s="856"/>
      <c r="F66" s="415"/>
      <c r="G66" s="415"/>
      <c r="H66" s="415"/>
      <c r="I66" s="415"/>
      <c r="J66" s="87"/>
      <c r="K66" s="87"/>
      <c r="L66" s="978"/>
      <c r="M66" s="88"/>
      <c r="N66" s="971"/>
      <c r="O66" s="971"/>
    </row>
    <row r="67" spans="4:15" ht="15">
      <c r="D67" s="46" t="s">
        <v>317</v>
      </c>
      <c r="E67" s="948">
        <v>47211100</v>
      </c>
      <c r="F67" s="948">
        <v>49923199.783549763</v>
      </c>
      <c r="G67" s="948">
        <v>52018865.584415533</v>
      </c>
      <c r="H67" s="948">
        <v>46577657.374249756</v>
      </c>
      <c r="I67" s="948">
        <v>47211099.999999993</v>
      </c>
      <c r="J67" s="948">
        <f>E6</f>
        <v>47626516</v>
      </c>
      <c r="K67" s="948">
        <f>J67</f>
        <v>47626516</v>
      </c>
      <c r="L67" s="985"/>
      <c r="M67" s="585"/>
      <c r="N67" s="1153">
        <f>K67-I67</f>
        <v>415416.00000000745</v>
      </c>
      <c r="O67" s="1154">
        <f>N67/I67</f>
        <v>8.7991171567704946E-3</v>
      </c>
    </row>
    <row r="68" spans="4:15" ht="15">
      <c r="D68" s="46"/>
      <c r="E68" s="856"/>
      <c r="F68" s="415"/>
      <c r="G68" s="415"/>
      <c r="H68" s="415"/>
      <c r="I68" s="415"/>
      <c r="J68" s="87"/>
      <c r="K68" s="87"/>
      <c r="L68" s="978"/>
      <c r="N68" s="997"/>
      <c r="O68" s="997"/>
    </row>
    <row r="69" spans="4:15">
      <c r="D69" s="46" t="s">
        <v>454</v>
      </c>
      <c r="E69" s="1152">
        <f>E57/E67</f>
        <v>6.9628562193321086E-2</v>
      </c>
      <c r="F69" s="1152">
        <f t="shared" ref="F69:I69" si="7">F57/F67</f>
        <v>6.1806380614773039E-2</v>
      </c>
      <c r="G69" s="1152">
        <f t="shared" si="7"/>
        <v>6.5488109847729362E-2</v>
      </c>
      <c r="H69" s="1152">
        <f t="shared" si="7"/>
        <v>9.724637638182547E-2</v>
      </c>
      <c r="I69" s="1152">
        <f t="shared" si="7"/>
        <v>7.3639544778664329E-2</v>
      </c>
      <c r="J69" s="1147">
        <f>J57/($E$6)</f>
        <v>-1.2933971487647763E-3</v>
      </c>
      <c r="K69" s="1147" t="e">
        <f>K57/$E$6</f>
        <v>#REF!</v>
      </c>
      <c r="L69" s="980">
        <v>6.5000000000000002E-2</v>
      </c>
      <c r="M69" s="58"/>
      <c r="N69" s="58"/>
    </row>
    <row r="70" spans="4:15">
      <c r="D70" s="46"/>
      <c r="E70" s="57"/>
      <c r="F70" s="57"/>
      <c r="G70" s="57"/>
      <c r="H70" s="57"/>
      <c r="I70" s="57"/>
      <c r="J70" s="62"/>
      <c r="K70" s="58"/>
      <c r="L70" s="58"/>
      <c r="M70" s="33"/>
      <c r="N70" s="33"/>
    </row>
    <row r="71" spans="4:15">
      <c r="D71" s="54" t="s">
        <v>55</v>
      </c>
      <c r="E71" s="38"/>
      <c r="F71" s="38"/>
      <c r="G71" s="38"/>
      <c r="H71" s="38"/>
      <c r="I71" s="38"/>
      <c r="J71" s="38"/>
      <c r="K71" s="33"/>
      <c r="L71" s="33"/>
      <c r="M71" s="33"/>
      <c r="N71" s="33"/>
    </row>
    <row r="72" spans="4:15">
      <c r="D72" s="54"/>
      <c r="E72" s="33"/>
      <c r="F72" s="33"/>
      <c r="G72" s="33"/>
      <c r="H72" s="33"/>
      <c r="I72" s="33"/>
      <c r="J72" s="33"/>
      <c r="K72" s="33"/>
      <c r="L72" s="33"/>
      <c r="M72" s="33"/>
      <c r="N72" s="33"/>
    </row>
    <row r="73" spans="4:15" ht="13.5" thickBot="1">
      <c r="D73" s="59"/>
      <c r="E73" s="60"/>
      <c r="F73" s="61"/>
      <c r="G73" s="61"/>
      <c r="H73" s="61"/>
      <c r="I73" s="71"/>
      <c r="J73" s="61"/>
      <c r="K73" s="61"/>
      <c r="L73" s="33"/>
    </row>
    <row r="74" spans="4:15">
      <c r="L74" s="1100"/>
      <c r="M74" s="33"/>
      <c r="N74" s="33"/>
    </row>
    <row r="75" spans="4:15" ht="14.25">
      <c r="D75" s="56"/>
      <c r="E75" s="33"/>
      <c r="F75" s="33"/>
      <c r="G75" s="33"/>
      <c r="H75" s="33"/>
      <c r="I75" s="33"/>
      <c r="J75" s="33"/>
      <c r="K75" s="33"/>
      <c r="L75" s="33"/>
      <c r="M75" s="515"/>
      <c r="N75" s="515"/>
    </row>
    <row r="76" spans="4:15" ht="14.25">
      <c r="D76" s="1344"/>
      <c r="E76" s="1344"/>
      <c r="F76" s="1344"/>
      <c r="G76" s="1344"/>
      <c r="H76" s="1344"/>
      <c r="I76" s="1344"/>
      <c r="J76" s="1344"/>
      <c r="K76" s="1344"/>
      <c r="L76" s="515"/>
      <c r="M76" s="515"/>
      <c r="N76" s="515"/>
    </row>
    <row r="77" spans="4:15" ht="14.25">
      <c r="D77" s="1344"/>
      <c r="E77" s="1344"/>
      <c r="F77" s="1344"/>
      <c r="G77" s="1344"/>
      <c r="H77" s="1344"/>
      <c r="I77" s="1344"/>
      <c r="J77" s="1344"/>
      <c r="K77" s="1344"/>
      <c r="L77" s="515"/>
      <c r="M77" s="515"/>
      <c r="N77" s="515"/>
    </row>
    <row r="78" spans="4:15" ht="14.25">
      <c r="D78" s="1344"/>
      <c r="E78" s="1344"/>
      <c r="F78" s="1344"/>
      <c r="G78" s="1344"/>
      <c r="H78" s="1344"/>
      <c r="I78" s="1344"/>
      <c r="J78" s="1344"/>
      <c r="K78" s="1344"/>
      <c r="L78" s="515"/>
      <c r="M78" s="515"/>
      <c r="N78" s="515"/>
    </row>
    <row r="79" spans="4:15" ht="14.25">
      <c r="D79" s="1344"/>
      <c r="E79" s="1344"/>
      <c r="F79" s="1344"/>
      <c r="G79" s="1344"/>
      <c r="H79" s="1344"/>
      <c r="I79" s="1344"/>
      <c r="J79" s="1344"/>
      <c r="K79" s="1344"/>
      <c r="L79" s="515"/>
      <c r="M79" s="515"/>
      <c r="N79" s="515"/>
    </row>
    <row r="80" spans="4:15" ht="14.25">
      <c r="D80" s="1344"/>
      <c r="E80" s="1344"/>
      <c r="F80" s="1344"/>
      <c r="G80" s="1344"/>
      <c r="H80" s="1344"/>
      <c r="I80" s="1344"/>
      <c r="J80" s="1344"/>
      <c r="K80" s="1344"/>
      <c r="L80" s="515"/>
    </row>
  </sheetData>
  <mergeCells count="9">
    <mergeCell ref="N21:O21"/>
    <mergeCell ref="D76:K80"/>
    <mergeCell ref="D1:K1"/>
    <mergeCell ref="D2:K2"/>
    <mergeCell ref="D3:K3"/>
    <mergeCell ref="H4:I4"/>
    <mergeCell ref="E8:I8"/>
    <mergeCell ref="E9:I9"/>
    <mergeCell ref="E10:I10"/>
  </mergeCells>
  <phoneticPr fontId="33" type="noConversion"/>
  <conditionalFormatting sqref="D1:N10 D11:M11 D12:N19 D20:O20 D21:N21 D22:M65 N22:O68">
    <cfRule type="expression" dxfId="51" priority="12">
      <formula>$A$2=1</formula>
    </cfRule>
  </conditionalFormatting>
  <conditionalFormatting sqref="E67:L67">
    <cfRule type="expression" dxfId="50" priority="1">
      <formula>$A$2=1</formula>
    </cfRule>
  </conditionalFormatting>
  <conditionalFormatting sqref="J69:K69">
    <cfRule type="cellIs" dxfId="49" priority="65" operator="lessThan">
      <formula>$L$69</formula>
    </cfRule>
  </conditionalFormatting>
  <conditionalFormatting sqref="K24">
    <cfRule type="expression" dxfId="48" priority="62">
      <formula>#REF!=1</formula>
    </cfRule>
  </conditionalFormatting>
  <dataValidations count="2">
    <dataValidation type="list" allowBlank="1" showInputMessage="1" showErrorMessage="1" sqref="Q59" xr:uid="{C6ADF600-21B3-40D2-8576-C4688FF0D23F}">
      <formula1>"3.00%, =Benchmark"</formula1>
    </dataValidation>
    <dataValidation type="list" allowBlank="1" showInputMessage="1" showErrorMessage="1" sqref="A2" xr:uid="{A5A112E5-0AC1-4FBB-833E-2F1F828219C3}">
      <formula1>"0,1"</formula1>
    </dataValidation>
  </dataValidations>
  <pageMargins left="0.75" right="0.25" top="0.5" bottom="0.63" header="0.5" footer="0.32"/>
  <pageSetup scale="44" firstPageNumber="75" orientation="portrait" useFirstPageNumber="1"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00CF-0354-4C4C-A790-187DDD359B36}">
  <dimension ref="A1:I43"/>
  <sheetViews>
    <sheetView showGridLines="0" zoomScale="110" zoomScaleNormal="110" workbookViewId="0">
      <selection activeCell="H6" sqref="H6"/>
    </sheetView>
  </sheetViews>
  <sheetFormatPr defaultRowHeight="12.75"/>
  <cols>
    <col min="1" max="1" width="4.28515625" customWidth="1"/>
    <col min="2" max="2" width="31.7109375" customWidth="1"/>
    <col min="3" max="3" width="20.28515625" customWidth="1"/>
    <col min="4" max="4" width="16.7109375" customWidth="1"/>
    <col min="5" max="5" width="15.85546875" customWidth="1"/>
    <col min="6" max="6" width="15.140625" customWidth="1"/>
    <col min="7" max="7" width="16.28515625" customWidth="1"/>
    <col min="8" max="8" width="13.28515625" customWidth="1"/>
    <col min="9" max="9" width="10.7109375" bestFit="1" customWidth="1"/>
  </cols>
  <sheetData>
    <row r="1" spans="1:8">
      <c r="A1" s="884">
        <v>0</v>
      </c>
      <c r="G1" s="1278" t="s">
        <v>2195</v>
      </c>
      <c r="H1" s="1278" t="s">
        <v>1915</v>
      </c>
    </row>
    <row r="2" spans="1:8">
      <c r="B2" s="195"/>
      <c r="C2" s="1274"/>
      <c r="D2" s="1274"/>
      <c r="E2" s="1274"/>
      <c r="F2" s="196"/>
      <c r="G2" s="196" t="s">
        <v>1956</v>
      </c>
      <c r="H2" s="211" t="s">
        <v>2295</v>
      </c>
    </row>
    <row r="3" spans="1:8">
      <c r="B3" s="197"/>
      <c r="C3" s="1275"/>
      <c r="D3" s="1275"/>
      <c r="E3" s="1275"/>
      <c r="F3" s="212"/>
      <c r="G3" s="212">
        <v>46022</v>
      </c>
      <c r="H3" s="1074">
        <f>'MF OSAR'!F6</f>
        <v>46112</v>
      </c>
    </row>
    <row r="4" spans="1:8">
      <c r="B4" s="198"/>
      <c r="C4" s="213"/>
      <c r="D4" s="213"/>
      <c r="E4" s="213"/>
      <c r="F4" s="213"/>
      <c r="G4" s="213"/>
      <c r="H4" s="199"/>
    </row>
    <row r="5" spans="1:8">
      <c r="B5" s="200" t="s">
        <v>317</v>
      </c>
      <c r="C5" s="34"/>
      <c r="D5" s="34"/>
      <c r="E5" s="34"/>
      <c r="F5" s="214"/>
      <c r="G5" s="214">
        <v>47626516</v>
      </c>
      <c r="H5" s="253">
        <f>+G5</f>
        <v>47626516</v>
      </c>
    </row>
    <row r="6" spans="1:8">
      <c r="B6" s="203" t="s">
        <v>188</v>
      </c>
      <c r="C6" s="41"/>
      <c r="D6" s="41"/>
      <c r="E6" s="41"/>
      <c r="F6" s="318"/>
      <c r="G6" s="318">
        <v>0.88959999999999995</v>
      </c>
      <c r="H6" s="1055">
        <f>'MF OSAR'!I16</f>
        <v>0.86040000000000005</v>
      </c>
    </row>
    <row r="7" spans="1:8">
      <c r="B7" s="198"/>
      <c r="C7" s="213"/>
      <c r="D7" s="213"/>
      <c r="E7" s="213"/>
      <c r="F7" s="213"/>
      <c r="G7" s="213"/>
      <c r="H7" s="199"/>
    </row>
    <row r="8" spans="1:8">
      <c r="B8" s="202" t="s">
        <v>373</v>
      </c>
      <c r="C8" s="55"/>
      <c r="D8" s="55"/>
      <c r="E8" s="55"/>
      <c r="F8" s="194"/>
      <c r="G8" s="194">
        <v>5.5E-2</v>
      </c>
      <c r="H8" s="254">
        <v>5.5E-2</v>
      </c>
    </row>
    <row r="9" spans="1:8">
      <c r="B9" s="202" t="s">
        <v>369</v>
      </c>
      <c r="C9" s="55"/>
      <c r="D9" s="55"/>
      <c r="E9" s="55"/>
      <c r="F9" s="194"/>
      <c r="G9" s="194">
        <v>3.7865900000000001E-2</v>
      </c>
      <c r="H9" s="1073">
        <v>3.6799999999999999E-2</v>
      </c>
    </row>
    <row r="10" spans="1:8">
      <c r="B10" s="202" t="s">
        <v>195</v>
      </c>
      <c r="C10" s="55"/>
      <c r="D10" s="55"/>
      <c r="E10" s="55"/>
      <c r="F10" s="194"/>
      <c r="G10" s="194">
        <v>2.2499999999999999E-2</v>
      </c>
      <c r="H10" s="1073">
        <v>2.2499999999999999E-2</v>
      </c>
    </row>
    <row r="11" spans="1:8">
      <c r="B11" s="203" t="s">
        <v>213</v>
      </c>
      <c r="C11" s="41"/>
      <c r="D11" s="41"/>
      <c r="E11" s="41"/>
      <c r="F11" s="191"/>
      <c r="G11" s="191">
        <v>6.03659E-2</v>
      </c>
      <c r="H11" s="204">
        <f t="shared" ref="H11" si="0">H9+H10</f>
        <v>5.9299999999999999E-2</v>
      </c>
    </row>
    <row r="12" spans="1:8">
      <c r="B12" s="200" t="s">
        <v>372</v>
      </c>
      <c r="C12" s="34"/>
      <c r="D12" s="34"/>
      <c r="E12" s="34"/>
      <c r="F12" s="190"/>
      <c r="G12" s="190">
        <v>6.03659E-2</v>
      </c>
      <c r="H12" s="205">
        <f>MIN(H8,H9)+H10</f>
        <v>5.9299999999999999E-2</v>
      </c>
    </row>
    <row r="13" spans="1:8">
      <c r="B13" s="198"/>
      <c r="C13" s="213"/>
      <c r="D13" s="213"/>
      <c r="E13" s="213"/>
      <c r="F13" s="213"/>
      <c r="G13" s="213"/>
      <c r="H13" s="199"/>
    </row>
    <row r="14" spans="1:8">
      <c r="B14" s="202" t="s">
        <v>357</v>
      </c>
      <c r="C14" s="55"/>
      <c r="D14" s="55"/>
      <c r="E14" s="55"/>
      <c r="F14" s="239"/>
      <c r="G14" s="239">
        <v>3337238.6802142854</v>
      </c>
      <c r="H14" s="210">
        <f>'MF OSAR'!I57</f>
        <v>2973493.1890000002</v>
      </c>
    </row>
    <row r="15" spans="1:8">
      <c r="B15" s="198"/>
      <c r="C15" s="213"/>
      <c r="D15" s="213"/>
      <c r="E15" s="213"/>
      <c r="F15" s="213"/>
      <c r="G15" s="213"/>
      <c r="H15" s="199"/>
    </row>
    <row r="16" spans="1:8">
      <c r="B16" s="202" t="s">
        <v>474</v>
      </c>
      <c r="C16" s="55"/>
      <c r="D16" s="55"/>
      <c r="E16" s="55"/>
      <c r="F16" s="126"/>
      <c r="G16" s="126">
        <v>2914948.3008461278</v>
      </c>
      <c r="H16" s="206">
        <f>(H5*H11)*(365/360)</f>
        <v>2863478.1265611108</v>
      </c>
    </row>
    <row r="17" spans="2:9">
      <c r="B17" s="207" t="s">
        <v>475</v>
      </c>
      <c r="C17" s="56"/>
      <c r="D17" s="56"/>
      <c r="E17" s="56"/>
      <c r="F17" s="51"/>
      <c r="G17" s="51">
        <v>2914948.3008461278</v>
      </c>
      <c r="H17" s="201">
        <f>(H5*H12)*(365/360)</f>
        <v>2863478.1265611108</v>
      </c>
    </row>
    <row r="18" spans="2:9">
      <c r="B18" s="198"/>
      <c r="C18" s="213"/>
      <c r="D18" s="213"/>
      <c r="E18" s="213"/>
      <c r="F18" s="213"/>
      <c r="G18" s="213"/>
      <c r="H18" s="199"/>
    </row>
    <row r="19" spans="2:9">
      <c r="B19" s="202" t="s">
        <v>370</v>
      </c>
      <c r="C19" s="55"/>
      <c r="D19" s="55"/>
      <c r="E19" s="55"/>
      <c r="F19" s="215"/>
      <c r="G19" s="215">
        <v>1.1448706240332216</v>
      </c>
      <c r="H19" s="208">
        <f>H14/H16</f>
        <v>1.0384200813054618</v>
      </c>
    </row>
    <row r="20" spans="2:9">
      <c r="B20" s="200" t="s">
        <v>371</v>
      </c>
      <c r="C20" s="34"/>
      <c r="D20" s="34"/>
      <c r="E20" s="34"/>
      <c r="F20" s="87"/>
      <c r="G20" s="87">
        <v>1.1448706240332216</v>
      </c>
      <c r="H20" s="319">
        <f>H14/H17</f>
        <v>1.0384200813054618</v>
      </c>
    </row>
    <row r="21" spans="2:9">
      <c r="B21" s="198"/>
      <c r="C21" s="213"/>
      <c r="D21" s="213"/>
      <c r="E21" s="213"/>
      <c r="F21" s="213"/>
      <c r="G21" s="213"/>
      <c r="H21" s="199"/>
    </row>
    <row r="22" spans="2:9">
      <c r="B22" s="209" t="s">
        <v>196</v>
      </c>
      <c r="C22" s="1276"/>
      <c r="D22" s="1276"/>
      <c r="E22" s="1276"/>
      <c r="F22" s="320"/>
      <c r="G22" s="1311">
        <v>7.0071022625595489E-2</v>
      </c>
      <c r="H22" s="1312">
        <f>H14/H5</f>
        <v>6.2433565138377965E-2</v>
      </c>
    </row>
    <row r="25" spans="2:9">
      <c r="B25" s="430" t="s">
        <v>423</v>
      </c>
      <c r="C25" s="1277"/>
      <c r="D25" s="1277"/>
      <c r="E25" s="1277"/>
      <c r="F25" s="431"/>
      <c r="G25" s="431"/>
      <c r="H25" s="432"/>
    </row>
    <row r="26" spans="2:9" ht="3.75" customHeight="1">
      <c r="B26" s="433"/>
      <c r="H26" s="277"/>
    </row>
    <row r="27" spans="2:9">
      <c r="B27" s="1268"/>
      <c r="C27" s="1269"/>
      <c r="D27" s="1269"/>
      <c r="E27" s="1269"/>
      <c r="F27" s="1269"/>
      <c r="G27" s="1269"/>
      <c r="H27" s="1270"/>
    </row>
    <row r="28" spans="2:9">
      <c r="B28" s="1268"/>
      <c r="C28" s="1269"/>
      <c r="D28" s="1269"/>
      <c r="E28" s="1269"/>
      <c r="F28" s="1269"/>
      <c r="G28" s="1269"/>
      <c r="H28" s="1270"/>
    </row>
    <row r="29" spans="2:9">
      <c r="B29" s="1268"/>
      <c r="C29" s="1269"/>
      <c r="D29" s="1269"/>
      <c r="E29" s="1269"/>
      <c r="F29" s="1269"/>
      <c r="G29" s="1269"/>
      <c r="H29" s="1270"/>
    </row>
    <row r="30" spans="2:9">
      <c r="B30" s="1271"/>
      <c r="C30" s="1272"/>
      <c r="D30" s="1272"/>
      <c r="E30" s="1272"/>
      <c r="F30" s="1272"/>
      <c r="G30" s="1272"/>
      <c r="H30" s="1273"/>
    </row>
    <row r="32" spans="2:9">
      <c r="I32" s="145"/>
    </row>
    <row r="39" spans="2:5">
      <c r="B39" s="193"/>
      <c r="C39" s="193"/>
      <c r="D39" s="193"/>
      <c r="E39" s="193"/>
    </row>
    <row r="40" spans="2:5">
      <c r="B40" s="193"/>
      <c r="C40" s="193"/>
      <c r="D40" s="193"/>
      <c r="E40" s="193"/>
    </row>
    <row r="41" spans="2:5">
      <c r="B41" s="193"/>
      <c r="C41" s="193"/>
      <c r="D41" s="193"/>
      <c r="E41" s="193"/>
    </row>
    <row r="42" spans="2:5">
      <c r="B42" s="193"/>
      <c r="C42" s="193"/>
      <c r="D42" s="193"/>
      <c r="E42" s="193"/>
    </row>
    <row r="43" spans="2:5">
      <c r="B43" s="193"/>
      <c r="C43" s="193"/>
      <c r="D43" s="193"/>
      <c r="E43" s="193"/>
    </row>
  </sheetData>
  <conditionalFormatting sqref="B2:H5 F7:G8 B7:E15 H7:H15 G10:G17 F10:F20 G18:H18 B18:E20 G19:G20">
    <cfRule type="expression" dxfId="47" priority="58">
      <formula>$A$1=1</formula>
    </cfRule>
  </conditionalFormatting>
  <conditionalFormatting sqref="F2:H3 B5:H6 B8:H12 B14:H14 B16:H17 B19:H20 B22:H22">
    <cfRule type="expression" dxfId="46" priority="5">
      <formula>#REF!=1</formula>
    </cfRule>
  </conditionalFormatting>
  <dataValidations count="1">
    <dataValidation type="list" allowBlank="1" showInputMessage="1" showErrorMessage="1" sqref="A1" xr:uid="{F97EB0E1-25EA-4558-9D71-D5929B34EA6F}">
      <formula1>"0,1"</formula1>
    </dataValidation>
  </dataValidations>
  <pageMargins left="0.7" right="0.7" top="0.75" bottom="0.75" header="0.3" footer="0.3"/>
  <pageSetup scale="83"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448B-F92A-4BFC-9CFF-ACF7CC850B54}">
  <dimension ref="A1:Q35"/>
  <sheetViews>
    <sheetView view="pageBreakPreview" zoomScale="130" zoomScaleNormal="100" zoomScaleSheetLayoutView="130" workbookViewId="0">
      <selection activeCell="I20" sqref="I20"/>
    </sheetView>
  </sheetViews>
  <sheetFormatPr defaultColWidth="9.140625" defaultRowHeight="15" customHeight="1"/>
  <cols>
    <col min="1" max="2" width="3.7109375" style="1002" customWidth="1"/>
    <col min="3" max="3" width="27" style="1002" customWidth="1"/>
    <col min="4" max="4" width="10.5703125" style="1002" customWidth="1"/>
    <col min="5" max="5" width="12.42578125" style="1002" customWidth="1"/>
    <col min="6" max="7" width="9.85546875" style="1002" customWidth="1"/>
    <col min="8" max="8" width="10.140625" style="1002" bestFit="1" customWidth="1"/>
    <col min="9" max="9" width="12.42578125" style="1002" customWidth="1"/>
    <col min="10" max="11" width="9.140625" style="1002" customWidth="1"/>
    <col min="12" max="12" width="10.140625" style="1002" bestFit="1" customWidth="1"/>
    <col min="13" max="13" width="12.42578125" style="1002" customWidth="1"/>
    <col min="14" max="15" width="9.28515625" style="1002" customWidth="1"/>
    <col min="16" max="16" width="9.85546875" style="1002" customWidth="1"/>
    <col min="17" max="17" width="10.140625" style="1002" customWidth="1"/>
    <col min="18" max="16384" width="9.140625" style="1002"/>
  </cols>
  <sheetData>
    <row r="1" spans="1:17" ht="15" customHeight="1">
      <c r="A1" s="1000">
        <v>1</v>
      </c>
      <c r="B1" s="1001"/>
    </row>
    <row r="2" spans="1:17" ht="20.45" customHeight="1">
      <c r="C2" s="1080"/>
      <c r="D2" s="1031" t="s">
        <v>2296</v>
      </c>
      <c r="E2" s="1032"/>
      <c r="F2" s="1032"/>
      <c r="G2" s="1033"/>
      <c r="H2" s="1031" t="str">
        <f>RIGHT('DSCR Calc'!H2,7)</f>
        <v>1Q 2026</v>
      </c>
      <c r="I2" s="1032"/>
      <c r="J2" s="1032"/>
      <c r="K2" s="1033"/>
      <c r="L2" s="1031" t="s">
        <v>318</v>
      </c>
      <c r="M2" s="1032"/>
      <c r="N2" s="1032"/>
      <c r="O2" s="1033"/>
      <c r="P2" s="1032" t="s">
        <v>319</v>
      </c>
      <c r="Q2" s="1034"/>
    </row>
    <row r="3" spans="1:17" ht="15" customHeight="1">
      <c r="C3" s="1030" t="s">
        <v>320</v>
      </c>
      <c r="D3" s="1035" t="s">
        <v>188</v>
      </c>
      <c r="E3" s="1036" t="s">
        <v>214</v>
      </c>
      <c r="F3" s="1036" t="s">
        <v>196</v>
      </c>
      <c r="G3" s="1037" t="s">
        <v>207</v>
      </c>
      <c r="H3" s="1035" t="s">
        <v>188</v>
      </c>
      <c r="I3" s="1036" t="s">
        <v>214</v>
      </c>
      <c r="J3" s="1036" t="s">
        <v>196</v>
      </c>
      <c r="K3" s="1037" t="s">
        <v>207</v>
      </c>
      <c r="L3" s="1035" t="s">
        <v>188</v>
      </c>
      <c r="M3" s="1036" t="s">
        <v>214</v>
      </c>
      <c r="N3" s="1036" t="s">
        <v>196</v>
      </c>
      <c r="O3" s="1037" t="s">
        <v>207</v>
      </c>
      <c r="P3" s="1036" t="s">
        <v>321</v>
      </c>
      <c r="Q3" s="1038" t="s">
        <v>322</v>
      </c>
    </row>
    <row r="4" spans="1:17" ht="15" customHeight="1">
      <c r="C4" s="1003" t="s">
        <v>1778</v>
      </c>
      <c r="D4" s="1075">
        <v>0.88959999999999995</v>
      </c>
      <c r="E4" s="1076">
        <v>3337238.6802142854</v>
      </c>
      <c r="F4" s="1077">
        <v>7.0071022625595489E-2</v>
      </c>
      <c r="G4" s="1078">
        <v>1.1448706240332216</v>
      </c>
      <c r="H4" s="1075">
        <f>+'MF OSAR'!I16</f>
        <v>0.86040000000000005</v>
      </c>
      <c r="I4" s="1076">
        <f>+'MF OSAR'!I57</f>
        <v>2973493.1890000002</v>
      </c>
      <c r="J4" s="1077">
        <f>+'MF OSAR'!I73</f>
        <v>6.2433565138377965E-2</v>
      </c>
      <c r="K4" s="1079">
        <f>+'MF OSAR'!I69</f>
        <v>1.0384200813054618</v>
      </c>
      <c r="L4" s="1144">
        <f t="shared" ref="L4:O4" si="0">IF(H4="","-",H4-D4)</f>
        <v>-2.9199999999999893E-2</v>
      </c>
      <c r="M4" s="1004">
        <f t="shared" si="0"/>
        <v>-363745.49121428514</v>
      </c>
      <c r="N4" s="1005">
        <f t="shared" si="0"/>
        <v>-7.6374574872175235E-3</v>
      </c>
      <c r="O4" s="1006">
        <f t="shared" si="0"/>
        <v>-0.10645054272775978</v>
      </c>
      <c r="P4" s="1007" t="s">
        <v>1770</v>
      </c>
      <c r="Q4" s="1008">
        <f>'Old OSAR'!L69</f>
        <v>6.5000000000000002E-2</v>
      </c>
    </row>
    <row r="5" spans="1:17" ht="9" customHeight="1">
      <c r="C5" s="1009"/>
      <c r="D5" s="1010"/>
      <c r="E5" s="1011"/>
      <c r="F5" s="1011"/>
      <c r="G5" s="1011"/>
      <c r="H5" s="1011"/>
      <c r="I5" s="1011"/>
      <c r="J5" s="1011"/>
      <c r="K5" s="1011"/>
      <c r="L5" s="1011"/>
      <c r="M5" s="1011"/>
      <c r="N5" s="1011"/>
      <c r="O5" s="1011"/>
      <c r="P5" s="1011"/>
      <c r="Q5" s="1011"/>
    </row>
    <row r="6" spans="1:17" ht="15" customHeight="1">
      <c r="C6" s="1012" t="s">
        <v>1767</v>
      </c>
      <c r="D6" s="1013"/>
      <c r="E6" s="1013"/>
      <c r="F6" s="1013"/>
      <c r="G6" s="1013"/>
      <c r="H6" s="1013"/>
      <c r="I6" s="1013"/>
      <c r="J6" s="1013"/>
      <c r="K6" s="1013"/>
      <c r="L6" s="1013"/>
      <c r="M6" s="1013"/>
      <c r="N6" s="1013"/>
      <c r="O6" s="1013"/>
      <c r="P6" s="1013"/>
      <c r="Q6" s="1014"/>
    </row>
    <row r="7" spans="1:17" ht="15" customHeight="1">
      <c r="C7" s="1084" t="s">
        <v>2120</v>
      </c>
      <c r="D7" s="1013"/>
      <c r="E7" s="1013"/>
      <c r="F7" s="1013"/>
      <c r="G7" s="1013"/>
      <c r="H7" s="1013"/>
      <c r="I7" s="1013"/>
      <c r="J7" s="1013"/>
      <c r="K7" s="1013"/>
      <c r="L7" s="1013"/>
      <c r="M7" s="1013"/>
      <c r="N7" s="1013"/>
      <c r="O7" s="1013"/>
      <c r="P7" s="1013"/>
      <c r="Q7" s="1014"/>
    </row>
    <row r="8" spans="1:17" ht="15" customHeight="1">
      <c r="C8" s="1015" t="s">
        <v>1768</v>
      </c>
      <c r="D8" s="1013"/>
      <c r="E8" s="1013"/>
      <c r="F8" s="1013"/>
      <c r="G8" s="1013"/>
      <c r="H8" s="1013"/>
      <c r="I8" s="1013"/>
      <c r="J8" s="1013"/>
      <c r="K8" s="1013"/>
      <c r="L8" s="1013"/>
      <c r="M8" s="1013"/>
      <c r="N8" s="1013"/>
      <c r="O8" s="1013"/>
      <c r="P8" s="1013"/>
      <c r="Q8" s="1014"/>
    </row>
    <row r="9" spans="1:17" ht="16.5" customHeight="1">
      <c r="C9" s="1083" t="s">
        <v>1769</v>
      </c>
      <c r="D9" s="1013"/>
      <c r="E9" s="1013"/>
      <c r="F9" s="1013"/>
      <c r="G9" s="1013"/>
      <c r="H9" s="1013"/>
      <c r="I9" s="1013"/>
      <c r="J9" s="1013"/>
      <c r="K9" s="1013"/>
      <c r="L9" s="1013"/>
      <c r="M9" s="1013"/>
      <c r="N9" s="1013"/>
      <c r="O9" s="1013"/>
      <c r="P9" s="1013"/>
      <c r="Q9" s="1014"/>
    </row>
    <row r="10" spans="1:17" ht="15.75" customHeight="1">
      <c r="C10" s="1348" t="s">
        <v>2297</v>
      </c>
      <c r="D10" s="1348"/>
      <c r="E10" s="1348"/>
      <c r="F10" s="1348"/>
      <c r="G10" s="1348"/>
      <c r="H10" s="1348"/>
      <c r="I10" s="1348"/>
      <c r="J10" s="1348"/>
      <c r="K10" s="1348"/>
      <c r="L10" s="1348"/>
      <c r="M10" s="1348"/>
      <c r="N10" s="1348"/>
      <c r="O10" s="1348"/>
      <c r="P10" s="1348"/>
      <c r="Q10" s="1348"/>
    </row>
    <row r="11" spans="1:17" ht="14.25" customHeight="1">
      <c r="C11" s="1348"/>
      <c r="D11" s="1348"/>
      <c r="E11" s="1348"/>
      <c r="F11" s="1348"/>
      <c r="G11" s="1348"/>
      <c r="H11" s="1348"/>
      <c r="I11" s="1348"/>
      <c r="J11" s="1348"/>
      <c r="K11" s="1348"/>
      <c r="L11" s="1348"/>
      <c r="M11" s="1348"/>
      <c r="N11" s="1348"/>
      <c r="O11" s="1348"/>
      <c r="P11" s="1348"/>
      <c r="Q11" s="1348"/>
    </row>
    <row r="12" spans="1:17" ht="15" customHeight="1">
      <c r="C12" s="1155"/>
      <c r="D12" s="1155"/>
      <c r="E12" s="1155"/>
      <c r="F12" s="1155"/>
      <c r="G12" s="1155"/>
      <c r="H12" s="1155"/>
      <c r="I12" s="1155"/>
      <c r="J12" s="1155"/>
      <c r="K12" s="1155"/>
      <c r="L12" s="1155"/>
      <c r="M12" s="1155"/>
      <c r="N12" s="1155"/>
      <c r="O12" s="1155"/>
      <c r="P12" s="1155"/>
      <c r="Q12" s="1155"/>
    </row>
    <row r="13" spans="1:17" ht="15" customHeight="1">
      <c r="C13" s="1014"/>
      <c r="D13" s="1014"/>
      <c r="E13" s="1014"/>
      <c r="F13" s="1014"/>
      <c r="G13" s="1014"/>
      <c r="H13" s="1014"/>
      <c r="I13" s="1014"/>
      <c r="J13" s="1014"/>
      <c r="K13" s="1014"/>
      <c r="L13" s="1014"/>
      <c r="M13" s="1014"/>
      <c r="N13" s="1014"/>
      <c r="O13" s="1014"/>
      <c r="P13" s="1014"/>
      <c r="Q13" s="1014"/>
    </row>
    <row r="14" spans="1:17" ht="15" customHeight="1">
      <c r="C14" s="1016"/>
    </row>
    <row r="15" spans="1:17" ht="15" customHeight="1">
      <c r="C15" s="1016"/>
      <c r="I15" s="1082"/>
    </row>
    <row r="16" spans="1:17" ht="15" customHeight="1">
      <c r="C16" s="1016"/>
      <c r="D16" s="1017"/>
    </row>
    <row r="17" spans="3:7" ht="15" customHeight="1">
      <c r="C17" s="1016"/>
      <c r="D17" s="1018"/>
      <c r="E17" s="1018"/>
      <c r="F17" s="1081"/>
      <c r="G17" s="1020"/>
    </row>
    <row r="18" spans="3:7" ht="15" customHeight="1">
      <c r="C18" s="1016"/>
      <c r="D18" s="1018"/>
      <c r="E18" s="1018"/>
      <c r="F18" s="1019"/>
      <c r="G18" s="1020"/>
    </row>
    <row r="19" spans="3:7" ht="15" customHeight="1">
      <c r="C19" s="1016"/>
      <c r="D19" s="1021"/>
      <c r="E19" s="1021"/>
      <c r="F19" s="1022"/>
      <c r="G19" s="1023"/>
    </row>
    <row r="20" spans="3:7" ht="15" customHeight="1">
      <c r="C20" s="1016"/>
      <c r="D20" s="1021"/>
      <c r="E20" s="1024"/>
      <c r="F20" s="1025"/>
      <c r="G20" s="1020"/>
    </row>
    <row r="21" spans="3:7" ht="15" customHeight="1">
      <c r="C21" s="1016"/>
      <c r="D21" s="1018"/>
      <c r="E21" s="1018"/>
      <c r="F21" s="1019"/>
      <c r="G21" s="1020"/>
    </row>
    <row r="22" spans="3:7" ht="15" customHeight="1">
      <c r="C22" s="1016"/>
      <c r="D22" s="1018"/>
      <c r="E22" s="1018"/>
      <c r="F22" s="1019"/>
      <c r="G22" s="1020"/>
    </row>
    <row r="23" spans="3:7" ht="15" customHeight="1">
      <c r="C23" s="1016"/>
      <c r="D23" s="1021"/>
      <c r="E23" s="1021"/>
      <c r="F23" s="1024"/>
      <c r="G23" s="1025"/>
    </row>
    <row r="24" spans="3:7" ht="15" customHeight="1">
      <c r="C24" s="1016"/>
      <c r="D24" s="1018"/>
      <c r="E24" s="1018"/>
      <c r="F24" s="1024"/>
      <c r="G24" s="1025"/>
    </row>
    <row r="25" spans="3:7" ht="15" customHeight="1">
      <c r="C25" s="1016"/>
      <c r="D25" s="1018"/>
      <c r="E25" s="1018"/>
      <c r="F25" s="1022"/>
      <c r="G25" s="1023"/>
    </row>
    <row r="26" spans="3:7" ht="15" customHeight="1">
      <c r="C26" s="1016"/>
      <c r="D26" s="1018"/>
      <c r="E26" s="1018"/>
      <c r="F26" s="1019"/>
      <c r="G26" s="1020"/>
    </row>
    <row r="27" spans="3:7" ht="15" customHeight="1">
      <c r="C27" s="1016"/>
      <c r="D27" s="1018"/>
      <c r="E27" s="1018"/>
      <c r="F27" s="1026"/>
      <c r="G27" s="1026"/>
    </row>
    <row r="28" spans="3:7" ht="15" customHeight="1">
      <c r="C28" s="1016"/>
      <c r="D28" s="1027"/>
      <c r="E28" s="1027"/>
      <c r="F28" s="1028"/>
      <c r="G28" s="1029"/>
    </row>
    <row r="29" spans="3:7" ht="15" customHeight="1">
      <c r="C29" s="1016"/>
    </row>
    <row r="30" spans="3:7" ht="15" customHeight="1">
      <c r="C30" s="1016"/>
    </row>
    <row r="31" spans="3:7" ht="15" customHeight="1">
      <c r="C31" s="1016"/>
    </row>
    <row r="32" spans="3:7" ht="15" customHeight="1">
      <c r="C32" s="1016"/>
    </row>
    <row r="33" spans="3:3" ht="15" customHeight="1">
      <c r="C33" s="1016"/>
    </row>
    <row r="34" spans="3:3" ht="15" customHeight="1">
      <c r="C34" s="1016"/>
    </row>
    <row r="35" spans="3:3" ht="15" customHeight="1">
      <c r="C35" s="1016"/>
    </row>
  </sheetData>
  <mergeCells count="1">
    <mergeCell ref="C10:Q11"/>
  </mergeCells>
  <conditionalFormatting sqref="C6:C10">
    <cfRule type="expression" dxfId="45" priority="2">
      <formula>$A$1</formula>
    </cfRule>
  </conditionalFormatting>
  <conditionalFormatting sqref="C9">
    <cfRule type="expression" dxfId="44" priority="1">
      <formula>$A$1</formula>
    </cfRule>
  </conditionalFormatting>
  <conditionalFormatting sqref="C4:Q5 C14:Q16 C17:C19 H17:Q19">
    <cfRule type="expression" dxfId="43" priority="11">
      <formula>$A$1</formula>
    </cfRule>
  </conditionalFormatting>
  <conditionalFormatting sqref="D17:G28">
    <cfRule type="expression" dxfId="42" priority="5">
      <formula>$A$2=1</formula>
    </cfRule>
  </conditionalFormatting>
  <conditionalFormatting sqref="L4:O4">
    <cfRule type="cellIs" dxfId="41" priority="9" operator="greaterThanOrEqual">
      <formula>0</formula>
    </cfRule>
    <cfRule type="cellIs" dxfId="40" priority="10" operator="lessThan">
      <formula>0</formula>
    </cfRule>
  </conditionalFormatting>
  <dataValidations count="2">
    <dataValidation type="list" allowBlank="1" showInputMessage="1" showErrorMessage="1" sqref="A1:B1" xr:uid="{73748886-7908-47D0-A992-B5B12F37D1B2}">
      <formula1>"1,0"</formula1>
    </dataValidation>
    <dataValidation type="list" allowBlank="1" showInputMessage="1" showErrorMessage="1" sqref="P4" xr:uid="{F1D9EA6C-C52A-4EB6-AA39-91005618B1FD}">
      <formula1>"Yes, No"</formula1>
    </dataValidation>
  </dataValidations>
  <pageMargins left="0.7" right="0.7" top="0.75" bottom="0.75" header="0.3" footer="0.3"/>
  <pageSetup scale="48"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44A56-F180-45A8-9240-67E580B782AB}">
  <sheetPr>
    <pageSetUpPr fitToPage="1"/>
  </sheetPr>
  <dimension ref="A1:Z261"/>
  <sheetViews>
    <sheetView showGridLines="0" topLeftCell="B10" zoomScaleNormal="100" workbookViewId="0">
      <pane xSplit="1" ySplit="2" topLeftCell="C188" activePane="bottomRight" state="frozen"/>
      <selection activeCell="B10" sqref="B10"/>
      <selection pane="topRight" activeCell="C10" sqref="C10"/>
      <selection pane="bottomLeft" activeCell="B12" sqref="B12"/>
      <selection pane="bottomRight" activeCell="B57" sqref="A57:XFD57"/>
    </sheetView>
  </sheetViews>
  <sheetFormatPr defaultColWidth="9.140625" defaultRowHeight="12.75"/>
  <cols>
    <col min="1" max="1" width="11.7109375" style="885" customWidth="1"/>
    <col min="2" max="2" width="41.42578125" style="885" customWidth="1"/>
    <col min="3" max="13" width="12.85546875" style="885" customWidth="1"/>
    <col min="14" max="14" width="14.7109375" style="885" customWidth="1"/>
    <col min="15" max="15" width="17" style="927" hidden="1" customWidth="1"/>
    <col min="16" max="16" width="6.85546875" style="885" customWidth="1"/>
    <col min="17" max="17" width="14.7109375" style="885" customWidth="1"/>
    <col min="18" max="18" width="3.5703125" style="885" customWidth="1"/>
    <col min="19" max="19" width="22" style="885" customWidth="1"/>
    <col min="20" max="20" width="13.85546875" style="885" customWidth="1"/>
    <col min="21" max="21" width="25.5703125" style="885" customWidth="1"/>
    <col min="22" max="22" width="16.85546875" style="885" customWidth="1"/>
    <col min="23" max="23" width="15.140625" style="885" customWidth="1"/>
    <col min="24" max="24" width="10.7109375" style="885" bestFit="1" customWidth="1"/>
    <col min="25" max="25" width="9.7109375" style="885" bestFit="1" customWidth="1"/>
    <col min="26" max="16384" width="9.140625" style="885"/>
  </cols>
  <sheetData>
    <row r="1" spans="1:26" ht="15" customHeight="1">
      <c r="A1" s="905"/>
      <c r="B1" s="905"/>
      <c r="C1" s="905"/>
      <c r="D1" s="905"/>
      <c r="E1" s="905"/>
      <c r="F1" s="905"/>
      <c r="G1" s="905"/>
      <c r="H1" s="905"/>
      <c r="I1" s="905"/>
      <c r="J1" s="905"/>
      <c r="K1" s="905"/>
      <c r="L1" s="905"/>
      <c r="M1" s="905"/>
      <c r="N1" s="905"/>
      <c r="O1" s="931"/>
      <c r="Q1" s="905"/>
    </row>
    <row r="2" spans="1:26" ht="15" customHeight="1">
      <c r="A2" s="904"/>
      <c r="B2" s="904"/>
      <c r="C2" s="904"/>
      <c r="D2" s="904"/>
      <c r="E2" s="904"/>
      <c r="F2" s="904"/>
      <c r="G2" s="904"/>
      <c r="H2" s="904"/>
      <c r="I2" s="904"/>
      <c r="J2" s="904"/>
      <c r="K2" s="904"/>
      <c r="L2" s="904"/>
      <c r="M2" s="904"/>
      <c r="N2" s="904"/>
      <c r="O2" s="932"/>
      <c r="Q2" s="904"/>
    </row>
    <row r="3" spans="1:26" ht="15" customHeight="1">
      <c r="A3" s="904"/>
      <c r="B3" s="904"/>
      <c r="C3" s="904"/>
      <c r="D3" s="904"/>
      <c r="E3" s="904"/>
      <c r="F3" s="904"/>
      <c r="G3" s="904"/>
      <c r="H3" s="904"/>
      <c r="I3" s="904"/>
      <c r="J3" s="904"/>
      <c r="K3" s="904"/>
      <c r="L3" s="904"/>
      <c r="M3" s="904"/>
      <c r="N3" s="904"/>
      <c r="O3" s="932"/>
      <c r="Q3" s="904"/>
    </row>
    <row r="4" spans="1:26" ht="15" customHeight="1">
      <c r="A4" s="904"/>
      <c r="B4" s="904"/>
      <c r="C4" s="904"/>
      <c r="D4" s="904"/>
      <c r="E4" s="904"/>
      <c r="F4" s="904"/>
      <c r="G4" s="904"/>
      <c r="H4" s="904"/>
      <c r="I4" s="904"/>
      <c r="J4" s="904"/>
      <c r="K4" s="904"/>
      <c r="L4" s="904"/>
      <c r="M4" s="904"/>
      <c r="N4" s="904"/>
      <c r="O4" s="932"/>
      <c r="Q4" s="904"/>
    </row>
    <row r="5" spans="1:26" ht="15" customHeight="1">
      <c r="A5" s="904"/>
      <c r="B5" s="904"/>
      <c r="C5" s="904"/>
      <c r="D5" s="904"/>
      <c r="E5" s="904"/>
      <c r="F5" s="904"/>
      <c r="G5" s="904"/>
      <c r="H5" s="904"/>
      <c r="I5" s="904"/>
      <c r="J5" s="904"/>
      <c r="K5" s="904"/>
      <c r="L5" s="904"/>
      <c r="M5" s="904"/>
      <c r="N5" s="904"/>
      <c r="O5" s="932"/>
      <c r="Q5" s="904"/>
    </row>
    <row r="6" spans="1:26" ht="15.75" customHeight="1">
      <c r="A6" s="906"/>
      <c r="B6" s="906"/>
      <c r="C6" s="906"/>
      <c r="D6" s="906"/>
      <c r="E6" s="906"/>
      <c r="F6" s="906"/>
      <c r="G6" s="906"/>
      <c r="H6" s="906"/>
      <c r="I6" s="906"/>
      <c r="J6" s="906"/>
      <c r="K6" s="906"/>
      <c r="L6" s="906"/>
      <c r="M6" s="906"/>
      <c r="N6" s="906"/>
      <c r="O6" s="933"/>
      <c r="Q6" s="906"/>
    </row>
    <row r="7" spans="1:26" ht="15" customHeight="1">
      <c r="A7" s="905"/>
      <c r="B7" s="905"/>
      <c r="C7" s="905"/>
      <c r="D7" s="905"/>
      <c r="E7" s="905"/>
      <c r="F7" s="905"/>
      <c r="G7" s="905"/>
      <c r="H7" s="905"/>
      <c r="I7" s="905"/>
      <c r="J7" s="905"/>
      <c r="K7" s="905"/>
      <c r="L7" s="905"/>
      <c r="M7" s="905"/>
      <c r="N7" s="905"/>
      <c r="O7" s="931"/>
      <c r="Q7" s="905"/>
    </row>
    <row r="8" spans="1:26" ht="15" customHeight="1">
      <c r="A8" s="905"/>
      <c r="B8" s="905"/>
      <c r="C8" s="905"/>
      <c r="D8" s="905"/>
      <c r="E8" s="905"/>
      <c r="F8" s="905"/>
      <c r="G8" s="905"/>
      <c r="H8" s="905"/>
      <c r="I8" s="905"/>
      <c r="J8" s="905"/>
      <c r="K8" s="905"/>
      <c r="L8" s="905"/>
      <c r="M8" s="905"/>
      <c r="N8" s="905"/>
      <c r="O8" s="931"/>
      <c r="Q8" s="905"/>
    </row>
    <row r="9" spans="1:26" ht="15" customHeight="1">
      <c r="A9" s="904"/>
      <c r="B9" s="904"/>
      <c r="C9" s="904"/>
      <c r="D9" s="904"/>
      <c r="E9" s="904"/>
      <c r="F9" s="904"/>
      <c r="G9" s="904"/>
      <c r="H9" s="904"/>
      <c r="I9" s="904"/>
      <c r="J9" s="904"/>
      <c r="K9" s="904"/>
      <c r="L9" s="904"/>
      <c r="M9" s="904"/>
      <c r="N9" s="904"/>
      <c r="O9" s="932"/>
      <c r="Q9" s="904"/>
    </row>
    <row r="10" spans="1:26" ht="15" customHeight="1">
      <c r="A10" s="886"/>
      <c r="B10" s="887"/>
      <c r="C10" s="886"/>
      <c r="D10" s="886"/>
      <c r="E10" s="886"/>
      <c r="F10" s="886"/>
      <c r="G10" s="886"/>
      <c r="H10" s="886"/>
      <c r="I10" s="886"/>
      <c r="J10" s="886"/>
      <c r="K10" s="886"/>
      <c r="L10" s="886"/>
      <c r="M10" s="886"/>
      <c r="N10" s="886"/>
      <c r="O10" s="934"/>
      <c r="Q10" s="886"/>
      <c r="S10" s="888" t="s">
        <v>328</v>
      </c>
      <c r="V10" s="1053">
        <f>'Old OSAR'!J14</f>
        <v>46022</v>
      </c>
      <c r="W10" s="938" t="s">
        <v>1734</v>
      </c>
    </row>
    <row r="11" spans="1:26" ht="15" customHeight="1">
      <c r="A11" s="902"/>
      <c r="B11" s="903"/>
      <c r="C11" s="1119" t="s">
        <v>1627</v>
      </c>
      <c r="D11" s="1119" t="s">
        <v>1628</v>
      </c>
      <c r="E11" s="1119" t="s">
        <v>770</v>
      </c>
      <c r="F11" s="1119" t="s">
        <v>1050</v>
      </c>
      <c r="G11" s="1119" t="s">
        <v>911</v>
      </c>
      <c r="H11" s="1119" t="s">
        <v>782</v>
      </c>
      <c r="I11" s="1119" t="s">
        <v>1095</v>
      </c>
      <c r="J11" s="1119" t="s">
        <v>725</v>
      </c>
      <c r="K11" s="1119" t="s">
        <v>1829</v>
      </c>
      <c r="L11" s="1119" t="s">
        <v>1599</v>
      </c>
      <c r="M11" s="1119" t="s">
        <v>939</v>
      </c>
      <c r="N11" s="1119" t="s">
        <v>787</v>
      </c>
      <c r="O11" s="1119"/>
      <c r="P11" s="1119"/>
      <c r="Q11" s="1119" t="s">
        <v>2293</v>
      </c>
      <c r="S11" s="917"/>
      <c r="U11" s="912" t="s">
        <v>1732</v>
      </c>
      <c r="V11" s="954" t="s">
        <v>2294</v>
      </c>
      <c r="W11" s="912" t="s">
        <v>1994</v>
      </c>
    </row>
    <row r="12" spans="1:26" ht="15" customHeight="1">
      <c r="A12" s="889"/>
      <c r="B12" s="892"/>
      <c r="C12" s="893"/>
      <c r="D12" s="893"/>
      <c r="E12" s="893"/>
      <c r="F12" s="893"/>
      <c r="G12" s="893"/>
      <c r="H12" s="893"/>
      <c r="I12" s="893"/>
      <c r="J12" s="893"/>
      <c r="K12" s="893"/>
      <c r="L12" s="893"/>
      <c r="M12" s="893"/>
      <c r="N12" s="893"/>
      <c r="O12" s="935"/>
      <c r="Q12" s="893"/>
      <c r="S12" s="902"/>
      <c r="U12" s="885" t="s">
        <v>26</v>
      </c>
      <c r="V12" s="1096">
        <f>SUMIF($S:$S,U12,$Q:$Q)</f>
        <v>7109950.1879999992</v>
      </c>
      <c r="W12" s="939">
        <v>7325240.0228571417</v>
      </c>
    </row>
    <row r="13" spans="1:26" ht="15" customHeight="1">
      <c r="A13" s="889"/>
      <c r="B13" s="894"/>
      <c r="C13" s="894"/>
      <c r="D13" s="894"/>
      <c r="E13" s="894"/>
      <c r="F13" s="894"/>
      <c r="G13" s="894"/>
      <c r="H13" s="894"/>
      <c r="I13" s="894"/>
      <c r="J13" s="894"/>
      <c r="K13" s="894"/>
      <c r="L13" s="894"/>
      <c r="M13" s="894"/>
      <c r="N13" s="894"/>
      <c r="O13" s="936"/>
      <c r="Q13" s="894"/>
      <c r="S13" s="902"/>
      <c r="U13" s="943" t="s">
        <v>27</v>
      </c>
      <c r="V13" s="1096">
        <f t="shared" ref="V13:V16" si="0">SUMIF($S:$S,U13,$Q:$Q)</f>
        <v>-756218.50800000003</v>
      </c>
      <c r="W13" s="939">
        <v>-732311.72571428563</v>
      </c>
    </row>
    <row r="14" spans="1:26" ht="15" customHeight="1">
      <c r="A14" s="889"/>
      <c r="B14" s="907"/>
      <c r="C14" s="907"/>
      <c r="D14" s="907"/>
      <c r="E14" s="907"/>
      <c r="F14" s="907"/>
      <c r="G14" s="907"/>
      <c r="H14" s="907"/>
      <c r="I14" s="907"/>
      <c r="J14" s="907"/>
      <c r="K14" s="907"/>
      <c r="L14" s="907"/>
      <c r="M14" s="907"/>
      <c r="N14" s="907"/>
      <c r="O14" s="926"/>
      <c r="Q14" s="907"/>
      <c r="S14" s="902"/>
      <c r="U14" s="913" t="s">
        <v>450</v>
      </c>
      <c r="V14" s="1096">
        <f t="shared" si="0"/>
        <v>0</v>
      </c>
      <c r="W14" s="922">
        <v>0</v>
      </c>
    </row>
    <row r="15" spans="1:26" ht="15" customHeight="1">
      <c r="A15" s="889"/>
      <c r="B15" s="890"/>
      <c r="C15" s="896"/>
      <c r="D15" s="896"/>
      <c r="E15" s="896"/>
      <c r="F15" s="896"/>
      <c r="G15" s="896"/>
      <c r="H15" s="896"/>
      <c r="I15" s="896"/>
      <c r="J15" s="896"/>
      <c r="K15" s="896"/>
      <c r="L15" s="896"/>
      <c r="M15" s="896"/>
      <c r="N15" s="896"/>
      <c r="O15" s="937"/>
      <c r="Q15" s="896" t="str">
        <f>IF(O15="","",N15*12)</f>
        <v/>
      </c>
      <c r="S15" s="918"/>
      <c r="U15" s="913" t="s">
        <v>2170</v>
      </c>
      <c r="V15" s="1096">
        <f t="shared" si="0"/>
        <v>0</v>
      </c>
      <c r="W15" s="922">
        <v>0</v>
      </c>
    </row>
    <row r="16" spans="1:26" ht="15" customHeight="1">
      <c r="A16" s="889"/>
      <c r="B16" s="890"/>
      <c r="C16" s="896"/>
      <c r="D16" s="896"/>
      <c r="E16" s="896"/>
      <c r="F16" s="896"/>
      <c r="G16" s="896"/>
      <c r="H16" s="896"/>
      <c r="I16" s="896"/>
      <c r="J16" s="896"/>
      <c r="K16" s="896"/>
      <c r="L16" s="896"/>
      <c r="M16" s="896"/>
      <c r="N16" s="896"/>
      <c r="O16" s="937"/>
      <c r="Q16" s="896"/>
      <c r="S16" s="918"/>
      <c r="U16" s="913" t="s">
        <v>30</v>
      </c>
      <c r="V16" s="1096">
        <f t="shared" si="0"/>
        <v>16272.575999999997</v>
      </c>
      <c r="W16" s="922">
        <v>16552.28571428571</v>
      </c>
      <c r="X16" s="897"/>
      <c r="Y16" s="897"/>
      <c r="Z16" s="898"/>
    </row>
    <row r="17" spans="1:26" ht="15" customHeight="1">
      <c r="A17" s="889"/>
      <c r="B17" s="1085" t="s">
        <v>327</v>
      </c>
      <c r="C17" s="1118"/>
      <c r="D17" s="1118"/>
      <c r="E17" s="1118"/>
      <c r="F17" s="1118"/>
      <c r="G17" s="1118"/>
      <c r="H17" s="1118"/>
      <c r="I17" s="1118"/>
      <c r="J17" s="1118"/>
      <c r="K17" s="1118"/>
      <c r="L17" s="1118"/>
      <c r="M17" s="1118"/>
      <c r="N17" s="1118"/>
      <c r="O17" s="1086"/>
      <c r="Q17" s="1118"/>
      <c r="S17" s="918" t="s">
        <v>1775</v>
      </c>
      <c r="U17" s="914" t="s">
        <v>31</v>
      </c>
      <c r="V17" s="1096">
        <f>SUMIF($S:$S,U17,$Q:$Q)</f>
        <v>580172.36399999994</v>
      </c>
      <c r="W17" s="922">
        <f>359760.69+245805.27</f>
        <v>605565.96</v>
      </c>
      <c r="X17" s="899"/>
    </row>
    <row r="18" spans="1:26" ht="15" customHeight="1">
      <c r="A18" s="889"/>
      <c r="B18" s="1087" t="s">
        <v>327</v>
      </c>
      <c r="C18" s="1117" t="s">
        <v>327</v>
      </c>
      <c r="D18" s="1117" t="s">
        <v>327</v>
      </c>
      <c r="E18" s="1117" t="s">
        <v>327</v>
      </c>
      <c r="F18" s="1117" t="s">
        <v>327</v>
      </c>
      <c r="G18" s="1117" t="s">
        <v>327</v>
      </c>
      <c r="H18" s="1117" t="s">
        <v>327</v>
      </c>
      <c r="I18" s="1117" t="s">
        <v>327</v>
      </c>
      <c r="J18" s="1117" t="s">
        <v>327</v>
      </c>
      <c r="K18" s="1117" t="s">
        <v>327</v>
      </c>
      <c r="L18" s="1117" t="s">
        <v>327</v>
      </c>
      <c r="M18" s="1117" t="s">
        <v>327</v>
      </c>
      <c r="N18" s="1117" t="s">
        <v>327</v>
      </c>
      <c r="O18" s="1088"/>
      <c r="Q18" s="1117"/>
      <c r="S18" s="918"/>
      <c r="U18" s="913"/>
      <c r="V18" s="1096"/>
      <c r="W18" s="922"/>
      <c r="Y18" s="897"/>
      <c r="Z18" s="898"/>
    </row>
    <row r="19" spans="1:26" ht="15" customHeight="1">
      <c r="A19" s="889"/>
      <c r="B19" s="1089" t="s">
        <v>1629</v>
      </c>
      <c r="C19" s="1089" t="s">
        <v>1630</v>
      </c>
      <c r="D19" s="1089" t="s">
        <v>1630</v>
      </c>
      <c r="E19" s="1089" t="s">
        <v>1630</v>
      </c>
      <c r="F19" s="1089" t="s">
        <v>1630</v>
      </c>
      <c r="G19" s="1089" t="s">
        <v>1630</v>
      </c>
      <c r="H19" s="1089" t="s">
        <v>1630</v>
      </c>
      <c r="I19" s="1089" t="s">
        <v>1630</v>
      </c>
      <c r="J19" s="1089" t="s">
        <v>1630</v>
      </c>
      <c r="K19" s="1089" t="s">
        <v>1630</v>
      </c>
      <c r="L19" s="1089" t="s">
        <v>1630</v>
      </c>
      <c r="M19" s="1089" t="s">
        <v>1630</v>
      </c>
      <c r="N19" s="1089" t="s">
        <v>1630</v>
      </c>
      <c r="O19" s="1089"/>
      <c r="Q19" s="1089"/>
      <c r="S19" s="918"/>
      <c r="U19" s="914"/>
      <c r="V19" s="913"/>
      <c r="W19" s="913"/>
    </row>
    <row r="20" spans="1:26" ht="15" customHeight="1">
      <c r="A20" s="889"/>
      <c r="B20" s="1085" t="s">
        <v>327</v>
      </c>
      <c r="C20" s="1085"/>
      <c r="D20" s="1085"/>
      <c r="E20" s="1085"/>
      <c r="F20" s="1085"/>
      <c r="G20" s="1085"/>
      <c r="H20" s="1085"/>
      <c r="I20" s="1085"/>
      <c r="J20" s="1085"/>
      <c r="K20" s="1085"/>
      <c r="L20" s="1085"/>
      <c r="M20" s="1085"/>
      <c r="N20" s="1085"/>
      <c r="O20" s="1095"/>
      <c r="Q20" s="1085"/>
      <c r="S20" s="918"/>
      <c r="U20" s="915" t="s">
        <v>359</v>
      </c>
      <c r="V20" s="923">
        <f>SUM(V12:V18)</f>
        <v>6950176.6199999992</v>
      </c>
      <c r="W20" s="923">
        <v>7215046.5428571412</v>
      </c>
      <c r="Y20" s="1308">
        <f>V20/W20-1</f>
        <v>-3.671077120345978E-2</v>
      </c>
    </row>
    <row r="21" spans="1:26" ht="15" customHeight="1">
      <c r="A21" s="889"/>
      <c r="B21" s="1085" t="s">
        <v>1631</v>
      </c>
      <c r="C21" s="1090">
        <v>0</v>
      </c>
      <c r="D21" s="1090">
        <v>0</v>
      </c>
      <c r="E21" s="1090">
        <v>899741.5</v>
      </c>
      <c r="F21" s="1090">
        <v>604344</v>
      </c>
      <c r="G21" s="1090">
        <v>600176</v>
      </c>
      <c r="H21" s="1090">
        <v>599866</v>
      </c>
      <c r="I21" s="1090">
        <v>592100</v>
      </c>
      <c r="J21" s="1090">
        <v>594725</v>
      </c>
      <c r="K21" s="1090">
        <v>595038</v>
      </c>
      <c r="L21" s="1090">
        <v>594638</v>
      </c>
      <c r="M21" s="1090">
        <v>596758</v>
      </c>
      <c r="N21" s="1090">
        <v>599233</v>
      </c>
      <c r="O21" s="1090"/>
      <c r="Q21" s="1090">
        <f>IFERROR(SUM(E21:N21)*(12/10),"")</f>
        <v>7531943.3999999994</v>
      </c>
      <c r="S21" s="918" t="str">
        <f>_xlfn.XLOOKUP($B21,Coding!$D:$D,Coding!$F:$F,"x")</f>
        <v xml:space="preserve">      Gross Potential Rent (3)</v>
      </c>
      <c r="U21" s="913"/>
      <c r="V21" s="913"/>
      <c r="W21" s="913"/>
    </row>
    <row r="22" spans="1:26" ht="15" customHeight="1">
      <c r="A22" s="889"/>
      <c r="B22" s="1085" t="s">
        <v>1632</v>
      </c>
      <c r="C22" s="1090">
        <v>0</v>
      </c>
      <c r="D22" s="1090">
        <v>0</v>
      </c>
      <c r="E22" s="1090">
        <v>-39367.519999999997</v>
      </c>
      <c r="F22" s="1090">
        <v>-16403.46</v>
      </c>
      <c r="G22" s="1090">
        <v>-12324.43</v>
      </c>
      <c r="H22" s="1090">
        <v>-11233.73</v>
      </c>
      <c r="I22" s="1090">
        <v>-274.56</v>
      </c>
      <c r="J22" s="1090">
        <v>-6168.23</v>
      </c>
      <c r="K22" s="1090">
        <v>-5337.08</v>
      </c>
      <c r="L22" s="1090">
        <v>-6218</v>
      </c>
      <c r="M22" s="1090">
        <v>-5778.44</v>
      </c>
      <c r="N22" s="1090">
        <v>-8758.25</v>
      </c>
      <c r="O22" s="1090"/>
      <c r="Q22" s="1090">
        <f>IFERROR(SUM(E22:N22)*(12/10),"")</f>
        <v>-134236.44</v>
      </c>
      <c r="S22" s="918" t="str">
        <f>_xlfn.XLOOKUP($B22,Coding!$D:$D,Coding!$F:$F,"x")</f>
        <v xml:space="preserve">      Gross Potential Rent (3)</v>
      </c>
      <c r="U22" s="913" t="s">
        <v>1739</v>
      </c>
      <c r="V22" s="922"/>
      <c r="W22" s="922"/>
    </row>
    <row r="23" spans="1:26" ht="15" customHeight="1">
      <c r="A23" s="889"/>
      <c r="B23" s="1085" t="s">
        <v>327</v>
      </c>
      <c r="C23" s="1085"/>
      <c r="D23" s="1085"/>
      <c r="E23" s="1085"/>
      <c r="F23" s="1085"/>
      <c r="G23" s="1085"/>
      <c r="H23" s="1085"/>
      <c r="I23" s="1085"/>
      <c r="J23" s="1085"/>
      <c r="K23" s="1085"/>
      <c r="L23" s="1085"/>
      <c r="M23" s="1085"/>
      <c r="N23" s="1085"/>
      <c r="O23" s="1095"/>
      <c r="Q23" s="1085"/>
      <c r="S23" s="918"/>
      <c r="U23" s="913" t="s">
        <v>35</v>
      </c>
      <c r="V23" s="922">
        <f t="shared" ref="V23:V33" si="1">SUMIF($S:$S,U23,$Q:$Q)</f>
        <v>1521691.6560000002</v>
      </c>
      <c r="W23" s="922">
        <v>1506316.6457142858</v>
      </c>
    </row>
    <row r="24" spans="1:26" ht="15" customHeight="1">
      <c r="A24" s="889"/>
      <c r="B24" s="1089" t="s">
        <v>1633</v>
      </c>
      <c r="C24" s="1306">
        <v>0</v>
      </c>
      <c r="D24" s="1306">
        <v>0</v>
      </c>
      <c r="E24" s="1306">
        <v>860373.98</v>
      </c>
      <c r="F24" s="1306">
        <v>587940.54</v>
      </c>
      <c r="G24" s="1306">
        <v>587851.56999999995</v>
      </c>
      <c r="H24" s="1306">
        <v>588632.27</v>
      </c>
      <c r="I24" s="1306">
        <v>591825.43999999994</v>
      </c>
      <c r="J24" s="1306">
        <v>588556.77</v>
      </c>
      <c r="K24" s="1306">
        <v>589700.92000000004</v>
      </c>
      <c r="L24" s="1306">
        <v>588420</v>
      </c>
      <c r="M24" s="1306">
        <v>590979.56000000006</v>
      </c>
      <c r="N24" s="1306">
        <v>590474.75</v>
      </c>
      <c r="O24" s="1091"/>
      <c r="Q24" s="1306">
        <f>IFERROR(SUM(E24:N24)*(12/10),"")</f>
        <v>7397706.9600000009</v>
      </c>
      <c r="S24" s="918"/>
      <c r="U24" s="913" t="s">
        <v>36</v>
      </c>
      <c r="V24" s="922">
        <f t="shared" si="1"/>
        <v>68540.495999999999</v>
      </c>
      <c r="W24" s="922">
        <v>103490.89714285714</v>
      </c>
    </row>
    <row r="25" spans="1:26" ht="15" customHeight="1">
      <c r="A25" s="889"/>
      <c r="B25" s="1085" t="s">
        <v>327</v>
      </c>
      <c r="C25" s="1085"/>
      <c r="D25" s="1085"/>
      <c r="E25" s="1085"/>
      <c r="F25" s="1085"/>
      <c r="G25" s="1085"/>
      <c r="H25" s="1085"/>
      <c r="I25" s="1085"/>
      <c r="J25" s="1085"/>
      <c r="K25" s="1085"/>
      <c r="L25" s="1085"/>
      <c r="M25" s="1085"/>
      <c r="N25" s="1085"/>
      <c r="O25" s="1095"/>
      <c r="Q25" s="1085"/>
      <c r="S25" s="918"/>
      <c r="U25" s="913" t="s">
        <v>37</v>
      </c>
      <c r="V25" s="922">
        <f t="shared" si="1"/>
        <v>423119.88000000006</v>
      </c>
      <c r="W25" s="922">
        <v>382429.13142857142</v>
      </c>
    </row>
    <row r="26" spans="1:26" ht="15" customHeight="1">
      <c r="A26" s="889"/>
      <c r="B26" s="1089" t="s">
        <v>1634</v>
      </c>
      <c r="C26" s="1085" t="s">
        <v>1635</v>
      </c>
      <c r="D26" s="1085" t="s">
        <v>1635</v>
      </c>
      <c r="E26" s="1085" t="s">
        <v>1635</v>
      </c>
      <c r="F26" s="1085" t="s">
        <v>1635</v>
      </c>
      <c r="G26" s="1085" t="s">
        <v>1635</v>
      </c>
      <c r="H26" s="1085" t="s">
        <v>1635</v>
      </c>
      <c r="I26" s="1085" t="s">
        <v>1635</v>
      </c>
      <c r="J26" s="1085" t="s">
        <v>1635</v>
      </c>
      <c r="K26" s="1085" t="s">
        <v>1635</v>
      </c>
      <c r="L26" s="1085" t="s">
        <v>1635</v>
      </c>
      <c r="M26" s="1085" t="s">
        <v>1635</v>
      </c>
      <c r="N26" s="1085" t="s">
        <v>1635</v>
      </c>
      <c r="O26" s="1085"/>
      <c r="Q26" s="1085"/>
      <c r="S26" s="918"/>
      <c r="U26" s="913" t="s">
        <v>38</v>
      </c>
      <c r="V26" s="922">
        <f t="shared" si="1"/>
        <v>333494.40000000008</v>
      </c>
      <c r="W26" s="922">
        <v>343370.94857142848</v>
      </c>
    </row>
    <row r="27" spans="1:26" ht="15" customHeight="1">
      <c r="A27" s="889"/>
      <c r="B27" s="1085" t="s">
        <v>1636</v>
      </c>
      <c r="C27" s="1090">
        <v>0</v>
      </c>
      <c r="D27" s="1090">
        <v>0</v>
      </c>
      <c r="E27" s="1090">
        <v>-52293.8</v>
      </c>
      <c r="F27" s="1090">
        <v>-51385.87</v>
      </c>
      <c r="G27" s="1090">
        <v>-52569.63</v>
      </c>
      <c r="H27" s="1090">
        <v>-61876.78</v>
      </c>
      <c r="I27" s="1090">
        <v>-62929.87</v>
      </c>
      <c r="J27" s="1090">
        <v>-65039.73</v>
      </c>
      <c r="K27" s="1090">
        <v>-81086.16</v>
      </c>
      <c r="L27" s="1090">
        <v>-69354.19</v>
      </c>
      <c r="M27" s="1090">
        <v>-52620.42</v>
      </c>
      <c r="N27" s="1090">
        <v>-49406.16</v>
      </c>
      <c r="O27" s="1090"/>
      <c r="Q27" s="1090">
        <f t="shared" ref="Q27:Q43" si="2">IFERROR(SUM(E27:N27)*(12/10),"")</f>
        <v>-718275.13199999998</v>
      </c>
      <c r="S27" s="918" t="str">
        <f>_xlfn.XLOOKUP($B27,Coding!$D:$D,Coding!$F:$F,"x")</f>
        <v xml:space="preserve">         Less: Vacancy Loss</v>
      </c>
      <c r="U27" s="913" t="s">
        <v>39</v>
      </c>
      <c r="V27" s="922">
        <f t="shared" si="1"/>
        <v>125036.59199999996</v>
      </c>
      <c r="W27" s="922">
        <v>129714.71999999997</v>
      </c>
    </row>
    <row r="28" spans="1:26" ht="15" customHeight="1">
      <c r="A28" s="889"/>
      <c r="B28" s="1085" t="s">
        <v>2278</v>
      </c>
      <c r="C28" s="1090">
        <v>0</v>
      </c>
      <c r="D28" s="1090">
        <v>0</v>
      </c>
      <c r="E28" s="1090">
        <v>0</v>
      </c>
      <c r="F28" s="1090">
        <v>0</v>
      </c>
      <c r="G28" s="1090">
        <v>0</v>
      </c>
      <c r="H28" s="1090">
        <v>0</v>
      </c>
      <c r="I28" s="1090">
        <v>0</v>
      </c>
      <c r="J28" s="1090">
        <v>0</v>
      </c>
      <c r="K28" s="1090">
        <v>0</v>
      </c>
      <c r="L28" s="1090">
        <v>0</v>
      </c>
      <c r="M28" s="1090">
        <v>0</v>
      </c>
      <c r="N28" s="1090">
        <v>-31619.48</v>
      </c>
      <c r="O28" s="1090"/>
      <c r="Q28" s="1090">
        <f t="shared" si="2"/>
        <v>-37943.375999999997</v>
      </c>
      <c r="S28" s="918" t="str">
        <f>_xlfn.XLOOKUP($B28,Coding!$D:$D,Coding!$F:$F,"x")</f>
        <v xml:space="preserve">         Less: Vacancy Loss</v>
      </c>
      <c r="U28" s="913" t="s">
        <v>40</v>
      </c>
      <c r="V28" s="922">
        <f t="shared" si="1"/>
        <v>510450.74400000006</v>
      </c>
      <c r="W28" s="922">
        <v>475945.4914285714</v>
      </c>
    </row>
    <row r="29" spans="1:26" ht="15" customHeight="1">
      <c r="A29" s="889"/>
      <c r="B29" s="1085" t="s">
        <v>1637</v>
      </c>
      <c r="C29" s="1090">
        <v>0</v>
      </c>
      <c r="D29" s="1090">
        <v>0</v>
      </c>
      <c r="E29" s="1090">
        <v>-4460.5</v>
      </c>
      <c r="F29" s="1090">
        <v>-13342.5</v>
      </c>
      <c r="G29" s="1090">
        <v>-12728.82</v>
      </c>
      <c r="H29" s="1090">
        <v>-17006.02</v>
      </c>
      <c r="I29" s="1090">
        <v>-21037.15</v>
      </c>
      <c r="J29" s="1090">
        <v>79907.990000000005</v>
      </c>
      <c r="K29" s="1090">
        <v>-14200</v>
      </c>
      <c r="L29" s="1090">
        <v>0</v>
      </c>
      <c r="M29" s="1090">
        <v>0</v>
      </c>
      <c r="N29" s="1090">
        <v>-8386.75</v>
      </c>
      <c r="O29" s="1090"/>
      <c r="Q29" s="1090">
        <f t="shared" si="2"/>
        <v>-13504.499999999982</v>
      </c>
      <c r="S29" s="918" t="str">
        <f>_xlfn.XLOOKUP($B29,Coding!$D:$D,Coding!$F:$F,"x")</f>
        <v xml:space="preserve">      Gross Potential Rent (3)</v>
      </c>
      <c r="U29" s="913" t="s">
        <v>41</v>
      </c>
      <c r="V29" s="922">
        <f t="shared" si="1"/>
        <v>233007.19199999995</v>
      </c>
      <c r="W29" s="922">
        <v>216404.3314285714</v>
      </c>
    </row>
    <row r="30" spans="1:26" ht="15" customHeight="1">
      <c r="A30" s="889"/>
      <c r="B30" s="1085" t="s">
        <v>1779</v>
      </c>
      <c r="C30" s="1090">
        <v>0</v>
      </c>
      <c r="D30" s="1090">
        <v>0</v>
      </c>
      <c r="E30" s="1090">
        <v>0</v>
      </c>
      <c r="F30" s="1090">
        <v>0</v>
      </c>
      <c r="G30" s="1090">
        <v>-100</v>
      </c>
      <c r="H30" s="1090">
        <v>0</v>
      </c>
      <c r="I30" s="1090">
        <v>-1000</v>
      </c>
      <c r="J30" s="1090">
        <v>-91240.99</v>
      </c>
      <c r="K30" s="1090">
        <v>-5579</v>
      </c>
      <c r="L30" s="1090">
        <v>-17874.11</v>
      </c>
      <c r="M30" s="1090">
        <v>-29857.75</v>
      </c>
      <c r="N30" s="1090">
        <v>-2586</v>
      </c>
      <c r="O30" s="1090"/>
      <c r="Q30" s="1090">
        <f t="shared" si="2"/>
        <v>-177885.42</v>
      </c>
      <c r="S30" s="918" t="str">
        <f>_xlfn.XLOOKUP($B30,Coding!$D:$D,Coding!$F:$F,"x")</f>
        <v xml:space="preserve">      Gross Potential Rent (3)</v>
      </c>
      <c r="U30" s="913" t="s">
        <v>42</v>
      </c>
      <c r="V30" s="922">
        <f t="shared" si="1"/>
        <v>5848.8959999999997</v>
      </c>
      <c r="W30" s="922">
        <v>8355.5657142857144</v>
      </c>
    </row>
    <row r="31" spans="1:26" ht="15" customHeight="1">
      <c r="A31" s="889"/>
      <c r="B31" s="1085" t="s">
        <v>1780</v>
      </c>
      <c r="C31" s="1090">
        <v>0</v>
      </c>
      <c r="D31" s="1090">
        <v>0</v>
      </c>
      <c r="E31" s="1090">
        <v>0</v>
      </c>
      <c r="F31" s="1090">
        <v>-1000</v>
      </c>
      <c r="G31" s="1090">
        <v>-275</v>
      </c>
      <c r="H31" s="1090">
        <v>-75.78</v>
      </c>
      <c r="I31" s="1090">
        <v>0</v>
      </c>
      <c r="J31" s="1090">
        <v>0</v>
      </c>
      <c r="K31" s="1090">
        <v>0</v>
      </c>
      <c r="L31" s="1090">
        <v>-750</v>
      </c>
      <c r="M31" s="1090">
        <v>-225</v>
      </c>
      <c r="N31" s="1090">
        <v>-50876.89</v>
      </c>
      <c r="O31" s="1090"/>
      <c r="Q31" s="1090">
        <f t="shared" si="2"/>
        <v>-63843.203999999998</v>
      </c>
      <c r="S31" s="918" t="str">
        <f>_xlfn.XLOOKUP($B31,Coding!$D:$D,Coding!$F:$F,"x")</f>
        <v xml:space="preserve">      Gross Potential Rent (3)</v>
      </c>
      <c r="U31" s="913" t="s">
        <v>43</v>
      </c>
      <c r="V31" s="922">
        <f t="shared" si="1"/>
        <v>82527.911999999997</v>
      </c>
      <c r="W31" s="922">
        <v>63131.742857142846</v>
      </c>
    </row>
    <row r="32" spans="1:26" ht="15" customHeight="1">
      <c r="A32" s="889"/>
      <c r="B32" s="1085" t="s">
        <v>1638</v>
      </c>
      <c r="C32" s="1090">
        <v>0</v>
      </c>
      <c r="D32" s="1090">
        <v>0</v>
      </c>
      <c r="E32" s="1090">
        <v>-1340</v>
      </c>
      <c r="F32" s="1090">
        <v>-3043</v>
      </c>
      <c r="G32" s="1090">
        <v>-4041</v>
      </c>
      <c r="H32" s="1090">
        <v>-2689.63</v>
      </c>
      <c r="I32" s="1090">
        <v>-1645</v>
      </c>
      <c r="J32" s="1090">
        <v>-1725</v>
      </c>
      <c r="K32" s="1090">
        <v>-3193.65</v>
      </c>
      <c r="L32" s="1090">
        <v>-3622</v>
      </c>
      <c r="M32" s="1090">
        <v>-1897</v>
      </c>
      <c r="N32" s="1090">
        <v>-1897</v>
      </c>
      <c r="O32" s="1090"/>
      <c r="Q32" s="1090">
        <f t="shared" si="2"/>
        <v>-30111.936000000002</v>
      </c>
      <c r="S32" s="918" t="str">
        <f>_xlfn.XLOOKUP($B32,Coding!$D:$D,Coding!$F:$F,"x")</f>
        <v xml:space="preserve">      Gross Potential Rent (3)</v>
      </c>
      <c r="U32" s="913" t="s">
        <v>44</v>
      </c>
      <c r="V32" s="922">
        <f t="shared" si="1"/>
        <v>0</v>
      </c>
      <c r="W32" s="922">
        <v>0</v>
      </c>
    </row>
    <row r="33" spans="1:25" ht="15" customHeight="1">
      <c r="A33" s="889"/>
      <c r="B33" s="1085" t="s">
        <v>1639</v>
      </c>
      <c r="C33" s="1090">
        <v>0</v>
      </c>
      <c r="D33" s="1090">
        <v>0</v>
      </c>
      <c r="E33" s="1090">
        <v>-121.76</v>
      </c>
      <c r="F33" s="1090">
        <v>-472</v>
      </c>
      <c r="G33" s="1090">
        <v>-472</v>
      </c>
      <c r="H33" s="1090">
        <v>-472</v>
      </c>
      <c r="I33" s="1090">
        <v>-472</v>
      </c>
      <c r="J33" s="1090">
        <v>0</v>
      </c>
      <c r="K33" s="1090">
        <v>0</v>
      </c>
      <c r="L33" s="1090">
        <v>0</v>
      </c>
      <c r="M33" s="1090">
        <v>0</v>
      </c>
      <c r="N33" s="1090">
        <v>0</v>
      </c>
      <c r="O33" s="1095"/>
      <c r="Q33" s="1090">
        <f t="shared" si="2"/>
        <v>-2411.712</v>
      </c>
      <c r="S33" s="918" t="str">
        <f>_xlfn.XLOOKUP($B33,Coding!$D:$D,Coding!$F:$F,"x")</f>
        <v xml:space="preserve">      Gross Potential Rent (3)</v>
      </c>
      <c r="U33" s="913" t="s">
        <v>45</v>
      </c>
      <c r="V33" s="922">
        <f t="shared" si="1"/>
        <v>0</v>
      </c>
      <c r="W33" s="922">
        <v>0</v>
      </c>
    </row>
    <row r="34" spans="1:25" ht="15" customHeight="1">
      <c r="A34" s="889"/>
      <c r="B34" s="1085" t="s">
        <v>327</v>
      </c>
      <c r="C34" s="1085"/>
      <c r="D34" s="1085"/>
      <c r="E34" s="1085"/>
      <c r="F34" s="1085"/>
      <c r="G34" s="1085"/>
      <c r="H34" s="1085"/>
      <c r="I34" s="1085"/>
      <c r="J34" s="1085"/>
      <c r="K34" s="1085"/>
      <c r="L34" s="1085"/>
      <c r="M34" s="1085"/>
      <c r="N34" s="1085"/>
      <c r="O34" s="1092"/>
      <c r="Q34" s="1085"/>
      <c r="S34" s="918"/>
      <c r="U34" s="913"/>
      <c r="V34" s="922"/>
      <c r="W34" s="922">
        <v>0</v>
      </c>
    </row>
    <row r="35" spans="1:25" ht="15" customHeight="1">
      <c r="A35" s="889"/>
      <c r="B35" s="1089" t="s">
        <v>1640</v>
      </c>
      <c r="C35" s="1307">
        <v>0</v>
      </c>
      <c r="D35" s="1307">
        <v>0</v>
      </c>
      <c r="E35" s="1307">
        <v>-58216.06</v>
      </c>
      <c r="F35" s="1307">
        <v>-69243.37</v>
      </c>
      <c r="G35" s="1307">
        <v>-70186.45</v>
      </c>
      <c r="H35" s="1307">
        <v>-82120.210000000006</v>
      </c>
      <c r="I35" s="1307">
        <v>-87084.02</v>
      </c>
      <c r="J35" s="1307">
        <v>-78097.73</v>
      </c>
      <c r="K35" s="1307">
        <v>-104058.81</v>
      </c>
      <c r="L35" s="1307">
        <v>-91600.3</v>
      </c>
      <c r="M35" s="1307">
        <v>-84600.17</v>
      </c>
      <c r="N35" s="1307">
        <v>-144772.28</v>
      </c>
      <c r="O35" s="1095"/>
      <c r="Q35" s="1307">
        <f t="shared" si="2"/>
        <v>-1043975.2800000001</v>
      </c>
      <c r="S35" s="918"/>
      <c r="U35" s="915" t="s">
        <v>356</v>
      </c>
      <c r="V35" s="924">
        <f>SUM(V23:V34)</f>
        <v>3303717.7680000006</v>
      </c>
      <c r="W35" s="924">
        <v>3229159.4742857143</v>
      </c>
      <c r="Y35" s="1308">
        <f>V35/W35-1</f>
        <v>2.308907141564398E-2</v>
      </c>
    </row>
    <row r="36" spans="1:25" ht="15" customHeight="1">
      <c r="A36" s="889"/>
      <c r="B36" s="1085" t="s">
        <v>327</v>
      </c>
      <c r="C36" s="1085"/>
      <c r="D36" s="1085"/>
      <c r="E36" s="1085"/>
      <c r="F36" s="1085"/>
      <c r="G36" s="1085"/>
      <c r="H36" s="1085"/>
      <c r="I36" s="1085"/>
      <c r="J36" s="1085"/>
      <c r="K36" s="1085"/>
      <c r="L36" s="1085"/>
      <c r="M36" s="1085"/>
      <c r="N36" s="1085"/>
      <c r="O36" s="1093"/>
      <c r="Q36" s="1085"/>
      <c r="S36" s="918"/>
      <c r="U36" s="913"/>
      <c r="V36" s="925"/>
      <c r="W36" s="925"/>
    </row>
    <row r="37" spans="1:25" ht="15" customHeight="1">
      <c r="A37" s="889"/>
      <c r="B37" s="1089" t="s">
        <v>1641</v>
      </c>
      <c r="C37" s="1093">
        <v>0</v>
      </c>
      <c r="D37" s="1093">
        <v>0</v>
      </c>
      <c r="E37" s="1093">
        <v>802157.92</v>
      </c>
      <c r="F37" s="1093">
        <v>518697.17</v>
      </c>
      <c r="G37" s="1093">
        <v>517665.12</v>
      </c>
      <c r="H37" s="1093">
        <v>506512.06</v>
      </c>
      <c r="I37" s="1093">
        <v>504741.42</v>
      </c>
      <c r="J37" s="1093">
        <v>510459.04</v>
      </c>
      <c r="K37" s="1093">
        <v>485642.11</v>
      </c>
      <c r="L37" s="1093">
        <v>496819.7</v>
      </c>
      <c r="M37" s="1093">
        <v>506379.39</v>
      </c>
      <c r="N37" s="1093">
        <v>445702.47</v>
      </c>
      <c r="O37" s="1095"/>
      <c r="Q37" s="1093">
        <f t="shared" si="2"/>
        <v>6353731.6799999988</v>
      </c>
      <c r="S37" s="918"/>
      <c r="U37" s="915" t="s">
        <v>214</v>
      </c>
      <c r="V37" s="924">
        <f>V20-V35</f>
        <v>3646458.8519999986</v>
      </c>
      <c r="W37" s="924">
        <v>3985887.0685714269</v>
      </c>
      <c r="Y37" s="1308">
        <f>V37/W37-1</f>
        <v>-8.5157509666494935E-2</v>
      </c>
    </row>
    <row r="38" spans="1:25" ht="15" customHeight="1">
      <c r="A38" s="889"/>
      <c r="B38" s="1085" t="s">
        <v>327</v>
      </c>
      <c r="C38" s="1085"/>
      <c r="D38" s="1085"/>
      <c r="E38" s="1085"/>
      <c r="F38" s="1085"/>
      <c r="G38" s="1085"/>
      <c r="H38" s="1085"/>
      <c r="I38" s="1085"/>
      <c r="J38" s="1085"/>
      <c r="K38" s="1085"/>
      <c r="L38" s="1085"/>
      <c r="M38" s="1085"/>
      <c r="N38" s="1085"/>
      <c r="O38" s="1090"/>
      <c r="Q38" s="1085"/>
      <c r="S38" s="918"/>
      <c r="U38" s="913"/>
      <c r="V38" s="1097"/>
      <c r="W38" s="913"/>
    </row>
    <row r="39" spans="1:25" ht="15" customHeight="1">
      <c r="A39" s="889"/>
      <c r="B39" s="1085" t="s">
        <v>1642</v>
      </c>
      <c r="C39" s="1090">
        <v>0</v>
      </c>
      <c r="D39" s="1090">
        <v>0</v>
      </c>
      <c r="E39" s="1090">
        <v>-277.83999999999997</v>
      </c>
      <c r="F39" s="1090">
        <v>47.19</v>
      </c>
      <c r="G39" s="1090">
        <v>-1110.3699999999999</v>
      </c>
      <c r="H39" s="1090">
        <v>-2067.11</v>
      </c>
      <c r="I39" s="1090">
        <v>-210.13</v>
      </c>
      <c r="J39" s="1090">
        <v>-4356.76</v>
      </c>
      <c r="K39" s="1090">
        <v>303.92</v>
      </c>
      <c r="L39" s="1090">
        <v>-7347.68</v>
      </c>
      <c r="M39" s="1090">
        <v>89.72</v>
      </c>
      <c r="N39" s="1090">
        <v>-595.36</v>
      </c>
      <c r="O39" s="1095"/>
      <c r="P39" s="900"/>
      <c r="Q39" s="1090">
        <f t="shared" si="2"/>
        <v>-18629.304</v>
      </c>
      <c r="R39" s="900"/>
      <c r="S39" s="918" t="str">
        <f>_xlfn.XLOOKUP($B39,Coding!$D:$D,Coding!$F:$F,"x")</f>
        <v xml:space="preserve">      Other Income</v>
      </c>
      <c r="T39" s="900"/>
      <c r="U39" s="913" t="s">
        <v>1747</v>
      </c>
      <c r="V39" s="922">
        <f>SUMIF($S:$S,U39,$O:$O)*12</f>
        <v>0</v>
      </c>
      <c r="W39" s="922">
        <v>0</v>
      </c>
    </row>
    <row r="40" spans="1:25" ht="15" customHeight="1">
      <c r="A40" s="889"/>
      <c r="B40" s="1085" t="s">
        <v>327</v>
      </c>
      <c r="C40" s="1085"/>
      <c r="D40" s="1085"/>
      <c r="E40" s="1085"/>
      <c r="F40" s="1085"/>
      <c r="G40" s="1085"/>
      <c r="H40" s="1085"/>
      <c r="I40" s="1085"/>
      <c r="J40" s="1085"/>
      <c r="K40" s="1085"/>
      <c r="L40" s="1085"/>
      <c r="M40" s="1085"/>
      <c r="N40" s="1085"/>
      <c r="O40" s="1092"/>
      <c r="Q40" s="1085"/>
      <c r="S40" s="918"/>
      <c r="U40" s="913" t="s">
        <v>1748</v>
      </c>
      <c r="V40" s="922">
        <f>SUMIF($S:$S,U40,$O:$O)*12</f>
        <v>0</v>
      </c>
      <c r="W40" s="922">
        <v>0</v>
      </c>
    </row>
    <row r="41" spans="1:25" ht="15" customHeight="1">
      <c r="A41" s="889"/>
      <c r="B41" s="1089" t="s">
        <v>1643</v>
      </c>
      <c r="C41" s="1307">
        <v>0</v>
      </c>
      <c r="D41" s="1307">
        <v>0</v>
      </c>
      <c r="E41" s="1307">
        <v>-277.83999999999997</v>
      </c>
      <c r="F41" s="1307">
        <v>47.19</v>
      </c>
      <c r="G41" s="1307">
        <v>-1110.3699999999999</v>
      </c>
      <c r="H41" s="1307">
        <v>-2067.11</v>
      </c>
      <c r="I41" s="1307">
        <v>-210.13</v>
      </c>
      <c r="J41" s="1307">
        <v>-4356.76</v>
      </c>
      <c r="K41" s="1307">
        <v>303.92</v>
      </c>
      <c r="L41" s="1307">
        <v>-7347.68</v>
      </c>
      <c r="M41" s="1307">
        <v>89.72</v>
      </c>
      <c r="N41" s="1307">
        <v>-595.36</v>
      </c>
      <c r="O41" s="1095"/>
      <c r="Q41" s="1307">
        <f t="shared" si="2"/>
        <v>-18629.304</v>
      </c>
      <c r="S41" s="918"/>
      <c r="U41" s="913" t="s">
        <v>159</v>
      </c>
      <c r="V41" s="922">
        <f>SUMIF($S:$S,U41,$O:$O)*12</f>
        <v>0</v>
      </c>
      <c r="W41" s="922">
        <v>0</v>
      </c>
    </row>
    <row r="42" spans="1:25" ht="15" customHeight="1">
      <c r="A42" s="889"/>
      <c r="B42" s="1085" t="s">
        <v>327</v>
      </c>
      <c r="C42" s="1085"/>
      <c r="D42" s="1085"/>
      <c r="E42" s="1085"/>
      <c r="F42" s="1085"/>
      <c r="G42" s="1085"/>
      <c r="H42" s="1085"/>
      <c r="I42" s="1085"/>
      <c r="J42" s="1085"/>
      <c r="K42" s="1085"/>
      <c r="L42" s="1085"/>
      <c r="M42" s="1085"/>
      <c r="N42" s="1085"/>
      <c r="O42" s="1093"/>
      <c r="Q42" s="1085"/>
      <c r="S42" s="918"/>
      <c r="U42" s="913"/>
      <c r="V42" s="913"/>
      <c r="W42" s="913"/>
    </row>
    <row r="43" spans="1:25" ht="15" customHeight="1">
      <c r="A43" s="889"/>
      <c r="B43" s="1089" t="s">
        <v>1644</v>
      </c>
      <c r="C43" s="1093">
        <v>0</v>
      </c>
      <c r="D43" s="1093">
        <v>0</v>
      </c>
      <c r="E43" s="1093">
        <v>801880.08</v>
      </c>
      <c r="F43" s="1093">
        <v>518744.36</v>
      </c>
      <c r="G43" s="1093">
        <v>516554.75</v>
      </c>
      <c r="H43" s="1093">
        <v>504444.95</v>
      </c>
      <c r="I43" s="1093">
        <v>504531.29</v>
      </c>
      <c r="J43" s="1093">
        <v>506102.28</v>
      </c>
      <c r="K43" s="1093">
        <v>485946.03</v>
      </c>
      <c r="L43" s="1093">
        <v>489472.02</v>
      </c>
      <c r="M43" s="1093">
        <v>506469.11</v>
      </c>
      <c r="N43" s="1093">
        <v>445107.11</v>
      </c>
      <c r="O43" s="1095"/>
      <c r="P43" s="897"/>
      <c r="Q43" s="1093">
        <f t="shared" si="2"/>
        <v>6335102.3760000002</v>
      </c>
      <c r="R43" s="897"/>
      <c r="S43" s="918"/>
      <c r="T43" s="897"/>
      <c r="U43" s="913" t="s">
        <v>1749</v>
      </c>
      <c r="V43" s="913"/>
      <c r="W43" s="913"/>
    </row>
    <row r="44" spans="1:25" ht="15" customHeight="1">
      <c r="A44" s="889"/>
      <c r="B44" s="1085" t="s">
        <v>327</v>
      </c>
      <c r="C44" s="1085"/>
      <c r="D44" s="1085"/>
      <c r="E44" s="1085"/>
      <c r="F44" s="1085"/>
      <c r="G44" s="1085"/>
      <c r="H44" s="1085"/>
      <c r="I44" s="1085"/>
      <c r="J44" s="1085"/>
      <c r="K44" s="1085"/>
      <c r="L44" s="1085"/>
      <c r="M44" s="1085"/>
      <c r="N44" s="1085"/>
      <c r="O44" s="1085"/>
      <c r="Q44" s="1085"/>
      <c r="S44" s="918"/>
      <c r="U44" s="914" t="s">
        <v>1750</v>
      </c>
      <c r="V44" s="913"/>
      <c r="W44" s="913"/>
    </row>
    <row r="45" spans="1:25" ht="15" customHeight="1">
      <c r="A45" s="889"/>
      <c r="B45" s="1089" t="s">
        <v>1645</v>
      </c>
      <c r="C45" s="1085" t="s">
        <v>1635</v>
      </c>
      <c r="D45" s="1085" t="s">
        <v>1635</v>
      </c>
      <c r="E45" s="1085" t="s">
        <v>1635</v>
      </c>
      <c r="F45" s="1085" t="s">
        <v>1635</v>
      </c>
      <c r="G45" s="1085" t="s">
        <v>1635</v>
      </c>
      <c r="H45" s="1085" t="s">
        <v>1635</v>
      </c>
      <c r="I45" s="1085" t="s">
        <v>1635</v>
      </c>
      <c r="J45" s="1085" t="s">
        <v>1635</v>
      </c>
      <c r="K45" s="1085" t="s">
        <v>1635</v>
      </c>
      <c r="L45" s="1085" t="s">
        <v>1635</v>
      </c>
      <c r="M45" s="1085" t="s">
        <v>1635</v>
      </c>
      <c r="N45" s="1085" t="s">
        <v>1635</v>
      </c>
      <c r="O45" s="1090"/>
      <c r="Q45" s="1085"/>
      <c r="S45" s="918"/>
      <c r="U45" s="913" t="s">
        <v>1751</v>
      </c>
      <c r="V45" s="913"/>
      <c r="W45" s="913"/>
    </row>
    <row r="46" spans="1:25" ht="15" customHeight="1">
      <c r="A46" s="889"/>
      <c r="B46" s="1085" t="s">
        <v>1646</v>
      </c>
      <c r="C46" s="1090">
        <v>0</v>
      </c>
      <c r="D46" s="1090">
        <v>0</v>
      </c>
      <c r="E46" s="1090">
        <v>600</v>
      </c>
      <c r="F46" s="1090">
        <v>450</v>
      </c>
      <c r="G46" s="1090">
        <v>525</v>
      </c>
      <c r="H46" s="1090">
        <v>450</v>
      </c>
      <c r="I46" s="1090">
        <v>450</v>
      </c>
      <c r="J46" s="1090">
        <v>600</v>
      </c>
      <c r="K46" s="1090">
        <v>1275</v>
      </c>
      <c r="L46" s="1090">
        <v>1050</v>
      </c>
      <c r="M46" s="1090">
        <v>1725</v>
      </c>
      <c r="N46" s="1090">
        <v>75</v>
      </c>
      <c r="O46" s="1090"/>
      <c r="Q46" s="1090">
        <f t="shared" ref="Q46:Q72" si="3">IFERROR(SUM(E46:N46)*(12/10),"")</f>
        <v>8640</v>
      </c>
      <c r="S46" s="918" t="str">
        <f>_xlfn.XLOOKUP($B46,Coding!$D:$D,Coding!$F:$F,"x")</f>
        <v xml:space="preserve">      Other Income</v>
      </c>
      <c r="U46" s="913" t="s">
        <v>1752</v>
      </c>
      <c r="V46" s="913"/>
      <c r="W46" s="913"/>
    </row>
    <row r="47" spans="1:25" ht="15" customHeight="1">
      <c r="A47" s="889"/>
      <c r="B47" s="1085" t="s">
        <v>1647</v>
      </c>
      <c r="C47" s="1090">
        <v>0</v>
      </c>
      <c r="D47" s="1090">
        <v>0</v>
      </c>
      <c r="E47" s="1090">
        <v>4339.93</v>
      </c>
      <c r="F47" s="1090">
        <v>400</v>
      </c>
      <c r="G47" s="1090">
        <v>1213.95</v>
      </c>
      <c r="H47" s="1090">
        <v>1400</v>
      </c>
      <c r="I47" s="1090">
        <v>-200</v>
      </c>
      <c r="J47" s="1090">
        <v>675</v>
      </c>
      <c r="K47" s="1090">
        <v>400</v>
      </c>
      <c r="L47" s="1090">
        <v>0</v>
      </c>
      <c r="M47" s="1090">
        <v>1050</v>
      </c>
      <c r="N47" s="1090">
        <v>0</v>
      </c>
      <c r="O47" s="1090"/>
      <c r="Q47" s="1090">
        <f t="shared" si="3"/>
        <v>11134.656000000001</v>
      </c>
      <c r="S47" s="918" t="str">
        <f>_xlfn.XLOOKUP($B47,Coding!$D:$D,Coding!$F:$F,"x")</f>
        <v xml:space="preserve">      Other Income</v>
      </c>
      <c r="U47" s="913" t="s">
        <v>1753</v>
      </c>
      <c r="V47" s="913"/>
      <c r="W47" s="913"/>
    </row>
    <row r="48" spans="1:25" ht="15" customHeight="1">
      <c r="A48" s="889"/>
      <c r="B48" s="1085" t="s">
        <v>1648</v>
      </c>
      <c r="C48" s="1090">
        <v>0</v>
      </c>
      <c r="D48" s="1090">
        <v>0</v>
      </c>
      <c r="E48" s="1090">
        <v>1703.34</v>
      </c>
      <c r="F48" s="1090">
        <v>926.17</v>
      </c>
      <c r="G48" s="1090">
        <v>925.82</v>
      </c>
      <c r="H48" s="1090">
        <v>2302.86</v>
      </c>
      <c r="I48" s="1090">
        <v>1823.39</v>
      </c>
      <c r="J48" s="1090">
        <v>1369.51</v>
      </c>
      <c r="K48" s="1090">
        <v>1173.83</v>
      </c>
      <c r="L48" s="1090">
        <v>1908.07</v>
      </c>
      <c r="M48" s="1090">
        <v>603.23</v>
      </c>
      <c r="N48" s="1090">
        <v>2267.73</v>
      </c>
      <c r="O48" s="1090"/>
      <c r="Q48" s="1090">
        <f t="shared" si="3"/>
        <v>18004.739999999998</v>
      </c>
      <c r="S48" s="918" t="str">
        <f>_xlfn.XLOOKUP($B48,Coding!$D:$D,Coding!$F:$F,"x")</f>
        <v xml:space="preserve">      Other Income</v>
      </c>
      <c r="U48" s="913" t="s">
        <v>1754</v>
      </c>
      <c r="V48" s="913"/>
      <c r="W48" s="913"/>
    </row>
    <row r="49" spans="1:24" ht="15" customHeight="1">
      <c r="A49" s="889"/>
      <c r="B49" s="1085" t="s">
        <v>1649</v>
      </c>
      <c r="C49" s="1090">
        <v>0</v>
      </c>
      <c r="D49" s="1090">
        <v>0</v>
      </c>
      <c r="E49" s="1090">
        <v>3121.89</v>
      </c>
      <c r="F49" s="1090">
        <v>2173.34</v>
      </c>
      <c r="G49" s="1090">
        <v>1134.3499999999999</v>
      </c>
      <c r="H49" s="1090">
        <v>969.56</v>
      </c>
      <c r="I49" s="1090">
        <v>2007.31</v>
      </c>
      <c r="J49" s="1090">
        <v>736.25</v>
      </c>
      <c r="K49" s="1090">
        <v>1385.22</v>
      </c>
      <c r="L49" s="1090">
        <v>307.33999999999997</v>
      </c>
      <c r="M49" s="1090">
        <v>1204.75</v>
      </c>
      <c r="N49" s="1090">
        <v>1144.2</v>
      </c>
      <c r="O49" s="1090"/>
      <c r="Q49" s="1090">
        <f t="shared" si="3"/>
        <v>17021.052</v>
      </c>
      <c r="S49" s="918" t="str">
        <f>_xlfn.XLOOKUP($B49,Coding!$D:$D,Coding!$F:$F,"x")</f>
        <v xml:space="preserve">      Other Income</v>
      </c>
      <c r="U49" s="913" t="s">
        <v>1755</v>
      </c>
      <c r="V49" s="913"/>
      <c r="W49" s="913"/>
    </row>
    <row r="50" spans="1:24" ht="15" customHeight="1">
      <c r="A50" s="889"/>
      <c r="B50" s="1085" t="s">
        <v>1650</v>
      </c>
      <c r="C50" s="1090">
        <v>0</v>
      </c>
      <c r="D50" s="1090">
        <v>0</v>
      </c>
      <c r="E50" s="1090">
        <v>200</v>
      </c>
      <c r="F50" s="1090">
        <v>-100</v>
      </c>
      <c r="G50" s="1090">
        <v>400</v>
      </c>
      <c r="H50" s="1090">
        <v>400</v>
      </c>
      <c r="I50" s="1090">
        <v>500</v>
      </c>
      <c r="J50" s="1090">
        <v>0</v>
      </c>
      <c r="K50" s="1090">
        <v>100</v>
      </c>
      <c r="L50" s="1090">
        <v>77.38</v>
      </c>
      <c r="M50" s="1090">
        <v>200</v>
      </c>
      <c r="N50" s="1090">
        <v>100</v>
      </c>
      <c r="O50" s="1090"/>
      <c r="Q50" s="1090">
        <f t="shared" si="3"/>
        <v>2252.8560000000002</v>
      </c>
      <c r="S50" s="918" t="str">
        <f>_xlfn.XLOOKUP($B50,Coding!$D:$D,Coding!$F:$F,"x")</f>
        <v xml:space="preserve">      Other Income</v>
      </c>
      <c r="U50" s="916" t="s">
        <v>1735</v>
      </c>
      <c r="V50" s="916"/>
      <c r="W50" s="916"/>
    </row>
    <row r="51" spans="1:24" ht="14.25" customHeight="1">
      <c r="A51" s="889"/>
      <c r="B51" s="1085" t="s">
        <v>1781</v>
      </c>
      <c r="C51" s="1090">
        <v>0</v>
      </c>
      <c r="D51" s="1090">
        <v>0</v>
      </c>
      <c r="E51" s="1090">
        <v>0</v>
      </c>
      <c r="F51" s="1090">
        <v>0</v>
      </c>
      <c r="G51" s="1090">
        <v>5390</v>
      </c>
      <c r="H51" s="1090">
        <v>0</v>
      </c>
      <c r="I51" s="1090">
        <v>9824.1</v>
      </c>
      <c r="J51" s="1090">
        <v>-24995.33</v>
      </c>
      <c r="K51" s="1090">
        <v>0</v>
      </c>
      <c r="L51" s="1090">
        <v>0</v>
      </c>
      <c r="M51" s="1090">
        <v>4281.93</v>
      </c>
      <c r="N51" s="1090">
        <v>0</v>
      </c>
      <c r="O51" s="1090"/>
      <c r="Q51" s="1090">
        <f t="shared" si="3"/>
        <v>-6599.1600000000008</v>
      </c>
      <c r="S51" s="918" t="str">
        <f>_xlfn.XLOOKUP($B51,Coding!$D:$D,Coding!$F:$F,"x")</f>
        <v xml:space="preserve">      Other Income</v>
      </c>
    </row>
    <row r="52" spans="1:24" ht="15" customHeight="1">
      <c r="A52" s="889"/>
      <c r="B52" s="1085" t="s">
        <v>1651</v>
      </c>
      <c r="C52" s="1090">
        <v>0</v>
      </c>
      <c r="D52" s="1090">
        <v>0</v>
      </c>
      <c r="E52" s="1090">
        <v>125</v>
      </c>
      <c r="F52" s="1090">
        <v>0</v>
      </c>
      <c r="G52" s="1090">
        <v>0</v>
      </c>
      <c r="H52" s="1090">
        <v>135.88999999999999</v>
      </c>
      <c r="I52" s="1090">
        <v>1190</v>
      </c>
      <c r="J52" s="1090">
        <v>0</v>
      </c>
      <c r="K52" s="1090">
        <v>215.31</v>
      </c>
      <c r="L52" s="1090">
        <v>300</v>
      </c>
      <c r="M52" s="1090">
        <v>108.08</v>
      </c>
      <c r="N52" s="1090">
        <v>0</v>
      </c>
      <c r="O52" s="1090"/>
      <c r="Q52" s="1090">
        <f t="shared" si="3"/>
        <v>2489.1359999999995</v>
      </c>
      <c r="S52" s="918" t="str">
        <f>_xlfn.XLOOKUP($B52,Coding!$D:$D,Coding!$F:$F,"x")</f>
        <v xml:space="preserve">      Other Income</v>
      </c>
    </row>
    <row r="53" spans="1:24" ht="15" customHeight="1">
      <c r="A53" s="889"/>
      <c r="B53" s="1085" t="s">
        <v>1782</v>
      </c>
      <c r="C53" s="1090">
        <v>0</v>
      </c>
      <c r="D53" s="1090">
        <v>0</v>
      </c>
      <c r="E53" s="1090">
        <v>0</v>
      </c>
      <c r="F53" s="1090">
        <v>368</v>
      </c>
      <c r="G53" s="1090">
        <v>184</v>
      </c>
      <c r="H53" s="1090">
        <v>224</v>
      </c>
      <c r="I53" s="1090">
        <v>-1127.9000000000001</v>
      </c>
      <c r="J53" s="1090">
        <v>224</v>
      </c>
      <c r="K53" s="1090">
        <v>-845.48</v>
      </c>
      <c r="L53" s="1090">
        <v>-363</v>
      </c>
      <c r="M53" s="1090">
        <v>278</v>
      </c>
      <c r="N53" s="1090">
        <v>0</v>
      </c>
      <c r="O53" s="1090"/>
      <c r="Q53" s="1090">
        <f t="shared" si="3"/>
        <v>-1270.056</v>
      </c>
      <c r="S53" s="918" t="str">
        <f>_xlfn.XLOOKUP($B53,Coding!$D:$D,Coding!$F:$F,"x")</f>
        <v xml:space="preserve">      Other Income</v>
      </c>
      <c r="U53" s="885" t="s">
        <v>1824</v>
      </c>
      <c r="V53" s="1097">
        <f>V37+Q38</f>
        <v>3646458.8519999986</v>
      </c>
    </row>
    <row r="54" spans="1:24" ht="15" customHeight="1">
      <c r="A54" s="889"/>
      <c r="B54" s="1085" t="s">
        <v>1652</v>
      </c>
      <c r="C54" s="1090">
        <v>0</v>
      </c>
      <c r="D54" s="1090">
        <v>0</v>
      </c>
      <c r="E54" s="1090">
        <v>1570.42</v>
      </c>
      <c r="F54" s="1090">
        <v>1545.35</v>
      </c>
      <c r="G54" s="1090">
        <v>1574.52</v>
      </c>
      <c r="H54" s="1090">
        <v>1529.3</v>
      </c>
      <c r="I54" s="1090">
        <v>1476.82</v>
      </c>
      <c r="J54" s="1090">
        <v>1438.85</v>
      </c>
      <c r="K54" s="1090">
        <v>1403.51</v>
      </c>
      <c r="L54" s="1090">
        <v>1407.25</v>
      </c>
      <c r="M54" s="1090">
        <v>1568.69</v>
      </c>
      <c r="N54" s="1090">
        <v>1319.71</v>
      </c>
      <c r="O54" s="1090"/>
      <c r="Q54" s="1090">
        <f t="shared" si="3"/>
        <v>17801.304</v>
      </c>
      <c r="S54" s="918" t="str">
        <f>_xlfn.XLOOKUP($B54,Coding!$D:$D,Coding!$F:$F,"x")</f>
        <v xml:space="preserve">      Other Income</v>
      </c>
      <c r="V54" s="1097"/>
    </row>
    <row r="55" spans="1:24" ht="15" customHeight="1">
      <c r="A55" s="889"/>
      <c r="B55" s="1085" t="s">
        <v>1653</v>
      </c>
      <c r="C55" s="1090">
        <v>0</v>
      </c>
      <c r="D55" s="1090">
        <v>0</v>
      </c>
      <c r="E55" s="1090">
        <v>1782.97</v>
      </c>
      <c r="F55" s="1090">
        <v>0</v>
      </c>
      <c r="G55" s="1090">
        <v>1000</v>
      </c>
      <c r="H55" s="1090">
        <v>500</v>
      </c>
      <c r="I55" s="1090">
        <v>500</v>
      </c>
      <c r="J55" s="1090">
        <v>0</v>
      </c>
      <c r="K55" s="1090">
        <v>1000</v>
      </c>
      <c r="L55" s="1090">
        <v>0</v>
      </c>
      <c r="M55" s="1090">
        <v>2000</v>
      </c>
      <c r="N55" s="1090">
        <v>-500</v>
      </c>
      <c r="O55" s="1090"/>
      <c r="Q55" s="1090">
        <f t="shared" si="3"/>
        <v>7539.5640000000003</v>
      </c>
      <c r="S55" s="918" t="str">
        <f>_xlfn.XLOOKUP($B55,Coding!$D:$D,Coding!$F:$F,"x")</f>
        <v xml:space="preserve">      Other Income</v>
      </c>
      <c r="U55" s="1103"/>
      <c r="V55" s="1099"/>
    </row>
    <row r="56" spans="1:24" ht="15" customHeight="1">
      <c r="A56" s="889"/>
      <c r="B56" s="1085" t="s">
        <v>1957</v>
      </c>
      <c r="C56" s="1090">
        <v>0</v>
      </c>
      <c r="D56" s="1090">
        <v>0</v>
      </c>
      <c r="E56" s="1090">
        <v>0</v>
      </c>
      <c r="F56" s="1090">
        <v>0</v>
      </c>
      <c r="G56" s="1090">
        <v>0</v>
      </c>
      <c r="H56" s="1090">
        <v>0</v>
      </c>
      <c r="I56" s="1090">
        <v>0</v>
      </c>
      <c r="J56" s="1090">
        <v>0</v>
      </c>
      <c r="K56" s="1090">
        <v>100</v>
      </c>
      <c r="L56" s="1090">
        <v>0</v>
      </c>
      <c r="M56" s="1090">
        <v>0</v>
      </c>
      <c r="N56" s="1090">
        <v>0</v>
      </c>
      <c r="O56" s="1090"/>
      <c r="Q56" s="1090">
        <f t="shared" si="3"/>
        <v>120</v>
      </c>
      <c r="S56" s="918" t="str">
        <f>_xlfn.XLOOKUP($B56,Coding!$D:$D,Coding!$F:$F,"x")</f>
        <v xml:space="preserve">      Other Income</v>
      </c>
    </row>
    <row r="57" spans="1:24" ht="15" customHeight="1">
      <c r="A57" s="889"/>
      <c r="B57" s="1085" t="s">
        <v>1654</v>
      </c>
      <c r="C57" s="1090">
        <v>0</v>
      </c>
      <c r="D57" s="1090">
        <v>0</v>
      </c>
      <c r="E57" s="1090">
        <v>3042.15</v>
      </c>
      <c r="F57" s="1090">
        <v>0</v>
      </c>
      <c r="G57" s="1090">
        <v>0</v>
      </c>
      <c r="H57" s="1090">
        <v>0</v>
      </c>
      <c r="I57" s="1090">
        <v>3296</v>
      </c>
      <c r="J57" s="1090">
        <v>3974</v>
      </c>
      <c r="K57" s="1090">
        <v>26812.6</v>
      </c>
      <c r="L57" s="1090">
        <v>-18974</v>
      </c>
      <c r="M57" s="1090">
        <v>3614.64</v>
      </c>
      <c r="N57" s="1090">
        <v>921.28</v>
      </c>
      <c r="O57" s="1090"/>
      <c r="Q57" s="1090">
        <f t="shared" si="3"/>
        <v>27224.003999999997</v>
      </c>
      <c r="S57" s="1136" t="s">
        <v>1995</v>
      </c>
      <c r="U57" s="1104" t="s">
        <v>2161</v>
      </c>
      <c r="V57" s="1102">
        <f>SUM(I29:N31)*2</f>
        <v>-327411.30000000005</v>
      </c>
    </row>
    <row r="58" spans="1:24" ht="15" customHeight="1">
      <c r="A58" s="889"/>
      <c r="B58" s="1085" t="s">
        <v>1655</v>
      </c>
      <c r="C58" s="1090">
        <v>0</v>
      </c>
      <c r="D58" s="1090">
        <v>0</v>
      </c>
      <c r="E58" s="1090">
        <v>8753.1</v>
      </c>
      <c r="F58" s="1090">
        <v>5390.2</v>
      </c>
      <c r="G58" s="1090">
        <v>4915.6899999999996</v>
      </c>
      <c r="H58" s="1090">
        <v>5358.88</v>
      </c>
      <c r="I58" s="1090">
        <v>-4477.5</v>
      </c>
      <c r="J58" s="1090">
        <v>25394.31</v>
      </c>
      <c r="K58" s="1090">
        <v>5506.96</v>
      </c>
      <c r="L58" s="1090">
        <v>5416.84</v>
      </c>
      <c r="M58" s="1090">
        <v>8009.03</v>
      </c>
      <c r="N58" s="1090">
        <v>16179.91</v>
      </c>
      <c r="O58" s="1090"/>
      <c r="Q58" s="1090">
        <f t="shared" si="3"/>
        <v>96536.903999999995</v>
      </c>
      <c r="S58" s="918" t="str">
        <f>_xlfn.XLOOKUP($B58,Coding!$D:$D,Coding!$F:$F,"x")</f>
        <v xml:space="preserve">      Other Income</v>
      </c>
    </row>
    <row r="59" spans="1:24" ht="15" customHeight="1">
      <c r="A59" s="889"/>
      <c r="B59" s="1085" t="s">
        <v>2279</v>
      </c>
      <c r="C59" s="1090">
        <v>0</v>
      </c>
      <c r="D59" s="1090">
        <v>0</v>
      </c>
      <c r="E59" s="1090">
        <v>0</v>
      </c>
      <c r="F59" s="1090">
        <v>0</v>
      </c>
      <c r="G59" s="1090">
        <v>0</v>
      </c>
      <c r="H59" s="1090">
        <v>0</v>
      </c>
      <c r="I59" s="1090">
        <v>0</v>
      </c>
      <c r="J59" s="1090">
        <v>0</v>
      </c>
      <c r="K59" s="1090">
        <v>0</v>
      </c>
      <c r="L59" s="1090">
        <v>500</v>
      </c>
      <c r="M59" s="1090">
        <v>500</v>
      </c>
      <c r="N59" s="1090">
        <v>500</v>
      </c>
      <c r="O59" s="1090"/>
      <c r="Q59" s="1090">
        <f t="shared" si="3"/>
        <v>1800</v>
      </c>
      <c r="S59" s="918" t="str">
        <f>_xlfn.XLOOKUP($B59,Coding!$D:$D,Coding!$F:$F,"x")</f>
        <v xml:space="preserve">      Other Income</v>
      </c>
    </row>
    <row r="60" spans="1:24" ht="15" customHeight="1">
      <c r="A60" s="889"/>
      <c r="B60" s="1085" t="s">
        <v>1656</v>
      </c>
      <c r="C60" s="1090">
        <v>0</v>
      </c>
      <c r="D60" s="1090">
        <v>0</v>
      </c>
      <c r="E60" s="1090">
        <v>4821.91</v>
      </c>
      <c r="F60" s="1090">
        <v>4667.42</v>
      </c>
      <c r="G60" s="1090">
        <v>4581.79</v>
      </c>
      <c r="H60" s="1090">
        <v>4565.84</v>
      </c>
      <c r="I60" s="1090">
        <v>4573.6499999999996</v>
      </c>
      <c r="J60" s="1090">
        <v>4587.08</v>
      </c>
      <c r="K60" s="1090">
        <v>4631.1499999999996</v>
      </c>
      <c r="L60" s="1090">
        <v>4821.42</v>
      </c>
      <c r="M60" s="1090">
        <v>5133.3500000000004</v>
      </c>
      <c r="N60" s="1090">
        <v>4847.54</v>
      </c>
      <c r="O60" s="1090"/>
      <c r="Q60" s="1090">
        <f t="shared" si="3"/>
        <v>56677.38</v>
      </c>
      <c r="S60" s="918" t="str">
        <f>_xlfn.XLOOKUP($B60,Coding!$D:$D,Coding!$F:$F,"x")</f>
        <v xml:space="preserve">      Other Income</v>
      </c>
    </row>
    <row r="61" spans="1:24" ht="15" customHeight="1">
      <c r="A61" s="889"/>
      <c r="B61" s="1085" t="s">
        <v>1958</v>
      </c>
      <c r="C61" s="1090">
        <v>0</v>
      </c>
      <c r="D61" s="1090">
        <v>0</v>
      </c>
      <c r="E61" s="1090">
        <v>0</v>
      </c>
      <c r="F61" s="1090">
        <v>0</v>
      </c>
      <c r="G61" s="1090">
        <v>0</v>
      </c>
      <c r="H61" s="1090">
        <v>0</v>
      </c>
      <c r="I61" s="1090">
        <v>0</v>
      </c>
      <c r="J61" s="1090">
        <v>0</v>
      </c>
      <c r="K61" s="1090">
        <v>250</v>
      </c>
      <c r="L61" s="1090">
        <v>0</v>
      </c>
      <c r="M61" s="1090">
        <v>0</v>
      </c>
      <c r="N61" s="1090">
        <v>0</v>
      </c>
      <c r="O61" s="1090"/>
      <c r="Q61" s="1090">
        <f t="shared" si="3"/>
        <v>300</v>
      </c>
      <c r="S61" s="918" t="str">
        <f>_xlfn.XLOOKUP($B61,Coding!$D:$D,Coding!$F:$F,"x")</f>
        <v xml:space="preserve">      Other Income</v>
      </c>
    </row>
    <row r="62" spans="1:24" ht="15" customHeight="1">
      <c r="A62" s="889"/>
      <c r="B62" s="1085" t="s">
        <v>1657</v>
      </c>
      <c r="C62" s="1090">
        <v>0</v>
      </c>
      <c r="D62" s="1090">
        <v>0</v>
      </c>
      <c r="E62" s="1090">
        <v>1695.15</v>
      </c>
      <c r="F62" s="1090">
        <v>1739.93</v>
      </c>
      <c r="G62" s="1090">
        <v>1807.89</v>
      </c>
      <c r="H62" s="1090">
        <v>1793.99</v>
      </c>
      <c r="I62" s="1090">
        <v>1748.19</v>
      </c>
      <c r="J62" s="1090">
        <v>1715.28</v>
      </c>
      <c r="K62" s="1090">
        <v>1159.92</v>
      </c>
      <c r="L62" s="1090">
        <v>1574.51</v>
      </c>
      <c r="M62" s="1090">
        <v>1614.55</v>
      </c>
      <c r="N62" s="1090">
        <v>384.03</v>
      </c>
      <c r="O62" s="1090"/>
      <c r="Q62" s="1090">
        <f t="shared" si="3"/>
        <v>18280.128000000001</v>
      </c>
      <c r="S62" s="918" t="str">
        <f>_xlfn.XLOOKUP($B62,Coding!$D:$D,Coding!$F:$F,"x")</f>
        <v xml:space="preserve">      Other Income</v>
      </c>
    </row>
    <row r="63" spans="1:24" ht="15" customHeight="1">
      <c r="A63" s="889"/>
      <c r="B63" s="1085" t="s">
        <v>1658</v>
      </c>
      <c r="C63" s="1090">
        <v>0</v>
      </c>
      <c r="D63" s="1090">
        <v>0</v>
      </c>
      <c r="E63" s="1090">
        <v>13298.98</v>
      </c>
      <c r="F63" s="1090">
        <v>9533.44</v>
      </c>
      <c r="G63" s="1090">
        <v>9567.9500000000007</v>
      </c>
      <c r="H63" s="1090">
        <v>9562.18</v>
      </c>
      <c r="I63" s="1090">
        <v>9615.5</v>
      </c>
      <c r="J63" s="1090">
        <v>9972.64</v>
      </c>
      <c r="K63" s="1090">
        <v>9837.66</v>
      </c>
      <c r="L63" s="1090">
        <v>9633.5</v>
      </c>
      <c r="M63" s="1090">
        <v>9921.4599999999991</v>
      </c>
      <c r="N63" s="1090">
        <v>7735.21</v>
      </c>
      <c r="O63" s="1090"/>
      <c r="Q63" s="1090">
        <f t="shared" si="3"/>
        <v>118414.224</v>
      </c>
      <c r="S63" s="918" t="str">
        <f>_xlfn.XLOOKUP($B63,Coding!$D:$D,Coding!$F:$F,"x")</f>
        <v xml:space="preserve">      Other Income</v>
      </c>
      <c r="V63" s="928"/>
      <c r="X63" s="929"/>
    </row>
    <row r="64" spans="1:24" ht="15" customHeight="1">
      <c r="A64" s="889"/>
      <c r="B64" s="1085" t="s">
        <v>1659</v>
      </c>
      <c r="C64" s="1090">
        <v>0</v>
      </c>
      <c r="D64" s="1090">
        <v>0</v>
      </c>
      <c r="E64" s="1090">
        <v>1046.43</v>
      </c>
      <c r="F64" s="1090">
        <v>139.5</v>
      </c>
      <c r="G64" s="1090">
        <v>837</v>
      </c>
      <c r="H64" s="1090">
        <v>837</v>
      </c>
      <c r="I64" s="1090">
        <v>878.85</v>
      </c>
      <c r="J64" s="1090">
        <v>1088.0999999999999</v>
      </c>
      <c r="K64" s="1090">
        <v>1213.6500000000001</v>
      </c>
      <c r="L64" s="1090">
        <v>1436.85</v>
      </c>
      <c r="M64" s="1090">
        <v>1760.4</v>
      </c>
      <c r="N64" s="1090">
        <v>1520.55</v>
      </c>
      <c r="O64" s="1090"/>
      <c r="Q64" s="1090">
        <f t="shared" si="3"/>
        <v>12909.995999999999</v>
      </c>
      <c r="S64" s="918" t="str">
        <f>_xlfn.XLOOKUP($B64,Coding!$D:$D,Coding!$F:$F,"x")</f>
        <v xml:space="preserve">      Other Income</v>
      </c>
      <c r="V64" s="1098"/>
      <c r="X64" s="930"/>
    </row>
    <row r="65" spans="1:22" ht="15" customHeight="1">
      <c r="A65" s="889"/>
      <c r="B65" s="1085" t="s">
        <v>1660</v>
      </c>
      <c r="C65" s="1090">
        <v>0</v>
      </c>
      <c r="D65" s="1090">
        <v>0</v>
      </c>
      <c r="E65" s="1090">
        <v>1255</v>
      </c>
      <c r="F65" s="1090">
        <v>1255</v>
      </c>
      <c r="G65" s="1090">
        <v>-2510</v>
      </c>
      <c r="H65" s="1090">
        <v>1454</v>
      </c>
      <c r="I65" s="1090">
        <v>-1454</v>
      </c>
      <c r="J65" s="1090">
        <v>2973.46</v>
      </c>
      <c r="K65" s="1090">
        <v>1381.61</v>
      </c>
      <c r="L65" s="1090">
        <v>1343.87</v>
      </c>
      <c r="M65" s="1090">
        <v>1345</v>
      </c>
      <c r="N65" s="1090">
        <v>1216.1099999999999</v>
      </c>
      <c r="O65" s="1090"/>
      <c r="Q65" s="1090">
        <f t="shared" si="3"/>
        <v>9912.06</v>
      </c>
      <c r="S65" s="918" t="str">
        <f>_xlfn.XLOOKUP($B65,Coding!$D:$D,Coding!$F:$F,"x")</f>
        <v xml:space="preserve">      Parking Income</v>
      </c>
      <c r="U65" s="1097"/>
      <c r="V65" s="928"/>
    </row>
    <row r="66" spans="1:22" ht="15" customHeight="1">
      <c r="A66" s="889"/>
      <c r="B66" s="1085" t="s">
        <v>1783</v>
      </c>
      <c r="C66" s="1090">
        <v>0</v>
      </c>
      <c r="D66" s="1090">
        <v>0</v>
      </c>
      <c r="E66" s="1090">
        <v>0</v>
      </c>
      <c r="F66" s="1090">
        <v>0</v>
      </c>
      <c r="G66" s="1090">
        <v>3765</v>
      </c>
      <c r="H66" s="1090">
        <v>0</v>
      </c>
      <c r="I66" s="1090">
        <v>3022.06</v>
      </c>
      <c r="J66" s="1090">
        <v>-1486.63</v>
      </c>
      <c r="K66" s="1090">
        <v>0</v>
      </c>
      <c r="L66" s="1090">
        <v>0</v>
      </c>
      <c r="M66" s="1090">
        <v>0</v>
      </c>
      <c r="N66" s="1090">
        <v>0</v>
      </c>
      <c r="O66" s="1090"/>
      <c r="Q66" s="1090">
        <f t="shared" si="3"/>
        <v>6360.5159999999987</v>
      </c>
      <c r="S66" s="918" t="str">
        <f>_xlfn.XLOOKUP($B66,Coding!$D:$D,Coding!$F:$F,"x")</f>
        <v xml:space="preserve">      Parking Income</v>
      </c>
      <c r="V66" s="928"/>
    </row>
    <row r="67" spans="1:22" ht="15" customHeight="1">
      <c r="A67" s="889"/>
      <c r="B67" s="1085" t="s">
        <v>1661</v>
      </c>
      <c r="C67" s="1090">
        <v>0</v>
      </c>
      <c r="D67" s="1090">
        <v>0</v>
      </c>
      <c r="E67" s="1090">
        <v>6154.78</v>
      </c>
      <c r="F67" s="1090">
        <v>5818.11</v>
      </c>
      <c r="G67" s="1090">
        <v>5918.1</v>
      </c>
      <c r="H67" s="1090">
        <v>5756.72</v>
      </c>
      <c r="I67" s="1090">
        <v>5772.23</v>
      </c>
      <c r="J67" s="1090">
        <v>5842.33</v>
      </c>
      <c r="K67" s="1090">
        <v>5840.96</v>
      </c>
      <c r="L67" s="1090">
        <v>6032.4</v>
      </c>
      <c r="M67" s="1090">
        <v>6669.94</v>
      </c>
      <c r="N67" s="1090">
        <v>3673.52</v>
      </c>
      <c r="O67" s="1095"/>
      <c r="Q67" s="1090">
        <f t="shared" si="3"/>
        <v>68974.907999999996</v>
      </c>
      <c r="S67" s="918" t="str">
        <f>_xlfn.XLOOKUP($B67,Coding!$D:$D,Coding!$F:$F,"x")</f>
        <v xml:space="preserve">      Other Income</v>
      </c>
    </row>
    <row r="68" spans="1:22" ht="15" customHeight="1">
      <c r="A68" s="889"/>
      <c r="B68" s="1085" t="s">
        <v>1662</v>
      </c>
      <c r="C68" s="1090">
        <v>0</v>
      </c>
      <c r="D68" s="1090">
        <v>0</v>
      </c>
      <c r="E68" s="1090">
        <v>17439.8</v>
      </c>
      <c r="F68" s="1090">
        <v>14476.41</v>
      </c>
      <c r="G68" s="1090">
        <v>13099.13</v>
      </c>
      <c r="H68" s="1090">
        <v>12863.75</v>
      </c>
      <c r="I68" s="1090">
        <v>13206.36</v>
      </c>
      <c r="J68" s="1090">
        <v>12302.96</v>
      </c>
      <c r="K68" s="1090">
        <v>13980.41</v>
      </c>
      <c r="L68" s="1090">
        <v>14893.65</v>
      </c>
      <c r="M68" s="1090">
        <v>11406.01</v>
      </c>
      <c r="N68" s="1090">
        <v>-523.45000000000005</v>
      </c>
      <c r="O68" s="1092"/>
      <c r="Q68" s="1090">
        <f t="shared" si="3"/>
        <v>147774.03599999999</v>
      </c>
      <c r="S68" s="918" t="str">
        <f>_xlfn.XLOOKUP($B68,Coding!$D:$D,Coding!$F:$F,"x")</f>
        <v xml:space="preserve">      Other Income</v>
      </c>
    </row>
    <row r="69" spans="1:22" ht="15" customHeight="1">
      <c r="A69" s="889"/>
      <c r="B69" s="1085" t="s">
        <v>327</v>
      </c>
      <c r="C69" s="1085"/>
      <c r="D69" s="1085"/>
      <c r="E69" s="1085"/>
      <c r="F69" s="1085"/>
      <c r="G69" s="1085"/>
      <c r="H69" s="1085"/>
      <c r="I69" s="1085"/>
      <c r="J69" s="1085"/>
      <c r="K69" s="1085"/>
      <c r="L69" s="1085"/>
      <c r="M69" s="1085"/>
      <c r="N69" s="1085"/>
      <c r="O69" s="1095"/>
      <c r="Q69" s="1085"/>
      <c r="S69" s="918"/>
      <c r="U69" s="1097"/>
    </row>
    <row r="70" spans="1:22" ht="15" customHeight="1" thickBot="1">
      <c r="A70" s="889"/>
      <c r="B70" s="1089" t="s">
        <v>1663</v>
      </c>
      <c r="C70" s="1307">
        <v>0</v>
      </c>
      <c r="D70" s="1307">
        <v>0</v>
      </c>
      <c r="E70" s="1307">
        <v>70950.850000000006</v>
      </c>
      <c r="F70" s="1307">
        <v>48782.87</v>
      </c>
      <c r="G70" s="1307">
        <v>54330.19</v>
      </c>
      <c r="H70" s="1307">
        <v>50103.97</v>
      </c>
      <c r="I70" s="1307">
        <v>52625.06</v>
      </c>
      <c r="J70" s="1307">
        <v>46411.81</v>
      </c>
      <c r="K70" s="1307">
        <v>76822.31</v>
      </c>
      <c r="L70" s="1307">
        <v>31366.080000000002</v>
      </c>
      <c r="M70" s="1307">
        <v>62994.06</v>
      </c>
      <c r="N70" s="1307">
        <v>40861.339999999997</v>
      </c>
      <c r="O70" s="1094"/>
      <c r="Q70" s="1307">
        <f t="shared" si="3"/>
        <v>642298.24800000002</v>
      </c>
      <c r="S70" s="918"/>
      <c r="U70" s="1097"/>
      <c r="V70" s="1097"/>
    </row>
    <row r="71" spans="1:22" ht="15" customHeight="1" thickTop="1">
      <c r="A71" s="889"/>
      <c r="B71" s="1085" t="s">
        <v>327</v>
      </c>
      <c r="C71" s="1085"/>
      <c r="D71" s="1085"/>
      <c r="E71" s="1085"/>
      <c r="F71" s="1085"/>
      <c r="G71" s="1085"/>
      <c r="H71" s="1085"/>
      <c r="I71" s="1085"/>
      <c r="J71" s="1085"/>
      <c r="K71" s="1085"/>
      <c r="L71" s="1085"/>
      <c r="M71" s="1085"/>
      <c r="N71" s="1085"/>
      <c r="O71" s="1095"/>
      <c r="Q71" s="1085"/>
      <c r="S71" s="918"/>
    </row>
    <row r="72" spans="1:22" ht="15" customHeight="1" thickBot="1">
      <c r="A72" s="889"/>
      <c r="B72" s="1089" t="s">
        <v>1664</v>
      </c>
      <c r="C72" s="1094">
        <v>0</v>
      </c>
      <c r="D72" s="1094">
        <v>0</v>
      </c>
      <c r="E72" s="1094">
        <v>872830.93</v>
      </c>
      <c r="F72" s="1094">
        <v>567527.23</v>
      </c>
      <c r="G72" s="1094">
        <v>570884.93999999994</v>
      </c>
      <c r="H72" s="1094">
        <v>554548.92000000004</v>
      </c>
      <c r="I72" s="1094">
        <v>557156.35</v>
      </c>
      <c r="J72" s="1094">
        <v>552514.09</v>
      </c>
      <c r="K72" s="1094">
        <v>562768.34</v>
      </c>
      <c r="L72" s="1094">
        <v>520838.1</v>
      </c>
      <c r="M72" s="1094">
        <v>569463.17000000004</v>
      </c>
      <c r="N72" s="1094">
        <v>485968.45</v>
      </c>
      <c r="O72" s="1089"/>
      <c r="Q72" s="1094">
        <f t="shared" si="3"/>
        <v>6977400.6239999989</v>
      </c>
      <c r="S72" s="918"/>
    </row>
    <row r="73" spans="1:22" ht="15" customHeight="1" thickTop="1">
      <c r="A73" s="889"/>
      <c r="B73" s="1085" t="s">
        <v>327</v>
      </c>
      <c r="C73" s="1085"/>
      <c r="D73" s="1085"/>
      <c r="E73" s="1085"/>
      <c r="F73" s="1085"/>
      <c r="G73" s="1085"/>
      <c r="H73" s="1085"/>
      <c r="I73" s="1085"/>
      <c r="J73" s="1085"/>
      <c r="K73" s="1085"/>
      <c r="L73" s="1085"/>
      <c r="M73" s="1085"/>
      <c r="N73" s="1085"/>
      <c r="O73" s="1095"/>
      <c r="Q73" s="1085"/>
      <c r="S73" s="918"/>
    </row>
    <row r="74" spans="1:22" ht="15" customHeight="1">
      <c r="A74" s="889"/>
      <c r="B74" s="1089" t="s">
        <v>1665</v>
      </c>
      <c r="C74" s="1089" t="s">
        <v>1630</v>
      </c>
      <c r="D74" s="1089" t="s">
        <v>1630</v>
      </c>
      <c r="E74" s="1089" t="s">
        <v>1630</v>
      </c>
      <c r="F74" s="1089" t="s">
        <v>1630</v>
      </c>
      <c r="G74" s="1089" t="s">
        <v>1630</v>
      </c>
      <c r="H74" s="1089" t="s">
        <v>1630</v>
      </c>
      <c r="I74" s="1089" t="s">
        <v>1630</v>
      </c>
      <c r="J74" s="1089" t="s">
        <v>1630</v>
      </c>
      <c r="K74" s="1089" t="s">
        <v>1630</v>
      </c>
      <c r="L74" s="1089" t="s">
        <v>1630</v>
      </c>
      <c r="M74" s="1089" t="s">
        <v>1630</v>
      </c>
      <c r="N74" s="1089" t="s">
        <v>1630</v>
      </c>
      <c r="O74" s="1085"/>
      <c r="Q74" s="1089"/>
      <c r="S74" s="1113"/>
    </row>
    <row r="75" spans="1:22" ht="15" customHeight="1">
      <c r="A75" s="889"/>
      <c r="B75" s="1085" t="s">
        <v>327</v>
      </c>
      <c r="C75" s="1085"/>
      <c r="D75" s="1085"/>
      <c r="E75" s="1085"/>
      <c r="F75" s="1085"/>
      <c r="G75" s="1085"/>
      <c r="H75" s="1085"/>
      <c r="I75" s="1085"/>
      <c r="J75" s="1085"/>
      <c r="K75" s="1085"/>
      <c r="L75" s="1085"/>
      <c r="M75" s="1085"/>
      <c r="N75" s="1085"/>
      <c r="O75" s="1090"/>
      <c r="Q75" s="1085"/>
      <c r="S75" s="918"/>
    </row>
    <row r="76" spans="1:22" ht="15" customHeight="1">
      <c r="A76" s="889"/>
      <c r="B76" s="1089" t="s">
        <v>1666</v>
      </c>
      <c r="C76" s="1085" t="s">
        <v>1635</v>
      </c>
      <c r="D76" s="1085" t="s">
        <v>1635</v>
      </c>
      <c r="E76" s="1085" t="s">
        <v>1635</v>
      </c>
      <c r="F76" s="1085" t="s">
        <v>1635</v>
      </c>
      <c r="G76" s="1085" t="s">
        <v>1635</v>
      </c>
      <c r="H76" s="1085" t="s">
        <v>1635</v>
      </c>
      <c r="I76" s="1085" t="s">
        <v>1635</v>
      </c>
      <c r="J76" s="1085" t="s">
        <v>1635</v>
      </c>
      <c r="K76" s="1085" t="s">
        <v>1635</v>
      </c>
      <c r="L76" s="1085" t="s">
        <v>1635</v>
      </c>
      <c r="M76" s="1085" t="s">
        <v>1635</v>
      </c>
      <c r="N76" s="1085" t="s">
        <v>1635</v>
      </c>
      <c r="O76" s="1090"/>
      <c r="Q76" s="1085"/>
      <c r="S76" s="918"/>
    </row>
    <row r="77" spans="1:22" ht="15" customHeight="1">
      <c r="A77" s="889"/>
      <c r="B77" s="1085" t="s">
        <v>1784</v>
      </c>
      <c r="C77" s="1090">
        <v>0</v>
      </c>
      <c r="D77" s="1090">
        <v>0</v>
      </c>
      <c r="E77" s="1090">
        <v>0</v>
      </c>
      <c r="F77" s="1090">
        <v>7670.08</v>
      </c>
      <c r="G77" s="1090">
        <v>7860.82</v>
      </c>
      <c r="H77" s="1090">
        <v>14597.75</v>
      </c>
      <c r="I77" s="1090">
        <v>8472.26</v>
      </c>
      <c r="J77" s="1090">
        <v>8597.2900000000009</v>
      </c>
      <c r="K77" s="1090">
        <v>12229.55</v>
      </c>
      <c r="L77" s="1090">
        <v>1746.56</v>
      </c>
      <c r="M77" s="1090">
        <v>3107</v>
      </c>
      <c r="N77" s="1090">
        <v>2694</v>
      </c>
      <c r="O77" s="1090"/>
      <c r="Q77" s="1090">
        <f t="shared" ref="Q77:Q86" si="4">IFERROR(SUM(E77:N77)*(12/10),"")</f>
        <v>80370.371999999988</v>
      </c>
      <c r="S77" s="918" t="str">
        <f>_xlfn.XLOOKUP($B77,Coding!$D:$D,Coding!$F:$F,"x")</f>
        <v xml:space="preserve">      Advertising &amp; Marketing</v>
      </c>
    </row>
    <row r="78" spans="1:22" ht="15" customHeight="1">
      <c r="A78" s="889"/>
      <c r="B78" s="1085" t="s">
        <v>2280</v>
      </c>
      <c r="C78" s="1090">
        <v>0</v>
      </c>
      <c r="D78" s="1090">
        <v>0</v>
      </c>
      <c r="E78" s="1090">
        <v>0</v>
      </c>
      <c r="F78" s="1090">
        <v>0</v>
      </c>
      <c r="G78" s="1090">
        <v>0</v>
      </c>
      <c r="H78" s="1090">
        <v>0</v>
      </c>
      <c r="I78" s="1090">
        <v>0</v>
      </c>
      <c r="J78" s="1090">
        <v>0</v>
      </c>
      <c r="K78" s="1090">
        <v>0</v>
      </c>
      <c r="L78" s="1090">
        <v>6469.49</v>
      </c>
      <c r="M78" s="1090">
        <v>3000</v>
      </c>
      <c r="N78" s="1090">
        <v>4585.21</v>
      </c>
      <c r="O78" s="1090"/>
      <c r="Q78" s="1090">
        <f t="shared" si="4"/>
        <v>16865.64</v>
      </c>
      <c r="S78" s="918" t="str">
        <f>_xlfn.XLOOKUP($B78,Coding!$D:$D,Coding!$F:$F,"x")</f>
        <v xml:space="preserve">      Advertising &amp; Marketing</v>
      </c>
    </row>
    <row r="79" spans="1:22" ht="15" customHeight="1">
      <c r="A79" s="889"/>
      <c r="B79" s="1085" t="s">
        <v>1785</v>
      </c>
      <c r="C79" s="1090">
        <v>0</v>
      </c>
      <c r="D79" s="1090">
        <v>0</v>
      </c>
      <c r="E79" s="1090">
        <v>0</v>
      </c>
      <c r="F79" s="1090">
        <v>0</v>
      </c>
      <c r="G79" s="1090">
        <v>1499.47</v>
      </c>
      <c r="H79" s="1090">
        <v>463.23</v>
      </c>
      <c r="I79" s="1090">
        <v>3746.34</v>
      </c>
      <c r="J79" s="1090">
        <v>5052.34</v>
      </c>
      <c r="K79" s="1090">
        <v>374.1</v>
      </c>
      <c r="L79" s="1090">
        <v>614.98</v>
      </c>
      <c r="M79" s="1090">
        <v>73.760000000000005</v>
      </c>
      <c r="N79" s="1090">
        <v>-73.760000000000005</v>
      </c>
      <c r="O79" s="1090"/>
      <c r="Q79" s="1090">
        <f t="shared" si="4"/>
        <v>14100.552000000001</v>
      </c>
      <c r="S79" s="918" t="str">
        <f>_xlfn.XLOOKUP($B79,Coding!$D:$D,Coding!$F:$F,"x")</f>
        <v xml:space="preserve">      Advertising &amp; Marketing</v>
      </c>
    </row>
    <row r="80" spans="1:22" ht="15" customHeight="1">
      <c r="A80" s="889"/>
      <c r="B80" s="1085" t="s">
        <v>1786</v>
      </c>
      <c r="C80" s="1090">
        <v>0</v>
      </c>
      <c r="D80" s="1090">
        <v>0</v>
      </c>
      <c r="E80" s="1090">
        <v>0</v>
      </c>
      <c r="F80" s="1090">
        <v>0</v>
      </c>
      <c r="G80" s="1090">
        <v>1134.5</v>
      </c>
      <c r="H80" s="1090">
        <v>2284</v>
      </c>
      <c r="I80" s="1090">
        <v>2570.25</v>
      </c>
      <c r="J80" s="1090">
        <v>7572.29</v>
      </c>
      <c r="K80" s="1090">
        <v>-2281.5</v>
      </c>
      <c r="L80" s="1090">
        <v>2922.75</v>
      </c>
      <c r="M80" s="1090">
        <v>9616.25</v>
      </c>
      <c r="N80" s="1090">
        <v>2483.75</v>
      </c>
      <c r="O80" s="1090"/>
      <c r="Q80" s="1090">
        <f t="shared" si="4"/>
        <v>31562.748</v>
      </c>
      <c r="S80" s="918" t="str">
        <f>_xlfn.XLOOKUP($B80,Coding!$D:$D,Coding!$F:$F,"x")</f>
        <v xml:space="preserve">      Advertising &amp; Marketing</v>
      </c>
    </row>
    <row r="81" spans="1:19" ht="15" customHeight="1">
      <c r="A81" s="889"/>
      <c r="B81" s="1085" t="s">
        <v>1667</v>
      </c>
      <c r="C81" s="1090">
        <v>0</v>
      </c>
      <c r="D81" s="1090">
        <v>0</v>
      </c>
      <c r="E81" s="1090">
        <v>162.58000000000001</v>
      </c>
      <c r="F81" s="1090">
        <v>0</v>
      </c>
      <c r="G81" s="1090">
        <v>0</v>
      </c>
      <c r="H81" s="1090">
        <v>0</v>
      </c>
      <c r="I81" s="1090">
        <v>0</v>
      </c>
      <c r="J81" s="1090">
        <v>0</v>
      </c>
      <c r="K81" s="1090">
        <v>0</v>
      </c>
      <c r="L81" s="1090">
        <v>279.23</v>
      </c>
      <c r="M81" s="1090">
        <v>0</v>
      </c>
      <c r="N81" s="1090">
        <v>0</v>
      </c>
      <c r="O81" s="1090"/>
      <c r="Q81" s="1090">
        <f t="shared" si="4"/>
        <v>530.17200000000003</v>
      </c>
      <c r="S81" s="918" t="str">
        <f>_xlfn.XLOOKUP($B81,Coding!$D:$D,Coding!$F:$F,"x")</f>
        <v xml:space="preserve">      Advertising &amp; Marketing</v>
      </c>
    </row>
    <row r="82" spans="1:19" ht="15" customHeight="1">
      <c r="A82" s="889"/>
      <c r="B82" s="1085" t="s">
        <v>1959</v>
      </c>
      <c r="C82" s="1090">
        <v>0</v>
      </c>
      <c r="D82" s="1090">
        <v>0</v>
      </c>
      <c r="E82" s="1090">
        <v>0</v>
      </c>
      <c r="F82" s="1090">
        <v>0</v>
      </c>
      <c r="G82" s="1090">
        <v>0</v>
      </c>
      <c r="H82" s="1090">
        <v>0</v>
      </c>
      <c r="I82" s="1090">
        <v>1132.0999999999999</v>
      </c>
      <c r="J82" s="1090">
        <v>3766.61</v>
      </c>
      <c r="K82" s="1090">
        <v>274.23</v>
      </c>
      <c r="L82" s="1090">
        <v>5692.29</v>
      </c>
      <c r="M82" s="1090">
        <v>1681.88</v>
      </c>
      <c r="N82" s="1090">
        <v>1570.07</v>
      </c>
      <c r="O82" s="1095"/>
      <c r="Q82" s="1090">
        <f t="shared" si="4"/>
        <v>16940.615999999998</v>
      </c>
      <c r="S82" s="918" t="str">
        <f>_xlfn.XLOOKUP($B82,Coding!$D:$D,Coding!$F:$F,"x")</f>
        <v xml:space="preserve">      Advertising &amp; Marketing</v>
      </c>
    </row>
    <row r="83" spans="1:19" ht="15" customHeight="1">
      <c r="A83" s="889"/>
      <c r="B83" s="1085" t="s">
        <v>1668</v>
      </c>
      <c r="C83" s="1090">
        <v>0</v>
      </c>
      <c r="D83" s="1090">
        <v>0</v>
      </c>
      <c r="E83" s="1090">
        <v>1270.75</v>
      </c>
      <c r="F83" s="1090">
        <v>536.98</v>
      </c>
      <c r="G83" s="1090">
        <v>831.6</v>
      </c>
      <c r="H83" s="1090">
        <v>3588.08</v>
      </c>
      <c r="I83" s="1090">
        <v>-1471.07</v>
      </c>
      <c r="J83" s="1090">
        <v>-2550.9699999999998</v>
      </c>
      <c r="K83" s="1090">
        <v>0</v>
      </c>
      <c r="L83" s="1090">
        <v>0</v>
      </c>
      <c r="M83" s="1090">
        <v>0</v>
      </c>
      <c r="N83" s="1090">
        <v>529.52</v>
      </c>
      <c r="O83" s="1091"/>
      <c r="Q83" s="1090">
        <f t="shared" si="4"/>
        <v>3281.8680000000004</v>
      </c>
      <c r="S83" s="918" t="str">
        <f>_xlfn.XLOOKUP($B83,Coding!$D:$D,Coding!$F:$F,"x")</f>
        <v xml:space="preserve">      Advertising &amp; Marketing</v>
      </c>
    </row>
    <row r="84" spans="1:19" ht="15" customHeight="1">
      <c r="A84" s="889"/>
      <c r="B84" s="1085" t="s">
        <v>1787</v>
      </c>
      <c r="C84" s="1090">
        <v>0</v>
      </c>
      <c r="D84" s="1090">
        <v>0</v>
      </c>
      <c r="E84" s="1090">
        <v>0</v>
      </c>
      <c r="F84" s="1090">
        <v>0</v>
      </c>
      <c r="G84" s="1090">
        <v>10210.200000000001</v>
      </c>
      <c r="H84" s="1090">
        <v>5515.23</v>
      </c>
      <c r="I84" s="1090">
        <v>4956.7700000000004</v>
      </c>
      <c r="J84" s="1090">
        <v>10703</v>
      </c>
      <c r="K84" s="1090">
        <v>5467</v>
      </c>
      <c r="L84" s="1090">
        <v>9730.59</v>
      </c>
      <c r="M84" s="1090">
        <v>5746.23</v>
      </c>
      <c r="N84" s="1090">
        <v>5467</v>
      </c>
      <c r="O84" s="1095"/>
      <c r="Q84" s="1090">
        <f t="shared" si="4"/>
        <v>69355.223999999987</v>
      </c>
      <c r="S84" s="918" t="str">
        <f>_xlfn.XLOOKUP($B84,Coding!$D:$D,Coding!$F:$F,"x")</f>
        <v xml:space="preserve">      Advertising &amp; Marketing</v>
      </c>
    </row>
    <row r="85" spans="1:19" ht="15" customHeight="1">
      <c r="A85" s="889"/>
      <c r="B85" s="1085" t="s">
        <v>327</v>
      </c>
      <c r="C85" s="1085"/>
      <c r="D85" s="1085"/>
      <c r="E85" s="1085"/>
      <c r="F85" s="1085"/>
      <c r="G85" s="1085"/>
      <c r="H85" s="1085"/>
      <c r="I85" s="1085"/>
      <c r="J85" s="1085"/>
      <c r="K85" s="1085"/>
      <c r="L85" s="1085"/>
      <c r="M85" s="1085"/>
      <c r="N85" s="1085"/>
      <c r="O85" s="1085"/>
      <c r="Q85" s="1085"/>
      <c r="S85" s="918"/>
    </row>
    <row r="86" spans="1:19" ht="15" customHeight="1">
      <c r="A86" s="889"/>
      <c r="B86" s="1089" t="s">
        <v>1669</v>
      </c>
      <c r="C86" s="1306">
        <v>0</v>
      </c>
      <c r="D86" s="1306">
        <v>0</v>
      </c>
      <c r="E86" s="1306">
        <v>1433.33</v>
      </c>
      <c r="F86" s="1306">
        <v>8207.06</v>
      </c>
      <c r="G86" s="1306">
        <v>21536.59</v>
      </c>
      <c r="H86" s="1306">
        <v>26448.29</v>
      </c>
      <c r="I86" s="1306">
        <v>19406.650000000001</v>
      </c>
      <c r="J86" s="1306">
        <v>33140.559999999998</v>
      </c>
      <c r="K86" s="1306">
        <v>16063.38</v>
      </c>
      <c r="L86" s="1306">
        <v>27455.89</v>
      </c>
      <c r="M86" s="1306">
        <v>23225.119999999999</v>
      </c>
      <c r="N86" s="1306">
        <v>17255.79</v>
      </c>
      <c r="O86" s="1090"/>
      <c r="Q86" s="1306">
        <f t="shared" si="4"/>
        <v>233007.19200000001</v>
      </c>
      <c r="S86" s="918"/>
    </row>
    <row r="87" spans="1:19" ht="15" customHeight="1">
      <c r="A87" s="889"/>
      <c r="B87" s="1085" t="s">
        <v>327</v>
      </c>
      <c r="C87" s="1085"/>
      <c r="D87" s="1085"/>
      <c r="E87" s="1085"/>
      <c r="F87" s="1085"/>
      <c r="G87" s="1085"/>
      <c r="H87" s="1085"/>
      <c r="I87" s="1085"/>
      <c r="J87" s="1085"/>
      <c r="K87" s="1085"/>
      <c r="L87" s="1085"/>
      <c r="M87" s="1085"/>
      <c r="N87" s="1085"/>
      <c r="O87" s="1090"/>
      <c r="Q87" s="1085"/>
      <c r="S87" s="918"/>
    </row>
    <row r="88" spans="1:19" ht="15" customHeight="1">
      <c r="A88" s="889"/>
      <c r="B88" s="1089" t="s">
        <v>1670</v>
      </c>
      <c r="C88" s="1085" t="s">
        <v>1635</v>
      </c>
      <c r="D88" s="1085" t="s">
        <v>1635</v>
      </c>
      <c r="E88" s="1085" t="s">
        <v>1635</v>
      </c>
      <c r="F88" s="1085" t="s">
        <v>1635</v>
      </c>
      <c r="G88" s="1085" t="s">
        <v>1635</v>
      </c>
      <c r="H88" s="1085" t="s">
        <v>1635</v>
      </c>
      <c r="I88" s="1085" t="s">
        <v>1635</v>
      </c>
      <c r="J88" s="1085" t="s">
        <v>1635</v>
      </c>
      <c r="K88" s="1085" t="s">
        <v>1635</v>
      </c>
      <c r="L88" s="1085" t="s">
        <v>1635</v>
      </c>
      <c r="M88" s="1085" t="s">
        <v>1635</v>
      </c>
      <c r="N88" s="1085" t="s">
        <v>1635</v>
      </c>
      <c r="O88" s="1090"/>
      <c r="Q88" s="1085"/>
      <c r="S88" s="918"/>
    </row>
    <row r="89" spans="1:19" ht="15" customHeight="1">
      <c r="A89" s="889"/>
      <c r="B89" s="1085" t="s">
        <v>1788</v>
      </c>
      <c r="C89" s="1090">
        <v>0</v>
      </c>
      <c r="D89" s="1090">
        <v>0</v>
      </c>
      <c r="E89" s="1090">
        <v>0</v>
      </c>
      <c r="F89" s="1090">
        <v>152.07</v>
      </c>
      <c r="G89" s="1090">
        <v>0</v>
      </c>
      <c r="H89" s="1090">
        <v>249.76</v>
      </c>
      <c r="I89" s="1090">
        <v>5.55</v>
      </c>
      <c r="J89" s="1090">
        <v>190.59</v>
      </c>
      <c r="K89" s="1090">
        <v>91.35</v>
      </c>
      <c r="L89" s="1090">
        <v>174.54</v>
      </c>
      <c r="M89" s="1090">
        <v>572.52</v>
      </c>
      <c r="N89" s="1090">
        <v>0</v>
      </c>
      <c r="O89" s="1090"/>
      <c r="Q89" s="1090">
        <f t="shared" ref="Q89:Q108" si="5">IFERROR(SUM(E89:N89)*(12/10),"")</f>
        <v>1723.6560000000002</v>
      </c>
      <c r="S89" s="918" t="str">
        <f>_xlfn.XLOOKUP($B89,Coding!$D:$D,Coding!$F:$F,"x")</f>
        <v xml:space="preserve">      General and Administrative</v>
      </c>
    </row>
    <row r="90" spans="1:19" ht="15" customHeight="1">
      <c r="A90" s="889"/>
      <c r="B90" s="1085" t="s">
        <v>1960</v>
      </c>
      <c r="C90" s="1090">
        <v>0</v>
      </c>
      <c r="D90" s="1090">
        <v>0</v>
      </c>
      <c r="E90" s="1090">
        <v>0</v>
      </c>
      <c r="F90" s="1090">
        <v>0</v>
      </c>
      <c r="G90" s="1090">
        <v>0</v>
      </c>
      <c r="H90" s="1090">
        <v>0</v>
      </c>
      <c r="I90" s="1090">
        <v>844.1</v>
      </c>
      <c r="J90" s="1090">
        <v>616.86</v>
      </c>
      <c r="K90" s="1090">
        <v>0</v>
      </c>
      <c r="L90" s="1090">
        <v>0</v>
      </c>
      <c r="M90" s="1090">
        <v>0</v>
      </c>
      <c r="N90" s="1090">
        <v>0</v>
      </c>
      <c r="O90" s="1090"/>
      <c r="Q90" s="1090">
        <f t="shared" si="5"/>
        <v>1753.152</v>
      </c>
      <c r="S90" s="918" t="str">
        <f>_xlfn.XLOOKUP($B90,Coding!$D:$D,Coding!$F:$F,"x")</f>
        <v xml:space="preserve">      General and Administrative</v>
      </c>
    </row>
    <row r="91" spans="1:19" ht="15" customHeight="1">
      <c r="A91" s="889"/>
      <c r="B91" s="1085" t="s">
        <v>1671</v>
      </c>
      <c r="C91" s="1090">
        <v>0</v>
      </c>
      <c r="D91" s="1090">
        <v>0</v>
      </c>
      <c r="E91" s="1090">
        <v>264.13</v>
      </c>
      <c r="F91" s="1090">
        <v>265</v>
      </c>
      <c r="G91" s="1090">
        <v>278.37</v>
      </c>
      <c r="H91" s="1090">
        <v>278.37</v>
      </c>
      <c r="I91" s="1090">
        <v>-446.2</v>
      </c>
      <c r="J91" s="1090">
        <v>0</v>
      </c>
      <c r="K91" s="1090">
        <v>737.47</v>
      </c>
      <c r="L91" s="1090">
        <v>365.43</v>
      </c>
      <c r="M91" s="1090">
        <v>300</v>
      </c>
      <c r="N91" s="1090">
        <v>0</v>
      </c>
      <c r="O91" s="1090"/>
      <c r="Q91" s="1090">
        <f t="shared" si="5"/>
        <v>2451.0839999999998</v>
      </c>
      <c r="S91" s="918" t="str">
        <f>_xlfn.XLOOKUP($B91,Coding!$D:$D,Coding!$F:$F,"x")</f>
        <v xml:space="preserve">      General and Administrative</v>
      </c>
    </row>
    <row r="92" spans="1:19" ht="15" customHeight="1">
      <c r="A92" s="889"/>
      <c r="B92" s="1085" t="s">
        <v>1789</v>
      </c>
      <c r="C92" s="1090">
        <v>0</v>
      </c>
      <c r="D92" s="1090">
        <v>0</v>
      </c>
      <c r="E92" s="1090">
        <v>0</v>
      </c>
      <c r="F92" s="1090">
        <v>92</v>
      </c>
      <c r="G92" s="1090">
        <v>92</v>
      </c>
      <c r="H92" s="1090">
        <v>156</v>
      </c>
      <c r="I92" s="1090">
        <v>156</v>
      </c>
      <c r="J92" s="1090">
        <v>130</v>
      </c>
      <c r="K92" s="1090">
        <v>156</v>
      </c>
      <c r="L92" s="1090">
        <v>130</v>
      </c>
      <c r="M92" s="1090">
        <v>104</v>
      </c>
      <c r="N92" s="1090">
        <v>156</v>
      </c>
      <c r="O92" s="1090"/>
      <c r="Q92" s="1090">
        <f t="shared" si="5"/>
        <v>1406.3999999999999</v>
      </c>
      <c r="S92" s="918" t="str">
        <f>_xlfn.XLOOKUP($B92,Coding!$D:$D,Coding!$F:$F,"x")</f>
        <v xml:space="preserve">      General and Administrative</v>
      </c>
    </row>
    <row r="93" spans="1:19" ht="15" customHeight="1">
      <c r="A93" s="889"/>
      <c r="B93" s="1085" t="s">
        <v>1672</v>
      </c>
      <c r="C93" s="1090">
        <v>0</v>
      </c>
      <c r="D93" s="1090">
        <v>0</v>
      </c>
      <c r="E93" s="1090">
        <v>10023.790000000001</v>
      </c>
      <c r="F93" s="1090">
        <v>7819.04</v>
      </c>
      <c r="G93" s="1090">
        <v>1240.52</v>
      </c>
      <c r="H93" s="1090">
        <v>510.57</v>
      </c>
      <c r="I93" s="1090">
        <v>-6693.17</v>
      </c>
      <c r="J93" s="1090">
        <v>-6835.13</v>
      </c>
      <c r="K93" s="1090">
        <v>1585.19</v>
      </c>
      <c r="L93" s="1090">
        <v>4404.2299999999996</v>
      </c>
      <c r="M93" s="1090">
        <v>3142.18</v>
      </c>
      <c r="N93" s="1090">
        <v>6271.27</v>
      </c>
      <c r="O93" s="1090"/>
      <c r="Q93" s="1090">
        <f t="shared" si="5"/>
        <v>25762.188000000002</v>
      </c>
      <c r="S93" s="918" t="str">
        <f>_xlfn.XLOOKUP($B93,Coding!$D:$D,Coding!$F:$F,"x")</f>
        <v xml:space="preserve">      General and Administrative</v>
      </c>
    </row>
    <row r="94" spans="1:19" ht="15" customHeight="1">
      <c r="A94" s="889"/>
      <c r="B94" s="1085" t="s">
        <v>1790</v>
      </c>
      <c r="C94" s="1090">
        <v>0</v>
      </c>
      <c r="D94" s="1090">
        <v>0</v>
      </c>
      <c r="E94" s="1090">
        <v>0</v>
      </c>
      <c r="F94" s="1090">
        <v>811.87</v>
      </c>
      <c r="G94" s="1090">
        <v>241.79</v>
      </c>
      <c r="H94" s="1090">
        <v>694.15</v>
      </c>
      <c r="I94" s="1090">
        <v>2521.27</v>
      </c>
      <c r="J94" s="1090">
        <v>2060.52</v>
      </c>
      <c r="K94" s="1090">
        <v>-1520.1</v>
      </c>
      <c r="L94" s="1090">
        <v>-63.63</v>
      </c>
      <c r="M94" s="1090">
        <v>1515.84</v>
      </c>
      <c r="N94" s="1090">
        <v>3089.43</v>
      </c>
      <c r="O94" s="1090"/>
      <c r="Q94" s="1090">
        <f t="shared" si="5"/>
        <v>11221.367999999999</v>
      </c>
      <c r="S94" s="918" t="str">
        <f>_xlfn.XLOOKUP($B94,Coding!$D:$D,Coding!$F:$F,"x")</f>
        <v xml:space="preserve">      General and Administrative</v>
      </c>
    </row>
    <row r="95" spans="1:19" ht="15" customHeight="1">
      <c r="A95" s="889"/>
      <c r="B95" s="1085" t="s">
        <v>1673</v>
      </c>
      <c r="C95" s="1090">
        <v>0</v>
      </c>
      <c r="D95" s="1090">
        <v>0</v>
      </c>
      <c r="E95" s="1090">
        <v>61.59</v>
      </c>
      <c r="F95" s="1090">
        <v>0</v>
      </c>
      <c r="G95" s="1090">
        <v>311.87</v>
      </c>
      <c r="H95" s="1090">
        <v>425.26</v>
      </c>
      <c r="I95" s="1090">
        <v>-244.67</v>
      </c>
      <c r="J95" s="1090">
        <v>0</v>
      </c>
      <c r="K95" s="1090">
        <v>0</v>
      </c>
      <c r="L95" s="1090">
        <v>180.59</v>
      </c>
      <c r="M95" s="1090">
        <v>180.59</v>
      </c>
      <c r="N95" s="1090">
        <v>180.59</v>
      </c>
      <c r="O95" s="1090"/>
      <c r="Q95" s="1090">
        <f t="shared" si="5"/>
        <v>1314.9840000000002</v>
      </c>
      <c r="S95" s="918" t="str">
        <f>_xlfn.XLOOKUP($B95,Coding!$D:$D,Coding!$F:$F,"x")</f>
        <v xml:space="preserve">      General and Administrative</v>
      </c>
    </row>
    <row r="96" spans="1:19" ht="15" customHeight="1">
      <c r="A96" s="889"/>
      <c r="B96" s="1085" t="s">
        <v>1674</v>
      </c>
      <c r="C96" s="1090">
        <v>0</v>
      </c>
      <c r="D96" s="1090">
        <v>0</v>
      </c>
      <c r="E96" s="1090">
        <v>25.5</v>
      </c>
      <c r="F96" s="1090">
        <v>56.46</v>
      </c>
      <c r="G96" s="1090">
        <v>138.6</v>
      </c>
      <c r="H96" s="1090">
        <v>0</v>
      </c>
      <c r="I96" s="1090">
        <v>72.349999999999994</v>
      </c>
      <c r="J96" s="1090">
        <v>10.45</v>
      </c>
      <c r="K96" s="1090">
        <v>64.36</v>
      </c>
      <c r="L96" s="1090">
        <v>63.14</v>
      </c>
      <c r="M96" s="1090">
        <v>30.17</v>
      </c>
      <c r="N96" s="1090">
        <v>80.12</v>
      </c>
      <c r="O96" s="1090"/>
      <c r="Q96" s="1090">
        <f t="shared" si="5"/>
        <v>649.38</v>
      </c>
      <c r="S96" s="918" t="str">
        <f>_xlfn.XLOOKUP($B96,Coding!$D:$D,Coding!$F:$F,"x")</f>
        <v xml:space="preserve">      General and Administrative</v>
      </c>
    </row>
    <row r="97" spans="1:21" ht="15" customHeight="1">
      <c r="A97" s="889"/>
      <c r="B97" s="1085" t="s">
        <v>1791</v>
      </c>
      <c r="C97" s="1090">
        <v>0</v>
      </c>
      <c r="D97" s="1090">
        <v>0</v>
      </c>
      <c r="E97" s="1090">
        <v>0</v>
      </c>
      <c r="F97" s="1090">
        <v>0</v>
      </c>
      <c r="G97" s="1090">
        <v>1068.8</v>
      </c>
      <c r="H97" s="1090">
        <v>0</v>
      </c>
      <c r="I97" s="1090">
        <v>0</v>
      </c>
      <c r="J97" s="1090">
        <v>0</v>
      </c>
      <c r="K97" s="1090">
        <v>0</v>
      </c>
      <c r="L97" s="1090">
        <v>0</v>
      </c>
      <c r="M97" s="1090">
        <v>0</v>
      </c>
      <c r="N97" s="1090">
        <v>0</v>
      </c>
      <c r="O97" s="1090"/>
      <c r="Q97" s="1090">
        <f t="shared" si="5"/>
        <v>1282.56</v>
      </c>
      <c r="S97" s="918" t="str">
        <f>_xlfn.XLOOKUP($B97,Coding!$D:$D,Coding!$F:$F,"x")</f>
        <v xml:space="preserve">      General and Administrative</v>
      </c>
    </row>
    <row r="98" spans="1:21" ht="15" customHeight="1">
      <c r="A98" s="889"/>
      <c r="B98" s="1085" t="s">
        <v>1792</v>
      </c>
      <c r="C98" s="1090">
        <v>0</v>
      </c>
      <c r="D98" s="1090">
        <v>0</v>
      </c>
      <c r="E98" s="1090">
        <v>0</v>
      </c>
      <c r="F98" s="1090">
        <v>0</v>
      </c>
      <c r="G98" s="1090">
        <v>271.72000000000003</v>
      </c>
      <c r="H98" s="1090">
        <v>1678.8</v>
      </c>
      <c r="I98" s="1090">
        <v>-1127.9000000000001</v>
      </c>
      <c r="J98" s="1090">
        <v>2802.34</v>
      </c>
      <c r="K98" s="1090">
        <v>1808.35</v>
      </c>
      <c r="L98" s="1090">
        <v>232.49</v>
      </c>
      <c r="M98" s="1090">
        <v>0</v>
      </c>
      <c r="N98" s="1090">
        <v>611.38</v>
      </c>
      <c r="O98" s="1090"/>
      <c r="Q98" s="1090">
        <f t="shared" si="5"/>
        <v>7532.6159999999991</v>
      </c>
      <c r="S98" s="918" t="str">
        <f>_xlfn.XLOOKUP($B98,Coding!$D:$D,Coding!$F:$F,"x")</f>
        <v xml:space="preserve">      General and Administrative</v>
      </c>
      <c r="U98" s="897"/>
    </row>
    <row r="99" spans="1:21" ht="15" customHeight="1">
      <c r="A99" s="889"/>
      <c r="B99" s="1085" t="s">
        <v>1793</v>
      </c>
      <c r="C99" s="1090">
        <v>0</v>
      </c>
      <c r="D99" s="1090">
        <v>0</v>
      </c>
      <c r="E99" s="1090">
        <v>0</v>
      </c>
      <c r="F99" s="1090">
        <v>0</v>
      </c>
      <c r="G99" s="1090">
        <v>431.32</v>
      </c>
      <c r="H99" s="1090">
        <v>388.68</v>
      </c>
      <c r="I99" s="1090">
        <v>0</v>
      </c>
      <c r="J99" s="1090">
        <v>-879.56</v>
      </c>
      <c r="K99" s="1090">
        <v>0</v>
      </c>
      <c r="L99" s="1090">
        <v>998.32</v>
      </c>
      <c r="M99" s="1090">
        <v>366.66</v>
      </c>
      <c r="N99" s="1090">
        <v>0</v>
      </c>
      <c r="O99" s="1090"/>
      <c r="Q99" s="1090">
        <f t="shared" si="5"/>
        <v>1566.5040000000001</v>
      </c>
      <c r="S99" s="918" t="str">
        <f>_xlfn.XLOOKUP($B99,Coding!$D:$D,Coding!$F:$F,"x")</f>
        <v xml:space="preserve">      General and Administrative</v>
      </c>
      <c r="U99" s="897"/>
    </row>
    <row r="100" spans="1:21" ht="15" customHeight="1">
      <c r="A100" s="889"/>
      <c r="B100" s="1085" t="s">
        <v>1675</v>
      </c>
      <c r="C100" s="1090">
        <v>0</v>
      </c>
      <c r="D100" s="1090">
        <v>0</v>
      </c>
      <c r="E100" s="1090">
        <v>349.72</v>
      </c>
      <c r="F100" s="1090">
        <v>0</v>
      </c>
      <c r="G100" s="1090">
        <v>224.76</v>
      </c>
      <c r="H100" s="1090">
        <v>581.66999999999996</v>
      </c>
      <c r="I100" s="1090">
        <v>-449.52</v>
      </c>
      <c r="J100" s="1090">
        <v>640.62</v>
      </c>
      <c r="K100" s="1090">
        <v>0</v>
      </c>
      <c r="L100" s="1090">
        <v>0</v>
      </c>
      <c r="M100" s="1090">
        <v>0</v>
      </c>
      <c r="N100" s="1090">
        <v>1137.75</v>
      </c>
      <c r="O100" s="1090"/>
      <c r="Q100" s="1090">
        <f t="shared" si="5"/>
        <v>2982</v>
      </c>
      <c r="S100" s="918" t="str">
        <f>_xlfn.XLOOKUP($B100,Coding!$D:$D,Coding!$F:$F,"x")</f>
        <v xml:space="preserve">      General and Administrative</v>
      </c>
      <c r="U100" s="897"/>
    </row>
    <row r="101" spans="1:21" ht="15" customHeight="1">
      <c r="A101" s="889"/>
      <c r="B101" s="1085" t="s">
        <v>1794</v>
      </c>
      <c r="C101" s="1090">
        <v>0</v>
      </c>
      <c r="D101" s="1090">
        <v>0</v>
      </c>
      <c r="E101" s="1090">
        <v>0</v>
      </c>
      <c r="F101" s="1090">
        <v>138.6</v>
      </c>
      <c r="G101" s="1090">
        <v>0</v>
      </c>
      <c r="H101" s="1090">
        <v>35.1</v>
      </c>
      <c r="I101" s="1090">
        <v>406.03</v>
      </c>
      <c r="J101" s="1090">
        <v>203.75</v>
      </c>
      <c r="K101" s="1090">
        <v>80.099999999999994</v>
      </c>
      <c r="L101" s="1090">
        <v>853.38</v>
      </c>
      <c r="M101" s="1090">
        <v>0</v>
      </c>
      <c r="N101" s="1090">
        <v>94.5</v>
      </c>
      <c r="O101" s="1090"/>
      <c r="Q101" s="1090">
        <f t="shared" si="5"/>
        <v>2173.752</v>
      </c>
      <c r="S101" s="918" t="str">
        <f>_xlfn.XLOOKUP($B101,Coding!$D:$D,Coding!$F:$F,"x")</f>
        <v xml:space="preserve">      General and Administrative</v>
      </c>
    </row>
    <row r="102" spans="1:21" ht="15" customHeight="1">
      <c r="A102" s="889"/>
      <c r="B102" s="1085" t="s">
        <v>1795</v>
      </c>
      <c r="C102" s="1090">
        <v>0</v>
      </c>
      <c r="D102" s="1090">
        <v>0</v>
      </c>
      <c r="E102" s="1090">
        <v>0</v>
      </c>
      <c r="F102" s="1090">
        <v>261.08</v>
      </c>
      <c r="G102" s="1090">
        <v>356.29</v>
      </c>
      <c r="H102" s="1090">
        <v>1023.61</v>
      </c>
      <c r="I102" s="1090">
        <v>1044.28</v>
      </c>
      <c r="J102" s="1090">
        <v>625</v>
      </c>
      <c r="K102" s="1090">
        <v>1499.09</v>
      </c>
      <c r="L102" s="1090">
        <v>1568.05</v>
      </c>
      <c r="M102" s="1090">
        <v>625</v>
      </c>
      <c r="N102" s="1090">
        <v>1029.75</v>
      </c>
      <c r="O102" s="1090"/>
      <c r="Q102" s="1090">
        <f t="shared" si="5"/>
        <v>9638.58</v>
      </c>
      <c r="S102" s="918" t="str">
        <f>_xlfn.XLOOKUP($B102,Coding!$D:$D,Coding!$F:$F,"x")</f>
        <v xml:space="preserve">      General and Administrative</v>
      </c>
    </row>
    <row r="103" spans="1:21" ht="15" customHeight="1">
      <c r="A103" s="889"/>
      <c r="B103" s="1085" t="s">
        <v>1676</v>
      </c>
      <c r="C103" s="1090">
        <v>0</v>
      </c>
      <c r="D103" s="1090">
        <v>0</v>
      </c>
      <c r="E103" s="1090">
        <v>161.47999999999999</v>
      </c>
      <c r="F103" s="1090">
        <v>0</v>
      </c>
      <c r="G103" s="1090">
        <v>0</v>
      </c>
      <c r="H103" s="1090">
        <v>0</v>
      </c>
      <c r="I103" s="1090">
        <v>0</v>
      </c>
      <c r="J103" s="1090">
        <v>-161.47999999999999</v>
      </c>
      <c r="K103" s="1090">
        <v>0</v>
      </c>
      <c r="L103" s="1090">
        <v>0</v>
      </c>
      <c r="M103" s="1090">
        <v>0</v>
      </c>
      <c r="N103" s="1090">
        <v>0</v>
      </c>
      <c r="O103" s="1090"/>
      <c r="Q103" s="1090">
        <f t="shared" si="5"/>
        <v>0</v>
      </c>
      <c r="S103" s="918" t="str">
        <f>_xlfn.XLOOKUP($B103,Coding!$D:$D,Coding!$F:$F,"x")</f>
        <v xml:space="preserve">      General and Administrative</v>
      </c>
    </row>
    <row r="104" spans="1:21" ht="15" customHeight="1">
      <c r="A104" s="889"/>
      <c r="B104" s="1085" t="s">
        <v>1796</v>
      </c>
      <c r="C104" s="1090">
        <v>0</v>
      </c>
      <c r="D104" s="1090">
        <v>0</v>
      </c>
      <c r="E104" s="1090">
        <v>0</v>
      </c>
      <c r="F104" s="1090">
        <v>0</v>
      </c>
      <c r="G104" s="1090">
        <v>239.71</v>
      </c>
      <c r="H104" s="1090">
        <v>0</v>
      </c>
      <c r="I104" s="1090">
        <v>0</v>
      </c>
      <c r="J104" s="1090">
        <v>551.39</v>
      </c>
      <c r="K104" s="1090">
        <v>924</v>
      </c>
      <c r="L104" s="1090">
        <v>321.58</v>
      </c>
      <c r="M104" s="1090">
        <v>413.29</v>
      </c>
      <c r="N104" s="1090">
        <v>338.73</v>
      </c>
      <c r="O104" s="1095"/>
      <c r="Q104" s="1090">
        <f t="shared" si="5"/>
        <v>3346.4399999999996</v>
      </c>
      <c r="S104" s="918" t="str">
        <f>_xlfn.XLOOKUP($B104,Coding!$D:$D,Coding!$F:$F,"x")</f>
        <v xml:space="preserve">      General and Administrative</v>
      </c>
    </row>
    <row r="105" spans="1:21" ht="15" customHeight="1">
      <c r="A105" s="889"/>
      <c r="B105" s="1085" t="s">
        <v>1797</v>
      </c>
      <c r="C105" s="1090">
        <v>0</v>
      </c>
      <c r="D105" s="1090">
        <v>0</v>
      </c>
      <c r="E105" s="1090">
        <v>0</v>
      </c>
      <c r="F105" s="1090">
        <v>11.8</v>
      </c>
      <c r="G105" s="1090">
        <v>278.51</v>
      </c>
      <c r="H105" s="1090">
        <v>337.31</v>
      </c>
      <c r="I105" s="1090">
        <v>246.45</v>
      </c>
      <c r="J105" s="1090">
        <v>315.95999999999998</v>
      </c>
      <c r="K105" s="1090">
        <v>113.89</v>
      </c>
      <c r="L105" s="1090">
        <v>158.16999999999999</v>
      </c>
      <c r="M105" s="1090">
        <v>152.79</v>
      </c>
      <c r="N105" s="1090">
        <v>342.93</v>
      </c>
      <c r="O105" s="1091"/>
      <c r="Q105" s="1090">
        <f t="shared" si="5"/>
        <v>2349.3720000000003</v>
      </c>
      <c r="S105" s="918" t="str">
        <f>_xlfn.XLOOKUP($B105,Coding!$D:$D,Coding!$F:$F,"x")</f>
        <v xml:space="preserve">      General and Administrative</v>
      </c>
    </row>
    <row r="106" spans="1:21" ht="15" customHeight="1">
      <c r="A106" s="889"/>
      <c r="B106" s="1085" t="s">
        <v>1798</v>
      </c>
      <c r="C106" s="1090">
        <v>0</v>
      </c>
      <c r="D106" s="1090">
        <v>0</v>
      </c>
      <c r="E106" s="1090">
        <v>0</v>
      </c>
      <c r="F106" s="1090">
        <v>269.39999999999998</v>
      </c>
      <c r="G106" s="1090">
        <v>269.39999999999998</v>
      </c>
      <c r="H106" s="1090">
        <v>619.4</v>
      </c>
      <c r="I106" s="1090">
        <v>269.39999999999998</v>
      </c>
      <c r="J106" s="1090">
        <v>956.6</v>
      </c>
      <c r="K106" s="1090">
        <v>269.39999999999998</v>
      </c>
      <c r="L106" s="1090">
        <v>455.17</v>
      </c>
      <c r="M106" s="1090">
        <v>684.73</v>
      </c>
      <c r="N106" s="1090">
        <v>684.73</v>
      </c>
      <c r="O106" s="1095"/>
      <c r="Q106" s="1090">
        <f t="shared" si="5"/>
        <v>5373.8759999999993</v>
      </c>
      <c r="S106" s="918" t="str">
        <f>_xlfn.XLOOKUP($B106,Coding!$D:$D,Coding!$F:$F,"x")</f>
        <v xml:space="preserve">      General and Administrative</v>
      </c>
    </row>
    <row r="107" spans="1:21" ht="15" customHeight="1">
      <c r="A107" s="889"/>
      <c r="B107" s="1085" t="s">
        <v>327</v>
      </c>
      <c r="C107" s="1085"/>
      <c r="D107" s="1085"/>
      <c r="E107" s="1085"/>
      <c r="F107" s="1085"/>
      <c r="G107" s="1085"/>
      <c r="H107" s="1085"/>
      <c r="I107" s="1085"/>
      <c r="J107" s="1085"/>
      <c r="K107" s="1085"/>
      <c r="L107" s="1085"/>
      <c r="M107" s="1085"/>
      <c r="N107" s="1085"/>
      <c r="O107" s="1085"/>
      <c r="Q107" s="1085"/>
      <c r="S107" s="918"/>
    </row>
    <row r="108" spans="1:21" ht="15" customHeight="1">
      <c r="A108" s="889"/>
      <c r="B108" s="1089" t="s">
        <v>1677</v>
      </c>
      <c r="C108" s="1306">
        <v>0</v>
      </c>
      <c r="D108" s="1306">
        <v>0</v>
      </c>
      <c r="E108" s="1306">
        <v>10886.21</v>
      </c>
      <c r="F108" s="1306">
        <v>9877.32</v>
      </c>
      <c r="G108" s="1306">
        <v>5443.66</v>
      </c>
      <c r="H108" s="1306">
        <v>6978.68</v>
      </c>
      <c r="I108" s="1306">
        <v>-3396.03</v>
      </c>
      <c r="J108" s="1306">
        <v>1227.9100000000001</v>
      </c>
      <c r="K108" s="1306">
        <v>5809.1</v>
      </c>
      <c r="L108" s="1306">
        <v>9841.4599999999991</v>
      </c>
      <c r="M108" s="1306">
        <v>8087.77</v>
      </c>
      <c r="N108" s="1306">
        <v>14017.18</v>
      </c>
      <c r="O108" s="1090"/>
      <c r="Q108" s="1306">
        <f t="shared" si="5"/>
        <v>82527.912000000011</v>
      </c>
      <c r="S108" s="918"/>
    </row>
    <row r="109" spans="1:21" ht="15" customHeight="1">
      <c r="A109" s="889"/>
      <c r="B109" s="1085" t="s">
        <v>327</v>
      </c>
      <c r="C109" s="1085"/>
      <c r="D109" s="1085"/>
      <c r="E109" s="1085"/>
      <c r="F109" s="1085"/>
      <c r="G109" s="1085"/>
      <c r="H109" s="1085"/>
      <c r="I109" s="1085"/>
      <c r="J109" s="1085"/>
      <c r="K109" s="1085"/>
      <c r="L109" s="1085"/>
      <c r="M109" s="1085"/>
      <c r="N109" s="1085"/>
      <c r="O109" s="1090"/>
      <c r="Q109" s="1085"/>
      <c r="S109" s="918"/>
    </row>
    <row r="110" spans="1:21" ht="15" customHeight="1">
      <c r="A110" s="889"/>
      <c r="B110" s="1089" t="s">
        <v>1678</v>
      </c>
      <c r="C110" s="1085" t="s">
        <v>1635</v>
      </c>
      <c r="D110" s="1085" t="s">
        <v>1635</v>
      </c>
      <c r="E110" s="1085" t="s">
        <v>1635</v>
      </c>
      <c r="F110" s="1085" t="s">
        <v>1635</v>
      </c>
      <c r="G110" s="1085" t="s">
        <v>1635</v>
      </c>
      <c r="H110" s="1085" t="s">
        <v>1635</v>
      </c>
      <c r="I110" s="1085" t="s">
        <v>1635</v>
      </c>
      <c r="J110" s="1085" t="s">
        <v>1635</v>
      </c>
      <c r="K110" s="1085" t="s">
        <v>1635</v>
      </c>
      <c r="L110" s="1085" t="s">
        <v>1635</v>
      </c>
      <c r="M110" s="1085" t="s">
        <v>1635</v>
      </c>
      <c r="N110" s="1085" t="s">
        <v>1635</v>
      </c>
      <c r="O110" s="1090"/>
      <c r="Q110" s="1085"/>
      <c r="S110" s="918"/>
    </row>
    <row r="111" spans="1:21" ht="15" customHeight="1">
      <c r="A111" s="889"/>
      <c r="B111" s="1085" t="s">
        <v>1799</v>
      </c>
      <c r="C111" s="1090">
        <v>0</v>
      </c>
      <c r="D111" s="1090">
        <v>0</v>
      </c>
      <c r="E111" s="1090">
        <v>0</v>
      </c>
      <c r="F111" s="1090">
        <v>0</v>
      </c>
      <c r="G111" s="1090">
        <v>282.5</v>
      </c>
      <c r="H111" s="1090">
        <v>6250.07</v>
      </c>
      <c r="I111" s="1090">
        <v>290.7</v>
      </c>
      <c r="J111" s="1090">
        <v>1783.7</v>
      </c>
      <c r="K111" s="1090">
        <v>0</v>
      </c>
      <c r="L111" s="1090">
        <v>0</v>
      </c>
      <c r="M111" s="1090">
        <v>2223.9</v>
      </c>
      <c r="N111" s="1090">
        <v>682.55</v>
      </c>
      <c r="O111" s="1090"/>
      <c r="Q111" s="1090">
        <f t="shared" ref="Q111:Q129" si="6">IFERROR(SUM(E111:N111)*(12/10),"")</f>
        <v>13816.103999999998</v>
      </c>
      <c r="S111" s="918" t="str">
        <f>_xlfn.XLOOKUP($B111,Coding!$D:$D,Coding!$F:$F,"x")</f>
        <v xml:space="preserve">      Repairs and Maintenance</v>
      </c>
    </row>
    <row r="112" spans="1:21" ht="15" customHeight="1">
      <c r="A112" s="889"/>
      <c r="B112" s="1085" t="s">
        <v>1800</v>
      </c>
      <c r="C112" s="1090">
        <v>0</v>
      </c>
      <c r="D112" s="1090">
        <v>0</v>
      </c>
      <c r="E112" s="1090">
        <v>0</v>
      </c>
      <c r="F112" s="1090">
        <v>0</v>
      </c>
      <c r="G112" s="1090">
        <v>0</v>
      </c>
      <c r="H112" s="1090">
        <v>1080</v>
      </c>
      <c r="I112" s="1090">
        <v>1080</v>
      </c>
      <c r="J112" s="1090">
        <v>6830</v>
      </c>
      <c r="K112" s="1090">
        <v>0</v>
      </c>
      <c r="L112" s="1090">
        <v>900</v>
      </c>
      <c r="M112" s="1090">
        <v>2520</v>
      </c>
      <c r="N112" s="1090">
        <v>900</v>
      </c>
      <c r="O112" s="1090"/>
      <c r="Q112" s="1090">
        <f t="shared" si="6"/>
        <v>15972</v>
      </c>
      <c r="S112" s="918" t="str">
        <f>_xlfn.XLOOKUP($B112,Coding!$D:$D,Coding!$F:$F,"x")</f>
        <v xml:space="preserve">      Repairs and Maintenance</v>
      </c>
    </row>
    <row r="113" spans="1:19" ht="15" customHeight="1">
      <c r="A113" s="889"/>
      <c r="B113" s="1085" t="s">
        <v>2281</v>
      </c>
      <c r="C113" s="1090">
        <v>0</v>
      </c>
      <c r="D113" s="1090">
        <v>0</v>
      </c>
      <c r="E113" s="1090">
        <v>0</v>
      </c>
      <c r="F113" s="1090">
        <v>0</v>
      </c>
      <c r="G113" s="1090">
        <v>0</v>
      </c>
      <c r="H113" s="1090">
        <v>0</v>
      </c>
      <c r="I113" s="1090">
        <v>0</v>
      </c>
      <c r="J113" s="1090">
        <v>0</v>
      </c>
      <c r="K113" s="1090">
        <v>0</v>
      </c>
      <c r="L113" s="1090">
        <v>13749.51</v>
      </c>
      <c r="M113" s="1090">
        <v>0</v>
      </c>
      <c r="N113" s="1090">
        <v>0</v>
      </c>
      <c r="O113" s="1090"/>
      <c r="Q113" s="1090">
        <f t="shared" si="6"/>
        <v>16499.412</v>
      </c>
      <c r="S113" s="918" t="str">
        <f>_xlfn.XLOOKUP($B113,Coding!$D:$D,Coding!$F:$F,"x")</f>
        <v xml:space="preserve">      Repairs and Maintenance</v>
      </c>
    </row>
    <row r="114" spans="1:19" ht="15" customHeight="1">
      <c r="A114" s="889"/>
      <c r="B114" s="1085" t="s">
        <v>1679</v>
      </c>
      <c r="C114" s="1090">
        <v>0</v>
      </c>
      <c r="D114" s="1090">
        <v>0</v>
      </c>
      <c r="E114" s="1090">
        <v>2002.99</v>
      </c>
      <c r="F114" s="1090">
        <v>0</v>
      </c>
      <c r="G114" s="1090">
        <v>0</v>
      </c>
      <c r="H114" s="1090">
        <v>0</v>
      </c>
      <c r="I114" s="1090">
        <v>19400</v>
      </c>
      <c r="J114" s="1090">
        <v>3880.8</v>
      </c>
      <c r="K114" s="1090">
        <v>0</v>
      </c>
      <c r="L114" s="1090">
        <v>0</v>
      </c>
      <c r="M114" s="1090">
        <v>0</v>
      </c>
      <c r="N114" s="1090">
        <v>270.63</v>
      </c>
      <c r="O114" s="1090"/>
      <c r="Q114" s="1090">
        <f t="shared" si="6"/>
        <v>30665.304</v>
      </c>
      <c r="S114" s="918" t="str">
        <f>_xlfn.XLOOKUP($B114,Coding!$D:$D,Coding!$F:$F,"x")</f>
        <v xml:space="preserve">      Repairs and Maintenance</v>
      </c>
    </row>
    <row r="115" spans="1:19" ht="15" customHeight="1">
      <c r="A115" s="889"/>
      <c r="B115" s="1085" t="s">
        <v>1680</v>
      </c>
      <c r="C115" s="1090">
        <v>0</v>
      </c>
      <c r="D115" s="1090">
        <v>0</v>
      </c>
      <c r="E115" s="1090">
        <v>2232.14</v>
      </c>
      <c r="F115" s="1090">
        <v>566.79999999999995</v>
      </c>
      <c r="G115" s="1090">
        <v>2834</v>
      </c>
      <c r="H115" s="1090">
        <v>-1133.5999999999999</v>
      </c>
      <c r="I115" s="1090">
        <v>1145.28</v>
      </c>
      <c r="J115" s="1090">
        <v>603.62</v>
      </c>
      <c r="K115" s="1090">
        <v>0</v>
      </c>
      <c r="L115" s="1090">
        <v>0</v>
      </c>
      <c r="M115" s="1090">
        <v>567</v>
      </c>
      <c r="N115" s="1090">
        <v>1183.6099999999999</v>
      </c>
      <c r="O115" s="1090"/>
      <c r="Q115" s="1090">
        <f t="shared" si="6"/>
        <v>9598.619999999999</v>
      </c>
      <c r="S115" s="918" t="str">
        <f>_xlfn.XLOOKUP($B115,Coding!$D:$D,Coding!$F:$F,"x")</f>
        <v xml:space="preserve">      Repairs and Maintenance</v>
      </c>
    </row>
    <row r="116" spans="1:19" ht="15" customHeight="1">
      <c r="A116" s="889"/>
      <c r="B116" s="1085" t="s">
        <v>1961</v>
      </c>
      <c r="C116" s="1090">
        <v>0</v>
      </c>
      <c r="D116" s="1090">
        <v>0</v>
      </c>
      <c r="E116" s="1090">
        <v>0</v>
      </c>
      <c r="F116" s="1090">
        <v>0</v>
      </c>
      <c r="G116" s="1090">
        <v>1136.6300000000001</v>
      </c>
      <c r="H116" s="1090">
        <v>0</v>
      </c>
      <c r="I116" s="1090">
        <v>0</v>
      </c>
      <c r="J116" s="1090">
        <v>0</v>
      </c>
      <c r="K116" s="1090">
        <v>0</v>
      </c>
      <c r="L116" s="1090">
        <v>0</v>
      </c>
      <c r="M116" s="1090">
        <v>0</v>
      </c>
      <c r="N116" s="1090">
        <v>0</v>
      </c>
      <c r="O116" s="1090"/>
      <c r="Q116" s="1090">
        <f t="shared" si="6"/>
        <v>1363.9560000000001</v>
      </c>
      <c r="S116" s="918" t="str">
        <f>_xlfn.XLOOKUP($B116,Coding!$D:$D,Coding!$F:$F,"x")</f>
        <v xml:space="preserve">      Repairs and Maintenance</v>
      </c>
    </row>
    <row r="117" spans="1:19" ht="15" customHeight="1">
      <c r="A117" s="889"/>
      <c r="B117" s="1085" t="s">
        <v>1681</v>
      </c>
      <c r="C117" s="1090">
        <v>0</v>
      </c>
      <c r="D117" s="1090">
        <v>0</v>
      </c>
      <c r="E117" s="1090">
        <v>1180.1500000000001</v>
      </c>
      <c r="F117" s="1090">
        <v>1900</v>
      </c>
      <c r="G117" s="1090">
        <v>1900</v>
      </c>
      <c r="H117" s="1090">
        <v>2137.94</v>
      </c>
      <c r="I117" s="1090">
        <v>-1662.06</v>
      </c>
      <c r="J117" s="1090">
        <v>5344.85</v>
      </c>
      <c r="K117" s="1090">
        <v>2137.94</v>
      </c>
      <c r="L117" s="1090">
        <v>2137.94</v>
      </c>
      <c r="M117" s="1090">
        <v>2137.94</v>
      </c>
      <c r="N117" s="1090">
        <v>2137.94</v>
      </c>
      <c r="O117" s="1090"/>
      <c r="Q117" s="1090">
        <f t="shared" si="6"/>
        <v>23223.167999999998</v>
      </c>
      <c r="S117" s="918" t="str">
        <f>_xlfn.XLOOKUP($B117,Coding!$D:$D,Coding!$F:$F,"x")</f>
        <v xml:space="preserve">      Repairs and Maintenance</v>
      </c>
    </row>
    <row r="118" spans="1:19" ht="15" customHeight="1">
      <c r="A118" s="889"/>
      <c r="B118" s="1085" t="s">
        <v>1962</v>
      </c>
      <c r="C118" s="1090">
        <v>0</v>
      </c>
      <c r="D118" s="1090">
        <v>0</v>
      </c>
      <c r="E118" s="1090">
        <v>0</v>
      </c>
      <c r="F118" s="1090">
        <v>0</v>
      </c>
      <c r="G118" s="1090">
        <v>0</v>
      </c>
      <c r="H118" s="1090">
        <v>52.33</v>
      </c>
      <c r="I118" s="1090">
        <v>3568.66</v>
      </c>
      <c r="J118" s="1090">
        <v>52.33</v>
      </c>
      <c r="K118" s="1090">
        <v>52.33</v>
      </c>
      <c r="L118" s="1090">
        <v>0</v>
      </c>
      <c r="M118" s="1090">
        <v>0</v>
      </c>
      <c r="N118" s="1090">
        <v>0</v>
      </c>
      <c r="O118" s="1090"/>
      <c r="Q118" s="1090">
        <f t="shared" si="6"/>
        <v>4470.78</v>
      </c>
      <c r="S118" s="918" t="str">
        <f>_xlfn.XLOOKUP($B118,Coding!$D:$D,Coding!$F:$F,"x")</f>
        <v xml:space="preserve">      Repairs and Maintenance</v>
      </c>
    </row>
    <row r="119" spans="1:19" ht="15" customHeight="1">
      <c r="A119" s="889"/>
      <c r="B119" s="1085" t="s">
        <v>1682</v>
      </c>
      <c r="C119" s="1090">
        <v>0</v>
      </c>
      <c r="D119" s="1090">
        <v>0</v>
      </c>
      <c r="E119" s="1090">
        <v>948.38</v>
      </c>
      <c r="F119" s="1090">
        <v>0</v>
      </c>
      <c r="G119" s="1090">
        <v>1092.24</v>
      </c>
      <c r="H119" s="1090">
        <v>364.08</v>
      </c>
      <c r="I119" s="1090">
        <v>-364.08</v>
      </c>
      <c r="J119" s="1090">
        <v>-910.92</v>
      </c>
      <c r="K119" s="1090">
        <v>-302.70999999999998</v>
      </c>
      <c r="L119" s="1090">
        <v>238.11</v>
      </c>
      <c r="M119" s="1090">
        <v>655.35</v>
      </c>
      <c r="N119" s="1090">
        <v>245.47</v>
      </c>
      <c r="O119" s="1090"/>
      <c r="Q119" s="1090">
        <f t="shared" si="6"/>
        <v>2359.1039999999998</v>
      </c>
      <c r="S119" s="918" t="str">
        <f>_xlfn.XLOOKUP($B119,Coding!$D:$D,Coding!$F:$F,"x")</f>
        <v xml:space="preserve">      Repairs and Maintenance</v>
      </c>
    </row>
    <row r="120" spans="1:19" ht="15" customHeight="1">
      <c r="A120" s="889"/>
      <c r="B120" s="1085" t="s">
        <v>1683</v>
      </c>
      <c r="C120" s="1090">
        <v>0</v>
      </c>
      <c r="D120" s="1090">
        <v>0</v>
      </c>
      <c r="E120" s="1090">
        <v>2247.0500000000002</v>
      </c>
      <c r="F120" s="1090">
        <v>7447.05</v>
      </c>
      <c r="G120" s="1090">
        <v>7447.05</v>
      </c>
      <c r="H120" s="1090">
        <v>7447.05</v>
      </c>
      <c r="I120" s="1090">
        <v>7447.05</v>
      </c>
      <c r="J120" s="1090">
        <v>7447.05</v>
      </c>
      <c r="K120" s="1090">
        <v>-23752.95</v>
      </c>
      <c r="L120" s="1090">
        <v>2247.0500000000002</v>
      </c>
      <c r="M120" s="1090">
        <v>7347.05</v>
      </c>
      <c r="N120" s="1090">
        <v>2247.0500000000002</v>
      </c>
      <c r="O120" s="1090"/>
      <c r="Q120" s="1090">
        <f t="shared" si="6"/>
        <v>33084.6</v>
      </c>
      <c r="S120" s="918" t="str">
        <f>_xlfn.XLOOKUP($B120,Coding!$D:$D,Coding!$F:$F,"x")</f>
        <v xml:space="preserve">      Repairs and Maintenance</v>
      </c>
    </row>
    <row r="121" spans="1:19" ht="15" customHeight="1">
      <c r="A121" s="889"/>
      <c r="B121" s="1085" t="s">
        <v>1963</v>
      </c>
      <c r="C121" s="1090">
        <v>0</v>
      </c>
      <c r="D121" s="1090">
        <v>0</v>
      </c>
      <c r="E121" s="1090">
        <v>0</v>
      </c>
      <c r="F121" s="1090">
        <v>0</v>
      </c>
      <c r="G121" s="1090">
        <v>0</v>
      </c>
      <c r="H121" s="1090">
        <v>0</v>
      </c>
      <c r="I121" s="1090">
        <v>156.88999999999999</v>
      </c>
      <c r="J121" s="1090">
        <v>783.45</v>
      </c>
      <c r="K121" s="1090">
        <v>-783.45</v>
      </c>
      <c r="L121" s="1090">
        <v>3151.91</v>
      </c>
      <c r="M121" s="1090">
        <v>0</v>
      </c>
      <c r="N121" s="1090">
        <v>0</v>
      </c>
      <c r="O121" s="1090"/>
      <c r="Q121" s="1090">
        <f t="shared" si="6"/>
        <v>3970.5599999999995</v>
      </c>
      <c r="S121" s="918" t="str">
        <f>_xlfn.XLOOKUP($B121,Coding!$D:$D,Coding!$F:$F,"x")</f>
        <v xml:space="preserve">      Repairs and Maintenance</v>
      </c>
    </row>
    <row r="122" spans="1:19" ht="15" customHeight="1">
      <c r="A122" s="889"/>
      <c r="B122" s="1085" t="s">
        <v>1801</v>
      </c>
      <c r="C122" s="1090">
        <v>0</v>
      </c>
      <c r="D122" s="1090">
        <v>0</v>
      </c>
      <c r="E122" s="1090">
        <v>0</v>
      </c>
      <c r="F122" s="1090">
        <v>3950.91</v>
      </c>
      <c r="G122" s="1090">
        <v>3950.91</v>
      </c>
      <c r="H122" s="1090">
        <v>3950.51</v>
      </c>
      <c r="I122" s="1090">
        <v>0</v>
      </c>
      <c r="J122" s="1090">
        <v>5017.5600000000004</v>
      </c>
      <c r="K122" s="1090">
        <v>-9790.02</v>
      </c>
      <c r="L122" s="1090">
        <v>0</v>
      </c>
      <c r="M122" s="1090">
        <v>-6976.51</v>
      </c>
      <c r="N122" s="1090">
        <v>3500</v>
      </c>
      <c r="O122" s="1090"/>
      <c r="Q122" s="1090">
        <f t="shared" si="6"/>
        <v>4324.0319999999983</v>
      </c>
      <c r="S122" s="918" t="str">
        <f>_xlfn.XLOOKUP($B122,Coding!$D:$D,Coding!$F:$F,"x")</f>
        <v xml:space="preserve">      Repairs and Maintenance</v>
      </c>
    </row>
    <row r="123" spans="1:19" ht="15" customHeight="1">
      <c r="A123" s="889"/>
      <c r="B123" s="1085" t="s">
        <v>1964</v>
      </c>
      <c r="C123" s="1090">
        <v>0</v>
      </c>
      <c r="D123" s="1090">
        <v>0</v>
      </c>
      <c r="E123" s="1090">
        <v>0</v>
      </c>
      <c r="F123" s="1090">
        <v>0</v>
      </c>
      <c r="G123" s="1090">
        <v>0</v>
      </c>
      <c r="H123" s="1090">
        <v>0</v>
      </c>
      <c r="I123" s="1090">
        <v>128.09</v>
      </c>
      <c r="J123" s="1090">
        <v>0</v>
      </c>
      <c r="K123" s="1090">
        <v>0</v>
      </c>
      <c r="L123" s="1090">
        <v>0</v>
      </c>
      <c r="M123" s="1090">
        <v>0</v>
      </c>
      <c r="N123" s="1090">
        <v>0</v>
      </c>
      <c r="O123" s="1090"/>
      <c r="Q123" s="1090">
        <f t="shared" si="6"/>
        <v>153.708</v>
      </c>
      <c r="S123" s="918" t="str">
        <f>_xlfn.XLOOKUP($B123,Coding!$D:$D,Coding!$F:$F,"x")</f>
        <v xml:space="preserve">      Repairs and Maintenance</v>
      </c>
    </row>
    <row r="124" spans="1:19" ht="15" customHeight="1">
      <c r="A124" s="889"/>
      <c r="B124" s="1085" t="s">
        <v>1684</v>
      </c>
      <c r="C124" s="1090">
        <v>0</v>
      </c>
      <c r="D124" s="1090">
        <v>0</v>
      </c>
      <c r="E124" s="1090">
        <v>219.19</v>
      </c>
      <c r="F124" s="1090">
        <v>0</v>
      </c>
      <c r="G124" s="1090">
        <v>2785.15</v>
      </c>
      <c r="H124" s="1090">
        <v>-2854.75</v>
      </c>
      <c r="I124" s="1090">
        <v>-270.63</v>
      </c>
      <c r="J124" s="1090">
        <v>703.2</v>
      </c>
      <c r="K124" s="1090">
        <v>31.17</v>
      </c>
      <c r="L124" s="1090">
        <v>0</v>
      </c>
      <c r="M124" s="1090">
        <v>0</v>
      </c>
      <c r="N124" s="1090">
        <v>0</v>
      </c>
      <c r="O124" s="1095"/>
      <c r="Q124" s="1090">
        <f t="shared" si="6"/>
        <v>735.99600000000021</v>
      </c>
      <c r="S124" s="918" t="str">
        <f>_xlfn.XLOOKUP($B124,Coding!$D:$D,Coding!$F:$F,"x")</f>
        <v xml:space="preserve">      Repairs and Maintenance</v>
      </c>
    </row>
    <row r="125" spans="1:19" ht="15" customHeight="1">
      <c r="A125" s="889"/>
      <c r="B125" s="1085" t="s">
        <v>1802</v>
      </c>
      <c r="C125" s="1090">
        <v>0</v>
      </c>
      <c r="D125" s="1090">
        <v>0</v>
      </c>
      <c r="E125" s="1090">
        <v>0</v>
      </c>
      <c r="F125" s="1090">
        <v>0</v>
      </c>
      <c r="G125" s="1090">
        <v>0</v>
      </c>
      <c r="H125" s="1090">
        <v>68.03</v>
      </c>
      <c r="I125" s="1090">
        <v>136.06</v>
      </c>
      <c r="J125" s="1090">
        <v>136.06</v>
      </c>
      <c r="K125" s="1090">
        <v>-868.37</v>
      </c>
      <c r="L125" s="1090">
        <v>365.72</v>
      </c>
      <c r="M125" s="1090">
        <v>200</v>
      </c>
      <c r="N125" s="1090">
        <v>68.03</v>
      </c>
      <c r="O125" s="1091"/>
      <c r="Q125" s="1090">
        <f t="shared" si="6"/>
        <v>126.636</v>
      </c>
      <c r="S125" s="918" t="str">
        <f>_xlfn.XLOOKUP($B125,Coding!$D:$D,Coding!$F:$F,"x")</f>
        <v xml:space="preserve">      Repairs and Maintenance</v>
      </c>
    </row>
    <row r="126" spans="1:19" ht="15" customHeight="1">
      <c r="A126" s="889"/>
      <c r="B126" s="1085" t="s">
        <v>1803</v>
      </c>
      <c r="C126" s="1090">
        <v>0</v>
      </c>
      <c r="D126" s="1090">
        <v>0</v>
      </c>
      <c r="E126" s="1090">
        <v>0</v>
      </c>
      <c r="F126" s="1090">
        <v>120.36</v>
      </c>
      <c r="G126" s="1090">
        <v>120.36</v>
      </c>
      <c r="H126" s="1090">
        <v>120.36</v>
      </c>
      <c r="I126" s="1090">
        <v>379.28</v>
      </c>
      <c r="J126" s="1090">
        <v>-68.03</v>
      </c>
      <c r="K126" s="1090">
        <v>0</v>
      </c>
      <c r="L126" s="1090">
        <v>749.46</v>
      </c>
      <c r="M126" s="1090">
        <v>120.36</v>
      </c>
      <c r="N126" s="1090">
        <v>172.69</v>
      </c>
      <c r="O126" s="1095"/>
      <c r="Q126" s="1090">
        <f t="shared" si="6"/>
        <v>2057.808</v>
      </c>
      <c r="S126" s="918" t="str">
        <f>_xlfn.XLOOKUP($B126,Coding!$D:$D,Coding!$F:$F,"x")</f>
        <v xml:space="preserve">      Repairs and Maintenance</v>
      </c>
    </row>
    <row r="127" spans="1:19" ht="15" customHeight="1">
      <c r="A127" s="889"/>
      <c r="B127" s="1085" t="s">
        <v>1804</v>
      </c>
      <c r="C127" s="1090">
        <v>0</v>
      </c>
      <c r="D127" s="1090">
        <v>0</v>
      </c>
      <c r="E127" s="1090">
        <v>0</v>
      </c>
      <c r="F127" s="1090">
        <v>63.98</v>
      </c>
      <c r="G127" s="1090">
        <v>255.92</v>
      </c>
      <c r="H127" s="1090">
        <v>877.44</v>
      </c>
      <c r="I127" s="1090">
        <v>557.54</v>
      </c>
      <c r="J127" s="1090">
        <v>1169.92</v>
      </c>
      <c r="K127" s="1090">
        <v>-237.64</v>
      </c>
      <c r="L127" s="1090">
        <v>831.74</v>
      </c>
      <c r="M127" s="1090">
        <v>941.42</v>
      </c>
      <c r="N127" s="1090">
        <v>1105.94</v>
      </c>
      <c r="O127" s="1085"/>
      <c r="Q127" s="1090">
        <f t="shared" si="6"/>
        <v>6679.5119999999997</v>
      </c>
      <c r="S127" s="918" t="str">
        <f>_xlfn.XLOOKUP($B127,Coding!$D:$D,Coding!$F:$F,"x")</f>
        <v xml:space="preserve">      Repairs and Maintenance</v>
      </c>
    </row>
    <row r="128" spans="1:19" ht="15" customHeight="1">
      <c r="A128" s="889"/>
      <c r="B128" s="1085" t="s">
        <v>327</v>
      </c>
      <c r="C128" s="1085"/>
      <c r="D128" s="1085"/>
      <c r="E128" s="1085"/>
      <c r="F128" s="1085"/>
      <c r="G128" s="1085"/>
      <c r="H128" s="1085"/>
      <c r="I128" s="1085"/>
      <c r="J128" s="1085"/>
      <c r="K128" s="1085"/>
      <c r="L128" s="1085"/>
      <c r="M128" s="1085"/>
      <c r="N128" s="1085"/>
      <c r="O128" s="1090"/>
      <c r="Q128" s="1085"/>
      <c r="S128" s="918"/>
    </row>
    <row r="129" spans="1:21" ht="15" customHeight="1">
      <c r="A129" s="889"/>
      <c r="B129" s="1089" t="s">
        <v>1685</v>
      </c>
      <c r="C129" s="1306">
        <v>0</v>
      </c>
      <c r="D129" s="1306">
        <v>0</v>
      </c>
      <c r="E129" s="1306">
        <v>8829.9</v>
      </c>
      <c r="F129" s="1306">
        <v>14049.1</v>
      </c>
      <c r="G129" s="1306">
        <v>21804.76</v>
      </c>
      <c r="H129" s="1306">
        <v>18359.46</v>
      </c>
      <c r="I129" s="1306">
        <v>31992.78</v>
      </c>
      <c r="J129" s="1306">
        <v>32773.589999999997</v>
      </c>
      <c r="K129" s="1306">
        <v>-33513.699999999997</v>
      </c>
      <c r="L129" s="1306">
        <v>24371.439999999999</v>
      </c>
      <c r="M129" s="1306">
        <v>9736.51</v>
      </c>
      <c r="N129" s="1306">
        <v>12513.91</v>
      </c>
      <c r="O129" s="1090"/>
      <c r="Q129" s="1306">
        <f t="shared" si="6"/>
        <v>169101.3</v>
      </c>
      <c r="S129" s="918"/>
    </row>
    <row r="130" spans="1:21" ht="15" customHeight="1">
      <c r="A130" s="889"/>
      <c r="B130" s="1085" t="s">
        <v>327</v>
      </c>
      <c r="C130" s="1085"/>
      <c r="D130" s="1085"/>
      <c r="E130" s="1085"/>
      <c r="F130" s="1085"/>
      <c r="G130" s="1085"/>
      <c r="H130" s="1085"/>
      <c r="I130" s="1085"/>
      <c r="J130" s="1085"/>
      <c r="K130" s="1085"/>
      <c r="L130" s="1085"/>
      <c r="M130" s="1085"/>
      <c r="N130" s="1085"/>
      <c r="O130" s="1090"/>
      <c r="Q130" s="1085"/>
      <c r="S130" s="918"/>
    </row>
    <row r="131" spans="1:21" ht="15" customHeight="1">
      <c r="A131" s="889"/>
      <c r="B131" s="1089" t="s">
        <v>1686</v>
      </c>
      <c r="C131" s="1085" t="s">
        <v>1635</v>
      </c>
      <c r="D131" s="1085" t="s">
        <v>1635</v>
      </c>
      <c r="E131" s="1085" t="s">
        <v>1635</v>
      </c>
      <c r="F131" s="1085" t="s">
        <v>1635</v>
      </c>
      <c r="G131" s="1085" t="s">
        <v>1635</v>
      </c>
      <c r="H131" s="1085" t="s">
        <v>1635</v>
      </c>
      <c r="I131" s="1085" t="s">
        <v>1635</v>
      </c>
      <c r="J131" s="1085" t="s">
        <v>1635</v>
      </c>
      <c r="K131" s="1085" t="s">
        <v>1635</v>
      </c>
      <c r="L131" s="1085" t="s">
        <v>1635</v>
      </c>
      <c r="M131" s="1085" t="s">
        <v>1635</v>
      </c>
      <c r="N131" s="1085" t="s">
        <v>1635</v>
      </c>
      <c r="O131" s="1090"/>
      <c r="Q131" s="1085"/>
      <c r="S131" s="918"/>
    </row>
    <row r="132" spans="1:21" ht="15" customHeight="1">
      <c r="A132" s="889"/>
      <c r="B132" s="1085" t="s">
        <v>1687</v>
      </c>
      <c r="C132" s="1090">
        <v>0</v>
      </c>
      <c r="D132" s="1090">
        <v>0</v>
      </c>
      <c r="E132" s="1090">
        <v>902.98</v>
      </c>
      <c r="F132" s="1090">
        <v>151.74</v>
      </c>
      <c r="G132" s="1090">
        <v>178.22</v>
      </c>
      <c r="H132" s="1090">
        <v>337.04</v>
      </c>
      <c r="I132" s="1090">
        <v>-339.42</v>
      </c>
      <c r="J132" s="1090">
        <v>2823.07</v>
      </c>
      <c r="K132" s="1090">
        <v>6728.78</v>
      </c>
      <c r="L132" s="1090">
        <v>3092.7</v>
      </c>
      <c r="M132" s="1090">
        <v>1220.22</v>
      </c>
      <c r="N132" s="1090">
        <v>177.84</v>
      </c>
      <c r="O132" s="1090"/>
      <c r="Q132" s="1090">
        <f t="shared" ref="Q132:Q151" si="7">IFERROR(SUM(E132:N132)*(12/10),"")</f>
        <v>18327.804</v>
      </c>
      <c r="S132" s="918" t="str">
        <f>_xlfn.XLOOKUP($B132,Coding!$D:$D,Coding!$F:$F,"x")</f>
        <v xml:space="preserve">      Repairs and Maintenance</v>
      </c>
    </row>
    <row r="133" spans="1:21" ht="15" customHeight="1">
      <c r="A133" s="889"/>
      <c r="B133" s="1085" t="s">
        <v>1965</v>
      </c>
      <c r="C133" s="1090">
        <v>0</v>
      </c>
      <c r="D133" s="1090">
        <v>0</v>
      </c>
      <c r="E133" s="1090">
        <v>0</v>
      </c>
      <c r="F133" s="1090">
        <v>0</v>
      </c>
      <c r="G133" s="1090">
        <v>0</v>
      </c>
      <c r="H133" s="1090">
        <v>0</v>
      </c>
      <c r="I133" s="1090">
        <v>707.96</v>
      </c>
      <c r="J133" s="1090">
        <v>2716.41</v>
      </c>
      <c r="K133" s="1090">
        <v>2631.01</v>
      </c>
      <c r="L133" s="1090">
        <v>696.44</v>
      </c>
      <c r="M133" s="1090">
        <v>421.51</v>
      </c>
      <c r="N133" s="1090">
        <v>108.53</v>
      </c>
      <c r="O133" s="1090"/>
      <c r="Q133" s="1090">
        <f t="shared" si="7"/>
        <v>8738.232</v>
      </c>
      <c r="S133" s="918" t="str">
        <f>_xlfn.XLOOKUP($B133,Coding!$D:$D,Coding!$F:$F,"x")</f>
        <v xml:space="preserve">      Repairs and Maintenance</v>
      </c>
    </row>
    <row r="134" spans="1:21" ht="15" customHeight="1">
      <c r="A134" s="889"/>
      <c r="B134" s="1085" t="s">
        <v>1805</v>
      </c>
      <c r="C134" s="1090">
        <v>0</v>
      </c>
      <c r="D134" s="1090">
        <v>0</v>
      </c>
      <c r="E134" s="1090">
        <v>0</v>
      </c>
      <c r="F134" s="1090">
        <v>730.53</v>
      </c>
      <c r="G134" s="1090">
        <v>1226.68</v>
      </c>
      <c r="H134" s="1090">
        <v>810</v>
      </c>
      <c r="I134" s="1090">
        <v>-7.88</v>
      </c>
      <c r="J134" s="1090">
        <v>6165.1</v>
      </c>
      <c r="K134" s="1090">
        <v>1194.19</v>
      </c>
      <c r="L134" s="1090">
        <v>1791.01</v>
      </c>
      <c r="M134" s="1090">
        <v>259.41000000000003</v>
      </c>
      <c r="N134" s="1090">
        <v>475.2</v>
      </c>
      <c r="O134" s="1090"/>
      <c r="Q134" s="1090">
        <f t="shared" si="7"/>
        <v>15173.088000000002</v>
      </c>
      <c r="S134" s="918" t="str">
        <f>_xlfn.XLOOKUP($B134,Coding!$D:$D,Coding!$F:$F,"x")</f>
        <v xml:space="preserve">      Repairs and Maintenance</v>
      </c>
    </row>
    <row r="135" spans="1:21" ht="15" customHeight="1">
      <c r="A135" s="889"/>
      <c r="B135" s="1085" t="s">
        <v>1688</v>
      </c>
      <c r="C135" s="1090">
        <v>0</v>
      </c>
      <c r="D135" s="1090">
        <v>0</v>
      </c>
      <c r="E135" s="1090">
        <v>5400</v>
      </c>
      <c r="F135" s="1090">
        <v>0</v>
      </c>
      <c r="G135" s="1090">
        <v>0</v>
      </c>
      <c r="H135" s="1090">
        <v>0</v>
      </c>
      <c r="I135" s="1090">
        <v>-5400</v>
      </c>
      <c r="J135" s="1090">
        <v>0</v>
      </c>
      <c r="K135" s="1090">
        <v>0</v>
      </c>
      <c r="L135" s="1090">
        <v>0</v>
      </c>
      <c r="M135" s="1090">
        <v>0</v>
      </c>
      <c r="N135" s="1090">
        <v>0</v>
      </c>
      <c r="O135" s="1090"/>
      <c r="Q135" s="1090">
        <f t="shared" si="7"/>
        <v>0</v>
      </c>
      <c r="S135" s="918" t="str">
        <f>_xlfn.XLOOKUP($B135,Coding!$D:$D,Coding!$F:$F,"x")</f>
        <v xml:space="preserve">      Repairs and Maintenance</v>
      </c>
    </row>
    <row r="136" spans="1:21" ht="15" customHeight="1">
      <c r="A136" s="889"/>
      <c r="B136" s="1085" t="s">
        <v>1806</v>
      </c>
      <c r="C136" s="1090">
        <v>0</v>
      </c>
      <c r="D136" s="1090">
        <v>0</v>
      </c>
      <c r="E136" s="1090">
        <v>0</v>
      </c>
      <c r="F136" s="1090">
        <v>354.74</v>
      </c>
      <c r="G136" s="1090">
        <v>0</v>
      </c>
      <c r="H136" s="1090">
        <v>539.58000000000004</v>
      </c>
      <c r="I136" s="1090">
        <v>302.47000000000003</v>
      </c>
      <c r="J136" s="1090">
        <v>4542.82</v>
      </c>
      <c r="K136" s="1090">
        <v>2471.56</v>
      </c>
      <c r="L136" s="1090">
        <v>734.22</v>
      </c>
      <c r="M136" s="1090">
        <v>101.65</v>
      </c>
      <c r="N136" s="1090">
        <v>191.63</v>
      </c>
      <c r="O136" s="1090"/>
      <c r="Q136" s="1090">
        <f t="shared" si="7"/>
        <v>11086.403999999997</v>
      </c>
      <c r="S136" s="918" t="str">
        <f>_xlfn.XLOOKUP($B136,Coding!$D:$D,Coding!$F:$F,"x")</f>
        <v xml:space="preserve">      Repairs and Maintenance</v>
      </c>
      <c r="T136" s="928"/>
    </row>
    <row r="137" spans="1:21" ht="15" customHeight="1">
      <c r="A137" s="889"/>
      <c r="B137" s="1085" t="s">
        <v>1689</v>
      </c>
      <c r="C137" s="1090">
        <v>0</v>
      </c>
      <c r="D137" s="1090">
        <v>0</v>
      </c>
      <c r="E137" s="1090">
        <v>582</v>
      </c>
      <c r="F137" s="1090">
        <v>0</v>
      </c>
      <c r="G137" s="1090">
        <v>0</v>
      </c>
      <c r="H137" s="1090">
        <v>0</v>
      </c>
      <c r="I137" s="1090">
        <v>3635</v>
      </c>
      <c r="J137" s="1090">
        <v>275.93</v>
      </c>
      <c r="K137" s="1090">
        <v>528.58000000000004</v>
      </c>
      <c r="L137" s="1090">
        <v>0</v>
      </c>
      <c r="M137" s="1090">
        <v>108.48</v>
      </c>
      <c r="N137" s="1090">
        <v>252</v>
      </c>
      <c r="O137" s="1090"/>
      <c r="Q137" s="1090">
        <f t="shared" si="7"/>
        <v>6458.3879999999999</v>
      </c>
      <c r="S137" s="918" t="str">
        <f>_xlfn.XLOOKUP($B137,Coding!$D:$D,Coding!$F:$F,"x")</f>
        <v xml:space="preserve">      Repairs and Maintenance</v>
      </c>
      <c r="U137" s="929"/>
    </row>
    <row r="138" spans="1:21" ht="15" customHeight="1">
      <c r="A138" s="889"/>
      <c r="B138" s="1085" t="s">
        <v>1966</v>
      </c>
      <c r="C138" s="1090">
        <v>0</v>
      </c>
      <c r="D138" s="1090">
        <v>0</v>
      </c>
      <c r="E138" s="1090">
        <v>0</v>
      </c>
      <c r="F138" s="1090">
        <v>0</v>
      </c>
      <c r="G138" s="1090">
        <v>0</v>
      </c>
      <c r="H138" s="1090">
        <v>0</v>
      </c>
      <c r="I138" s="1090">
        <v>0</v>
      </c>
      <c r="J138" s="1090">
        <v>0</v>
      </c>
      <c r="K138" s="1090">
        <v>140</v>
      </c>
      <c r="L138" s="1090">
        <v>0</v>
      </c>
      <c r="M138" s="1090">
        <v>250</v>
      </c>
      <c r="N138" s="1090">
        <v>250</v>
      </c>
      <c r="O138" s="1090"/>
      <c r="Q138" s="1090">
        <f t="shared" si="7"/>
        <v>768</v>
      </c>
      <c r="S138" s="918" t="str">
        <f>_xlfn.XLOOKUP($B138,Coding!$D:$D,Coding!$F:$F,"x")</f>
        <v xml:space="preserve">      Repairs and Maintenance</v>
      </c>
      <c r="T138" s="927"/>
    </row>
    <row r="139" spans="1:21" ht="15" customHeight="1">
      <c r="A139" s="889"/>
      <c r="B139" s="1085" t="s">
        <v>1807</v>
      </c>
      <c r="C139" s="1090">
        <v>0</v>
      </c>
      <c r="D139" s="1090">
        <v>0</v>
      </c>
      <c r="E139" s="1090">
        <v>0</v>
      </c>
      <c r="F139" s="1090">
        <v>0</v>
      </c>
      <c r="G139" s="1090">
        <v>96.04</v>
      </c>
      <c r="H139" s="1090">
        <v>0</v>
      </c>
      <c r="I139" s="1090">
        <v>0</v>
      </c>
      <c r="J139" s="1090">
        <v>952.15</v>
      </c>
      <c r="K139" s="1090">
        <v>743.33</v>
      </c>
      <c r="L139" s="1090">
        <v>120.22</v>
      </c>
      <c r="M139" s="1090">
        <v>0</v>
      </c>
      <c r="N139" s="1090">
        <v>839.51</v>
      </c>
      <c r="O139" s="1090"/>
      <c r="Q139" s="1090">
        <f t="shared" si="7"/>
        <v>3301.5</v>
      </c>
      <c r="S139" s="918" t="str">
        <f>_xlfn.XLOOKUP($B139,Coding!$D:$D,Coding!$F:$F,"x")</f>
        <v xml:space="preserve">      Repairs and Maintenance</v>
      </c>
    </row>
    <row r="140" spans="1:21" ht="15" customHeight="1">
      <c r="A140" s="889"/>
      <c r="B140" s="1085" t="s">
        <v>1808</v>
      </c>
      <c r="C140" s="1090">
        <v>0</v>
      </c>
      <c r="D140" s="1090">
        <v>0</v>
      </c>
      <c r="E140" s="1090">
        <v>0</v>
      </c>
      <c r="F140" s="1090">
        <v>0</v>
      </c>
      <c r="G140" s="1090">
        <v>32.42</v>
      </c>
      <c r="H140" s="1090">
        <v>156.88999999999999</v>
      </c>
      <c r="I140" s="1090">
        <v>-22.01</v>
      </c>
      <c r="J140" s="1090">
        <v>217.38</v>
      </c>
      <c r="K140" s="1090">
        <v>0</v>
      </c>
      <c r="L140" s="1090">
        <v>0</v>
      </c>
      <c r="M140" s="1090">
        <v>915.89</v>
      </c>
      <c r="N140" s="1090">
        <v>161.47</v>
      </c>
      <c r="O140" s="1090"/>
      <c r="Q140" s="1090">
        <f t="shared" si="7"/>
        <v>1754.4479999999999</v>
      </c>
      <c r="S140" s="918" t="str">
        <f>_xlfn.XLOOKUP($B140,Coding!$D:$D,Coding!$F:$F,"x")</f>
        <v xml:space="preserve">      Repairs and Maintenance</v>
      </c>
    </row>
    <row r="141" spans="1:21" ht="15" customHeight="1">
      <c r="A141" s="889"/>
      <c r="B141" s="1085" t="s">
        <v>1967</v>
      </c>
      <c r="C141" s="1090">
        <v>0</v>
      </c>
      <c r="D141" s="1090">
        <v>0</v>
      </c>
      <c r="E141" s="1090">
        <v>0</v>
      </c>
      <c r="F141" s="1090">
        <v>0</v>
      </c>
      <c r="G141" s="1090">
        <v>64.97</v>
      </c>
      <c r="H141" s="1090">
        <v>0</v>
      </c>
      <c r="I141" s="1090">
        <v>0</v>
      </c>
      <c r="J141" s="1090">
        <v>0</v>
      </c>
      <c r="K141" s="1090">
        <v>216.49</v>
      </c>
      <c r="L141" s="1090">
        <v>0</v>
      </c>
      <c r="M141" s="1090">
        <v>0</v>
      </c>
      <c r="N141" s="1090">
        <v>185</v>
      </c>
      <c r="O141" s="1090"/>
      <c r="Q141" s="1090">
        <f t="shared" si="7"/>
        <v>559.75200000000007</v>
      </c>
      <c r="S141" s="918" t="str">
        <f>_xlfn.XLOOKUP($B141,Coding!$D:$D,Coding!$F:$F,"x")</f>
        <v xml:space="preserve">      Repairs and Maintenance</v>
      </c>
    </row>
    <row r="142" spans="1:21" ht="15" customHeight="1">
      <c r="A142" s="889"/>
      <c r="B142" s="1085" t="s">
        <v>1690</v>
      </c>
      <c r="C142" s="1090">
        <v>0</v>
      </c>
      <c r="D142" s="1090">
        <v>0</v>
      </c>
      <c r="E142" s="1090">
        <v>395</v>
      </c>
      <c r="F142" s="1090">
        <v>0</v>
      </c>
      <c r="G142" s="1090">
        <v>526.65</v>
      </c>
      <c r="H142" s="1090">
        <v>0</v>
      </c>
      <c r="I142" s="1090">
        <v>-456.65</v>
      </c>
      <c r="J142" s="1090">
        <v>-465</v>
      </c>
      <c r="K142" s="1090">
        <v>0</v>
      </c>
      <c r="L142" s="1090">
        <v>0</v>
      </c>
      <c r="M142" s="1090">
        <v>0</v>
      </c>
      <c r="N142" s="1090">
        <v>0</v>
      </c>
      <c r="O142" s="1090"/>
      <c r="Q142" s="1090">
        <f t="shared" si="7"/>
        <v>0</v>
      </c>
      <c r="S142" s="918" t="str">
        <f>_xlfn.XLOOKUP($B142,Coding!$D:$D,Coding!$F:$F,"x")</f>
        <v xml:space="preserve">      Repairs and Maintenance</v>
      </c>
    </row>
    <row r="143" spans="1:21" ht="15" customHeight="1">
      <c r="A143" s="889"/>
      <c r="B143" s="1085" t="s">
        <v>2282</v>
      </c>
      <c r="C143" s="1090">
        <v>0</v>
      </c>
      <c r="D143" s="1090">
        <v>0</v>
      </c>
      <c r="E143" s="1090">
        <v>0</v>
      </c>
      <c r="F143" s="1090">
        <v>0</v>
      </c>
      <c r="G143" s="1090">
        <v>0</v>
      </c>
      <c r="H143" s="1090">
        <v>0</v>
      </c>
      <c r="I143" s="1090">
        <v>0</v>
      </c>
      <c r="J143" s="1090">
        <v>0</v>
      </c>
      <c r="K143" s="1090">
        <v>0</v>
      </c>
      <c r="L143" s="1090">
        <v>745.76</v>
      </c>
      <c r="M143" s="1090">
        <v>0</v>
      </c>
      <c r="N143" s="1090">
        <v>0</v>
      </c>
      <c r="O143" s="1090"/>
      <c r="Q143" s="1090">
        <f t="shared" si="7"/>
        <v>894.91199999999992</v>
      </c>
      <c r="S143" s="918" t="str">
        <f>_xlfn.XLOOKUP($B143,Coding!$D:$D,Coding!$F:$F,"x")</f>
        <v xml:space="preserve">      Repairs and Maintenance</v>
      </c>
    </row>
    <row r="144" spans="1:21" ht="15" customHeight="1">
      <c r="A144" s="889"/>
      <c r="B144" s="1085" t="s">
        <v>1691</v>
      </c>
      <c r="C144" s="1090">
        <v>0</v>
      </c>
      <c r="D144" s="1090">
        <v>0</v>
      </c>
      <c r="E144" s="1090">
        <v>574</v>
      </c>
      <c r="F144" s="1090">
        <v>0</v>
      </c>
      <c r="G144" s="1090">
        <v>0</v>
      </c>
      <c r="H144" s="1090">
        <v>0</v>
      </c>
      <c r="I144" s="1090">
        <v>312</v>
      </c>
      <c r="J144" s="1090">
        <v>2246.14</v>
      </c>
      <c r="K144" s="1090">
        <v>275</v>
      </c>
      <c r="L144" s="1090">
        <v>0</v>
      </c>
      <c r="M144" s="1090">
        <v>0</v>
      </c>
      <c r="N144" s="1090">
        <v>503.36</v>
      </c>
      <c r="O144" s="1090"/>
      <c r="Q144" s="1090">
        <f t="shared" si="7"/>
        <v>4692.5999999999995</v>
      </c>
      <c r="S144" s="918" t="str">
        <f>_xlfn.XLOOKUP($B144,Coding!$D:$D,Coding!$F:$F,"x")</f>
        <v xml:space="preserve">      Repairs and Maintenance</v>
      </c>
    </row>
    <row r="145" spans="1:19" ht="15" customHeight="1">
      <c r="A145" s="889"/>
      <c r="B145" s="1085" t="s">
        <v>1968</v>
      </c>
      <c r="C145" s="1090">
        <v>0</v>
      </c>
      <c r="D145" s="1090">
        <v>0</v>
      </c>
      <c r="E145" s="1090">
        <v>0</v>
      </c>
      <c r="F145" s="1090">
        <v>0</v>
      </c>
      <c r="G145" s="1090">
        <v>0</v>
      </c>
      <c r="H145" s="1090">
        <v>0</v>
      </c>
      <c r="I145" s="1090">
        <v>2358.2600000000002</v>
      </c>
      <c r="J145" s="1090">
        <v>5358.35</v>
      </c>
      <c r="K145" s="1090">
        <v>0</v>
      </c>
      <c r="L145" s="1090">
        <v>0</v>
      </c>
      <c r="M145" s="1090">
        <v>0</v>
      </c>
      <c r="N145" s="1090">
        <v>297.69</v>
      </c>
      <c r="O145" s="1095"/>
      <c r="Q145" s="1090">
        <f t="shared" si="7"/>
        <v>9617.16</v>
      </c>
      <c r="S145" s="918" t="str">
        <f>_xlfn.XLOOKUP($B145,Coding!$D:$D,Coding!$F:$F,"x")</f>
        <v xml:space="preserve">      Repairs and Maintenance</v>
      </c>
    </row>
    <row r="146" spans="1:19" ht="15" customHeight="1">
      <c r="A146" s="889"/>
      <c r="B146" s="1085" t="s">
        <v>1969</v>
      </c>
      <c r="C146" s="1090">
        <v>0</v>
      </c>
      <c r="D146" s="1090">
        <v>0</v>
      </c>
      <c r="E146" s="1090">
        <v>0</v>
      </c>
      <c r="F146" s="1090">
        <v>0</v>
      </c>
      <c r="G146" s="1090">
        <v>0</v>
      </c>
      <c r="H146" s="1090">
        <v>0</v>
      </c>
      <c r="I146" s="1090">
        <v>0</v>
      </c>
      <c r="J146" s="1090">
        <v>0</v>
      </c>
      <c r="K146" s="1090">
        <v>10.71</v>
      </c>
      <c r="L146" s="1090">
        <v>86.81</v>
      </c>
      <c r="M146" s="1090">
        <v>0</v>
      </c>
      <c r="N146" s="1090">
        <v>0</v>
      </c>
      <c r="O146" s="1091"/>
      <c r="Q146" s="1090">
        <f t="shared" si="7"/>
        <v>117.024</v>
      </c>
      <c r="S146" s="918" t="str">
        <f>_xlfn.XLOOKUP($B146,Coding!$D:$D,Coding!$F:$F,"x")</f>
        <v xml:space="preserve">      Repairs and Maintenance</v>
      </c>
    </row>
    <row r="147" spans="1:19" ht="15" customHeight="1">
      <c r="A147" s="889"/>
      <c r="B147" s="1085" t="s">
        <v>1970</v>
      </c>
      <c r="C147" s="1090">
        <v>0</v>
      </c>
      <c r="D147" s="1090">
        <v>0</v>
      </c>
      <c r="E147" s="1090">
        <v>0</v>
      </c>
      <c r="F147" s="1090">
        <v>0</v>
      </c>
      <c r="G147" s="1090">
        <v>0</v>
      </c>
      <c r="H147" s="1090">
        <v>0</v>
      </c>
      <c r="I147" s="1090">
        <v>811.88</v>
      </c>
      <c r="J147" s="1090">
        <v>0</v>
      </c>
      <c r="K147" s="1090">
        <v>0</v>
      </c>
      <c r="L147" s="1090">
        <v>0</v>
      </c>
      <c r="M147" s="1090">
        <v>0</v>
      </c>
      <c r="N147" s="1090">
        <v>0</v>
      </c>
      <c r="O147" s="1095"/>
      <c r="Q147" s="1090">
        <f t="shared" si="7"/>
        <v>974.25599999999997</v>
      </c>
      <c r="S147" s="918" t="str">
        <f>_xlfn.XLOOKUP($B147,Coding!$D:$D,Coding!$F:$F,"x")</f>
        <v xml:space="preserve">      Repairs and Maintenance</v>
      </c>
    </row>
    <row r="148" spans="1:19" ht="15" customHeight="1">
      <c r="A148" s="889"/>
      <c r="B148" s="1085" t="s">
        <v>1809</v>
      </c>
      <c r="C148" s="1090">
        <v>0</v>
      </c>
      <c r="D148" s="1090">
        <v>0</v>
      </c>
      <c r="E148" s="1090">
        <v>0</v>
      </c>
      <c r="F148" s="1090">
        <v>308</v>
      </c>
      <c r="G148" s="1090">
        <v>0</v>
      </c>
      <c r="H148" s="1090">
        <v>527.30999999999995</v>
      </c>
      <c r="I148" s="1090">
        <v>804.78</v>
      </c>
      <c r="J148" s="1090">
        <v>773.62</v>
      </c>
      <c r="K148" s="1090">
        <v>499.48</v>
      </c>
      <c r="L148" s="1090">
        <v>843.92</v>
      </c>
      <c r="M148" s="1090">
        <v>0</v>
      </c>
      <c r="N148" s="1090">
        <v>323.39999999999998</v>
      </c>
      <c r="O148" s="1085"/>
      <c r="Q148" s="1090">
        <f t="shared" si="7"/>
        <v>4896.6120000000001</v>
      </c>
      <c r="S148" s="918" t="str">
        <f>_xlfn.XLOOKUP($B148,Coding!$D:$D,Coding!$F:$F,"x")</f>
        <v xml:space="preserve">      Repairs and Maintenance</v>
      </c>
    </row>
    <row r="149" spans="1:19" ht="15" customHeight="1">
      <c r="A149" s="889"/>
      <c r="B149" s="1085" t="s">
        <v>1692</v>
      </c>
      <c r="C149" s="1090">
        <v>0</v>
      </c>
      <c r="D149" s="1090">
        <v>0</v>
      </c>
      <c r="E149" s="1090">
        <v>431.18</v>
      </c>
      <c r="F149" s="1090">
        <v>53.85</v>
      </c>
      <c r="G149" s="1090">
        <v>716.38</v>
      </c>
      <c r="H149" s="1090">
        <v>68.81</v>
      </c>
      <c r="I149" s="1090">
        <v>426.95</v>
      </c>
      <c r="J149" s="1090">
        <v>4074.29</v>
      </c>
      <c r="K149" s="1090">
        <v>1254.06</v>
      </c>
      <c r="L149" s="1090">
        <v>2850.74</v>
      </c>
      <c r="M149" s="1090">
        <v>595.23</v>
      </c>
      <c r="N149" s="1090">
        <v>627.25</v>
      </c>
      <c r="O149" s="1090"/>
      <c r="Q149" s="1090">
        <f t="shared" si="7"/>
        <v>13318.487999999999</v>
      </c>
      <c r="S149" s="918" t="str">
        <f>_xlfn.XLOOKUP($B149,Coding!$D:$D,Coding!$F:$F,"x")</f>
        <v xml:space="preserve">      Repairs and Maintenance</v>
      </c>
    </row>
    <row r="150" spans="1:19" ht="15" customHeight="1">
      <c r="A150" s="889"/>
      <c r="B150" s="1085" t="s">
        <v>327</v>
      </c>
      <c r="C150" s="1085"/>
      <c r="D150" s="1085"/>
      <c r="E150" s="1085"/>
      <c r="F150" s="1085"/>
      <c r="G150" s="1085"/>
      <c r="H150" s="1085"/>
      <c r="I150" s="1085"/>
      <c r="J150" s="1085"/>
      <c r="K150" s="1085"/>
      <c r="L150" s="1085"/>
      <c r="M150" s="1085"/>
      <c r="N150" s="1085"/>
      <c r="O150" s="1090"/>
      <c r="Q150" s="1085"/>
      <c r="S150" s="918"/>
    </row>
    <row r="151" spans="1:19" ht="15" customHeight="1">
      <c r="A151" s="889"/>
      <c r="B151" s="1089" t="s">
        <v>1693</v>
      </c>
      <c r="C151" s="1306">
        <v>0</v>
      </c>
      <c r="D151" s="1306">
        <v>0</v>
      </c>
      <c r="E151" s="1306">
        <v>8285.16</v>
      </c>
      <c r="F151" s="1306">
        <v>1598.86</v>
      </c>
      <c r="G151" s="1306">
        <v>2841.36</v>
      </c>
      <c r="H151" s="1306">
        <v>2439.63</v>
      </c>
      <c r="I151" s="1306">
        <v>3133.34</v>
      </c>
      <c r="J151" s="1306">
        <v>29680.26</v>
      </c>
      <c r="K151" s="1306">
        <v>16693.189999999999</v>
      </c>
      <c r="L151" s="1306">
        <v>10961.82</v>
      </c>
      <c r="M151" s="1306">
        <v>3872.39</v>
      </c>
      <c r="N151" s="1306">
        <v>4392.88</v>
      </c>
      <c r="O151" s="1090"/>
      <c r="Q151" s="1306">
        <f t="shared" si="7"/>
        <v>100678.66799999999</v>
      </c>
      <c r="S151" s="918"/>
    </row>
    <row r="152" spans="1:19" ht="15" customHeight="1">
      <c r="A152" s="889"/>
      <c r="B152" s="1085" t="s">
        <v>327</v>
      </c>
      <c r="C152" s="1085"/>
      <c r="D152" s="1085"/>
      <c r="E152" s="1085"/>
      <c r="F152" s="1085"/>
      <c r="G152" s="1085"/>
      <c r="H152" s="1085"/>
      <c r="I152" s="1085"/>
      <c r="J152" s="1085"/>
      <c r="K152" s="1085"/>
      <c r="L152" s="1085"/>
      <c r="M152" s="1085"/>
      <c r="N152" s="1085"/>
      <c r="O152" s="1090"/>
      <c r="Q152" s="1085"/>
      <c r="S152" s="918"/>
    </row>
    <row r="153" spans="1:19" ht="15" customHeight="1">
      <c r="A153" s="889"/>
      <c r="B153" s="1089" t="s">
        <v>1694</v>
      </c>
      <c r="C153" s="1085" t="s">
        <v>1635</v>
      </c>
      <c r="D153" s="1085" t="s">
        <v>1635</v>
      </c>
      <c r="E153" s="1085" t="s">
        <v>1635</v>
      </c>
      <c r="F153" s="1085" t="s">
        <v>1635</v>
      </c>
      <c r="G153" s="1085" t="s">
        <v>1635</v>
      </c>
      <c r="H153" s="1085" t="s">
        <v>1635</v>
      </c>
      <c r="I153" s="1085" t="s">
        <v>1635</v>
      </c>
      <c r="J153" s="1085" t="s">
        <v>1635</v>
      </c>
      <c r="K153" s="1085" t="s">
        <v>1635</v>
      </c>
      <c r="L153" s="1085" t="s">
        <v>1635</v>
      </c>
      <c r="M153" s="1085" t="s">
        <v>1635</v>
      </c>
      <c r="N153" s="1085" t="s">
        <v>1635</v>
      </c>
      <c r="O153" s="1090"/>
      <c r="Q153" s="1085"/>
      <c r="S153" s="918"/>
    </row>
    <row r="154" spans="1:19" ht="15" customHeight="1">
      <c r="A154" s="889"/>
      <c r="B154" s="1085" t="s">
        <v>1695</v>
      </c>
      <c r="C154" s="1090">
        <v>0</v>
      </c>
      <c r="D154" s="1090">
        <v>0</v>
      </c>
      <c r="E154" s="1090">
        <v>130</v>
      </c>
      <c r="F154" s="1090">
        <v>1412</v>
      </c>
      <c r="G154" s="1090">
        <v>0</v>
      </c>
      <c r="H154" s="1090">
        <v>1280</v>
      </c>
      <c r="I154" s="1090">
        <v>-1460</v>
      </c>
      <c r="J154" s="1090">
        <v>4691</v>
      </c>
      <c r="K154" s="1090">
        <v>385</v>
      </c>
      <c r="L154" s="1090">
        <v>1324.05</v>
      </c>
      <c r="M154" s="1090">
        <v>185</v>
      </c>
      <c r="N154" s="1090">
        <v>850</v>
      </c>
      <c r="O154" s="1090"/>
      <c r="Q154" s="1090">
        <f t="shared" ref="Q154:Q162" si="8">IFERROR(SUM(E154:N154)*(12/10),"")</f>
        <v>10556.46</v>
      </c>
      <c r="S154" s="918" t="str">
        <f>_xlfn.XLOOKUP($B154,Coding!$D:$D,Coding!$F:$F,"x")</f>
        <v xml:space="preserve">      Repairs and Maintenance</v>
      </c>
    </row>
    <row r="155" spans="1:19" ht="15" customHeight="1">
      <c r="A155" s="889"/>
      <c r="B155" s="1085" t="s">
        <v>1971</v>
      </c>
      <c r="C155" s="1090">
        <v>0</v>
      </c>
      <c r="D155" s="1090">
        <v>0</v>
      </c>
      <c r="E155" s="1090">
        <v>0</v>
      </c>
      <c r="F155" s="1090">
        <v>0</v>
      </c>
      <c r="G155" s="1090">
        <v>0</v>
      </c>
      <c r="H155" s="1090">
        <v>0</v>
      </c>
      <c r="I155" s="1090">
        <v>0</v>
      </c>
      <c r="J155" s="1090">
        <v>0</v>
      </c>
      <c r="K155" s="1090">
        <v>400</v>
      </c>
      <c r="L155" s="1090">
        <v>0</v>
      </c>
      <c r="M155" s="1090">
        <v>0</v>
      </c>
      <c r="N155" s="1090">
        <v>0</v>
      </c>
      <c r="O155" s="1090"/>
      <c r="Q155" s="1090">
        <f t="shared" si="8"/>
        <v>480</v>
      </c>
      <c r="S155" s="918" t="str">
        <f>_xlfn.XLOOKUP($B155,Coding!$D:$D,Coding!$F:$F,"x")</f>
        <v xml:space="preserve">      Repairs and Maintenance</v>
      </c>
    </row>
    <row r="156" spans="1:19" ht="15" customHeight="1">
      <c r="A156" s="889"/>
      <c r="B156" s="1085" t="s">
        <v>1696</v>
      </c>
      <c r="C156" s="1090">
        <v>0</v>
      </c>
      <c r="D156" s="1090">
        <v>0</v>
      </c>
      <c r="E156" s="1090">
        <v>1918.36</v>
      </c>
      <c r="F156" s="1090">
        <v>1504.72</v>
      </c>
      <c r="G156" s="1090">
        <v>0</v>
      </c>
      <c r="H156" s="1090">
        <v>746.4</v>
      </c>
      <c r="I156" s="1090">
        <v>611.36</v>
      </c>
      <c r="J156" s="1090">
        <v>6420.4</v>
      </c>
      <c r="K156" s="1090">
        <v>5524.92</v>
      </c>
      <c r="L156" s="1090">
        <v>0</v>
      </c>
      <c r="M156" s="1090">
        <v>809.08</v>
      </c>
      <c r="N156" s="1090">
        <v>645</v>
      </c>
      <c r="O156" s="1095"/>
      <c r="Q156" s="1090">
        <f t="shared" si="8"/>
        <v>21816.287999999997</v>
      </c>
      <c r="S156" s="918" t="str">
        <f>_xlfn.XLOOKUP($B156,Coding!$D:$D,Coding!$F:$F,"x")</f>
        <v xml:space="preserve">      Repairs and Maintenance</v>
      </c>
    </row>
    <row r="157" spans="1:19" ht="15" customHeight="1">
      <c r="A157" s="889"/>
      <c r="B157" s="1085" t="s">
        <v>1697</v>
      </c>
      <c r="C157" s="1090">
        <v>0</v>
      </c>
      <c r="D157" s="1090">
        <v>0</v>
      </c>
      <c r="E157" s="1090">
        <v>1720</v>
      </c>
      <c r="F157" s="1090">
        <v>1550</v>
      </c>
      <c r="G157" s="1090">
        <v>0</v>
      </c>
      <c r="H157" s="1090">
        <v>1270</v>
      </c>
      <c r="I157" s="1090">
        <v>-3115</v>
      </c>
      <c r="J157" s="1090">
        <v>4606.1000000000004</v>
      </c>
      <c r="K157" s="1090">
        <v>6417.94</v>
      </c>
      <c r="L157" s="1090">
        <v>2790</v>
      </c>
      <c r="M157" s="1090">
        <v>655</v>
      </c>
      <c r="N157" s="1090">
        <v>1000</v>
      </c>
      <c r="O157" s="1091"/>
      <c r="Q157" s="1090">
        <f t="shared" si="8"/>
        <v>20272.848000000002</v>
      </c>
      <c r="S157" s="918" t="str">
        <f>_xlfn.XLOOKUP($B157,Coding!$D:$D,Coding!$F:$F,"x")</f>
        <v xml:space="preserve">      Repairs and Maintenance</v>
      </c>
    </row>
    <row r="158" spans="1:19" ht="15" customHeight="1">
      <c r="A158" s="889"/>
      <c r="B158" s="1085" t="s">
        <v>1698</v>
      </c>
      <c r="C158" s="1090">
        <v>0</v>
      </c>
      <c r="D158" s="1090">
        <v>0</v>
      </c>
      <c r="E158" s="1090">
        <v>160</v>
      </c>
      <c r="F158" s="1090">
        <v>665</v>
      </c>
      <c r="G158" s="1090">
        <v>255</v>
      </c>
      <c r="H158" s="1090">
        <v>350</v>
      </c>
      <c r="I158" s="1090">
        <v>60</v>
      </c>
      <c r="J158" s="1090">
        <v>-1490</v>
      </c>
      <c r="K158" s="1090">
        <v>860.11</v>
      </c>
      <c r="L158" s="1090">
        <v>2455</v>
      </c>
      <c r="M158" s="1090">
        <v>160</v>
      </c>
      <c r="N158" s="1090">
        <v>470</v>
      </c>
      <c r="O158" s="1095"/>
      <c r="Q158" s="1090">
        <f t="shared" si="8"/>
        <v>4734.1319999999996</v>
      </c>
      <c r="S158" s="918" t="str">
        <f>_xlfn.XLOOKUP($B158,Coding!$D:$D,Coding!$F:$F,"x")</f>
        <v xml:space="preserve">      Repairs and Maintenance</v>
      </c>
    </row>
    <row r="159" spans="1:19" ht="15" customHeight="1">
      <c r="A159" s="889"/>
      <c r="B159" s="1085" t="s">
        <v>1972</v>
      </c>
      <c r="C159" s="1090">
        <v>0</v>
      </c>
      <c r="D159" s="1090">
        <v>0</v>
      </c>
      <c r="E159" s="1090">
        <v>0</v>
      </c>
      <c r="F159" s="1090">
        <v>0</v>
      </c>
      <c r="G159" s="1090">
        <v>0</v>
      </c>
      <c r="H159" s="1090">
        <v>0</v>
      </c>
      <c r="I159" s="1090">
        <v>803.64</v>
      </c>
      <c r="J159" s="1090">
        <v>2548.59</v>
      </c>
      <c r="K159" s="1090">
        <v>671.31</v>
      </c>
      <c r="L159" s="1090">
        <v>375</v>
      </c>
      <c r="M159" s="1090">
        <v>45.2</v>
      </c>
      <c r="N159" s="1090">
        <v>0</v>
      </c>
      <c r="O159" s="1085"/>
      <c r="Q159" s="1090">
        <f t="shared" si="8"/>
        <v>5332.4879999999994</v>
      </c>
      <c r="S159" s="918" t="str">
        <f>_xlfn.XLOOKUP($B159,Coding!$D:$D,Coding!$F:$F,"x")</f>
        <v xml:space="preserve">      Repairs and Maintenance</v>
      </c>
    </row>
    <row r="160" spans="1:19" ht="15" customHeight="1">
      <c r="A160" s="889"/>
      <c r="B160" s="1085" t="s">
        <v>1973</v>
      </c>
      <c r="C160" s="1090">
        <v>0</v>
      </c>
      <c r="D160" s="1090">
        <v>0</v>
      </c>
      <c r="E160" s="1090">
        <v>0</v>
      </c>
      <c r="F160" s="1090">
        <v>0</v>
      </c>
      <c r="G160" s="1090">
        <v>0</v>
      </c>
      <c r="H160" s="1090">
        <v>0</v>
      </c>
      <c r="I160" s="1090">
        <v>0</v>
      </c>
      <c r="J160" s="1090">
        <v>0</v>
      </c>
      <c r="K160" s="1090">
        <v>435.18</v>
      </c>
      <c r="L160" s="1090">
        <v>0</v>
      </c>
      <c r="M160" s="1090">
        <v>0</v>
      </c>
      <c r="N160" s="1090">
        <v>0</v>
      </c>
      <c r="O160" s="1090"/>
      <c r="Q160" s="1090">
        <f t="shared" si="8"/>
        <v>522.21600000000001</v>
      </c>
      <c r="S160" s="918" t="str">
        <f>_xlfn.XLOOKUP($B160,Coding!$D:$D,Coding!$F:$F,"x")</f>
        <v xml:space="preserve">      Repairs and Maintenance</v>
      </c>
    </row>
    <row r="161" spans="1:19" ht="15" customHeight="1">
      <c r="A161" s="889"/>
      <c r="B161" s="1085" t="s">
        <v>327</v>
      </c>
      <c r="C161" s="1085"/>
      <c r="D161" s="1085"/>
      <c r="E161" s="1085"/>
      <c r="F161" s="1085"/>
      <c r="G161" s="1085"/>
      <c r="H161" s="1085"/>
      <c r="I161" s="1085"/>
      <c r="J161" s="1085"/>
      <c r="K161" s="1085"/>
      <c r="L161" s="1085"/>
      <c r="M161" s="1085"/>
      <c r="N161" s="1085"/>
      <c r="O161" s="1090"/>
      <c r="Q161" s="1085"/>
      <c r="S161" s="918"/>
    </row>
    <row r="162" spans="1:19" ht="15" customHeight="1">
      <c r="A162" s="889"/>
      <c r="B162" s="1089" t="s">
        <v>1699</v>
      </c>
      <c r="C162" s="1306">
        <v>0</v>
      </c>
      <c r="D162" s="1306">
        <v>0</v>
      </c>
      <c r="E162" s="1306">
        <v>3928.36</v>
      </c>
      <c r="F162" s="1306">
        <v>5131.72</v>
      </c>
      <c r="G162" s="1306">
        <v>255</v>
      </c>
      <c r="H162" s="1306">
        <v>3646.4</v>
      </c>
      <c r="I162" s="1306">
        <v>-3100</v>
      </c>
      <c r="J162" s="1306">
        <v>16776.09</v>
      </c>
      <c r="K162" s="1306">
        <v>14694.46</v>
      </c>
      <c r="L162" s="1306">
        <v>6944.05</v>
      </c>
      <c r="M162" s="1306">
        <v>1854.28</v>
      </c>
      <c r="N162" s="1306">
        <v>2965</v>
      </c>
      <c r="O162" s="1090"/>
      <c r="Q162" s="1306">
        <f t="shared" si="8"/>
        <v>63714.432000000001</v>
      </c>
      <c r="S162" s="918"/>
    </row>
    <row r="163" spans="1:19" ht="15" customHeight="1">
      <c r="A163" s="889"/>
      <c r="B163" s="1085" t="s">
        <v>327</v>
      </c>
      <c r="C163" s="1085"/>
      <c r="D163" s="1085"/>
      <c r="E163" s="1085"/>
      <c r="F163" s="1085"/>
      <c r="G163" s="1085"/>
      <c r="H163" s="1085"/>
      <c r="I163" s="1085"/>
      <c r="J163" s="1085"/>
      <c r="K163" s="1085"/>
      <c r="L163" s="1085"/>
      <c r="M163" s="1085"/>
      <c r="N163" s="1085"/>
      <c r="O163" s="1090"/>
      <c r="Q163" s="1085"/>
      <c r="S163" s="918"/>
    </row>
    <row r="164" spans="1:19" ht="15" customHeight="1">
      <c r="A164" s="889"/>
      <c r="B164" s="1089" t="s">
        <v>1700</v>
      </c>
      <c r="C164" s="1085" t="s">
        <v>1635</v>
      </c>
      <c r="D164" s="1085" t="s">
        <v>1635</v>
      </c>
      <c r="E164" s="1085" t="s">
        <v>1635</v>
      </c>
      <c r="F164" s="1085" t="s">
        <v>1635</v>
      </c>
      <c r="G164" s="1085" t="s">
        <v>1635</v>
      </c>
      <c r="H164" s="1085" t="s">
        <v>1635</v>
      </c>
      <c r="I164" s="1085" t="s">
        <v>1635</v>
      </c>
      <c r="J164" s="1085" t="s">
        <v>1635</v>
      </c>
      <c r="K164" s="1085" t="s">
        <v>1635</v>
      </c>
      <c r="L164" s="1085" t="s">
        <v>1635</v>
      </c>
      <c r="M164" s="1085" t="s">
        <v>1635</v>
      </c>
      <c r="N164" s="1085" t="s">
        <v>1635</v>
      </c>
      <c r="O164" s="1090"/>
      <c r="Q164" s="1085"/>
      <c r="S164" s="918"/>
    </row>
    <row r="165" spans="1:19" ht="15" customHeight="1">
      <c r="A165" s="889"/>
      <c r="B165" s="1085" t="s">
        <v>1701</v>
      </c>
      <c r="C165" s="1090">
        <v>0</v>
      </c>
      <c r="D165" s="1090">
        <v>0</v>
      </c>
      <c r="E165" s="1090">
        <v>6720.13</v>
      </c>
      <c r="F165" s="1090">
        <v>12710.74</v>
      </c>
      <c r="G165" s="1090">
        <v>20668.5</v>
      </c>
      <c r="H165" s="1090">
        <v>13119.63</v>
      </c>
      <c r="I165" s="1090">
        <v>15844.35</v>
      </c>
      <c r="J165" s="1090">
        <v>12687.8</v>
      </c>
      <c r="K165" s="1090">
        <v>16245.25</v>
      </c>
      <c r="L165" s="1090">
        <v>22754.23</v>
      </c>
      <c r="M165" s="1090">
        <v>12399.88</v>
      </c>
      <c r="N165" s="1090">
        <v>15901.58</v>
      </c>
      <c r="O165" s="1090"/>
      <c r="Q165" s="1090">
        <f t="shared" ref="Q165:Q177" si="9">IFERROR(SUM(E165:N165)*(12/10),"")</f>
        <v>178862.50799999994</v>
      </c>
      <c r="S165" s="918" t="str">
        <f>_xlfn.XLOOKUP($B165,Coding!$D:$D,Coding!$F:$F,"x")</f>
        <v xml:space="preserve">      Payroll &amp; Benefits </v>
      </c>
    </row>
    <row r="166" spans="1:19" ht="15" customHeight="1">
      <c r="A166" s="889"/>
      <c r="B166" s="1085" t="s">
        <v>1702</v>
      </c>
      <c r="C166" s="1090">
        <v>0</v>
      </c>
      <c r="D166" s="1090">
        <v>0</v>
      </c>
      <c r="E166" s="1090">
        <v>3882.29</v>
      </c>
      <c r="F166" s="1090">
        <v>10548.08</v>
      </c>
      <c r="G166" s="1090">
        <v>15669.37</v>
      </c>
      <c r="H166" s="1090">
        <v>10467.94</v>
      </c>
      <c r="I166" s="1090">
        <v>10808.7</v>
      </c>
      <c r="J166" s="1090">
        <v>11937.01</v>
      </c>
      <c r="K166" s="1090">
        <v>9813.4</v>
      </c>
      <c r="L166" s="1090">
        <v>14687.74</v>
      </c>
      <c r="M166" s="1090">
        <v>8749.44</v>
      </c>
      <c r="N166" s="1090">
        <v>15924.75</v>
      </c>
      <c r="O166" s="1090"/>
      <c r="Q166" s="1090">
        <f t="shared" si="9"/>
        <v>134986.46400000001</v>
      </c>
      <c r="S166" s="918" t="str">
        <f>_xlfn.XLOOKUP($B166,Coding!$D:$D,Coding!$F:$F,"x")</f>
        <v xml:space="preserve">      Payroll &amp; Benefits </v>
      </c>
    </row>
    <row r="167" spans="1:19" ht="15" customHeight="1">
      <c r="A167" s="889"/>
      <c r="B167" s="1085" t="s">
        <v>1703</v>
      </c>
      <c r="C167" s="1090">
        <v>0</v>
      </c>
      <c r="D167" s="1090">
        <v>0</v>
      </c>
      <c r="E167" s="1090">
        <v>1080</v>
      </c>
      <c r="F167" s="1090">
        <v>3717</v>
      </c>
      <c r="G167" s="1090">
        <v>5102.46</v>
      </c>
      <c r="H167" s="1090">
        <v>3425.49</v>
      </c>
      <c r="I167" s="1090">
        <v>3431.36</v>
      </c>
      <c r="J167" s="1090">
        <v>3467.66</v>
      </c>
      <c r="K167" s="1090">
        <v>3568.79</v>
      </c>
      <c r="L167" s="1090">
        <v>5496.04</v>
      </c>
      <c r="M167" s="1090">
        <v>3597.2</v>
      </c>
      <c r="N167" s="1090">
        <v>3682.35</v>
      </c>
      <c r="O167" s="1090"/>
      <c r="Q167" s="1090">
        <f t="shared" si="9"/>
        <v>43882.02</v>
      </c>
      <c r="S167" s="918" t="str">
        <f>_xlfn.XLOOKUP($B167,Coding!$D:$D,Coding!$F:$F,"x")</f>
        <v xml:space="preserve">      Payroll &amp; Benefits </v>
      </c>
    </row>
    <row r="168" spans="1:19" ht="15" customHeight="1">
      <c r="A168" s="889"/>
      <c r="B168" s="1085" t="s">
        <v>1974</v>
      </c>
      <c r="C168" s="1090">
        <v>0</v>
      </c>
      <c r="D168" s="1090">
        <v>0</v>
      </c>
      <c r="E168" s="1090">
        <v>0</v>
      </c>
      <c r="F168" s="1090">
        <v>0</v>
      </c>
      <c r="G168" s="1090">
        <v>0</v>
      </c>
      <c r="H168" s="1090">
        <v>0</v>
      </c>
      <c r="I168" s="1090">
        <v>9150</v>
      </c>
      <c r="J168" s="1090">
        <v>3060</v>
      </c>
      <c r="K168" s="1090">
        <v>3125</v>
      </c>
      <c r="L168" s="1090">
        <v>4100</v>
      </c>
      <c r="M168" s="1090">
        <v>3250</v>
      </c>
      <c r="N168" s="1090">
        <v>4550</v>
      </c>
      <c r="O168" s="1090"/>
      <c r="Q168" s="1090">
        <f t="shared" si="9"/>
        <v>32682</v>
      </c>
      <c r="S168" s="918" t="str">
        <f>_xlfn.XLOOKUP($B168,Coding!$D:$D,Coding!$F:$F,"x")</f>
        <v xml:space="preserve">      Payroll &amp; Benefits </v>
      </c>
    </row>
    <row r="169" spans="1:19" ht="15" customHeight="1">
      <c r="A169" s="889"/>
      <c r="B169" s="1085" t="s">
        <v>1810</v>
      </c>
      <c r="C169" s="1090">
        <v>0</v>
      </c>
      <c r="D169" s="1090">
        <v>0</v>
      </c>
      <c r="E169" s="1090">
        <v>0</v>
      </c>
      <c r="F169" s="1090">
        <v>0</v>
      </c>
      <c r="G169" s="1090">
        <v>3358</v>
      </c>
      <c r="H169" s="1090">
        <v>469.23</v>
      </c>
      <c r="I169" s="1090">
        <v>0</v>
      </c>
      <c r="J169" s="1090">
        <v>308</v>
      </c>
      <c r="K169" s="1090">
        <v>676.74</v>
      </c>
      <c r="L169" s="1090">
        <v>458</v>
      </c>
      <c r="M169" s="1090">
        <v>571.07000000000005</v>
      </c>
      <c r="N169" s="1090">
        <v>0</v>
      </c>
      <c r="O169" s="1095"/>
      <c r="Q169" s="1090">
        <f t="shared" si="9"/>
        <v>7009.2479999999987</v>
      </c>
      <c r="S169" s="918" t="str">
        <f>_xlfn.XLOOKUP($B169,Coding!$D:$D,Coding!$F:$F,"x")</f>
        <v xml:space="preserve">      Payroll &amp; Benefits </v>
      </c>
    </row>
    <row r="170" spans="1:19" ht="15" customHeight="1">
      <c r="A170" s="889"/>
      <c r="B170" s="1085" t="s">
        <v>1811</v>
      </c>
      <c r="C170" s="1090">
        <v>0</v>
      </c>
      <c r="D170" s="1090">
        <v>0</v>
      </c>
      <c r="E170" s="1090">
        <v>0</v>
      </c>
      <c r="F170" s="1090">
        <v>1750</v>
      </c>
      <c r="G170" s="1090">
        <v>0</v>
      </c>
      <c r="H170" s="1090">
        <v>0</v>
      </c>
      <c r="I170" s="1090">
        <v>0</v>
      </c>
      <c r="J170" s="1090">
        <v>0</v>
      </c>
      <c r="K170" s="1090">
        <v>0</v>
      </c>
      <c r="L170" s="1090">
        <v>0</v>
      </c>
      <c r="M170" s="1090">
        <v>0</v>
      </c>
      <c r="N170" s="1090">
        <v>0</v>
      </c>
      <c r="O170" s="1091"/>
      <c r="Q170" s="1090">
        <f t="shared" si="9"/>
        <v>2100</v>
      </c>
      <c r="S170" s="918" t="str">
        <f>_xlfn.XLOOKUP($B170,Coding!$D:$D,Coding!$F:$F,"x")</f>
        <v xml:space="preserve">      Payroll &amp; Benefits </v>
      </c>
    </row>
    <row r="171" spans="1:19" ht="15" customHeight="1">
      <c r="A171" s="889"/>
      <c r="B171" s="1085" t="s">
        <v>1704</v>
      </c>
      <c r="C171" s="1090">
        <v>0</v>
      </c>
      <c r="D171" s="1090">
        <v>0</v>
      </c>
      <c r="E171" s="1090">
        <v>1187.9100000000001</v>
      </c>
      <c r="F171" s="1090">
        <v>2742.58</v>
      </c>
      <c r="G171" s="1090">
        <v>4525.32</v>
      </c>
      <c r="H171" s="1090">
        <v>2795.75</v>
      </c>
      <c r="I171" s="1090">
        <v>3993.37</v>
      </c>
      <c r="J171" s="1090">
        <v>3116.08</v>
      </c>
      <c r="K171" s="1090">
        <v>3364.11</v>
      </c>
      <c r="L171" s="1090">
        <v>4718.92</v>
      </c>
      <c r="M171" s="1090">
        <v>2874.75</v>
      </c>
      <c r="N171" s="1090">
        <v>4080.48</v>
      </c>
      <c r="O171" s="1095"/>
      <c r="Q171" s="1090">
        <f t="shared" si="9"/>
        <v>40079.124000000003</v>
      </c>
      <c r="S171" s="918" t="str">
        <f>_xlfn.XLOOKUP($B171,Coding!$D:$D,Coding!$F:$F,"x")</f>
        <v xml:space="preserve">      Payroll &amp; Benefits </v>
      </c>
    </row>
    <row r="172" spans="1:19" ht="15" customHeight="1">
      <c r="A172" s="889"/>
      <c r="B172" s="1085" t="s">
        <v>1705</v>
      </c>
      <c r="C172" s="1090">
        <v>0</v>
      </c>
      <c r="D172" s="1090">
        <v>0</v>
      </c>
      <c r="E172" s="1090">
        <v>1087.6300000000001</v>
      </c>
      <c r="F172" s="1090">
        <v>2510.7600000000002</v>
      </c>
      <c r="G172" s="1090">
        <v>4133.67</v>
      </c>
      <c r="H172" s="1090">
        <v>2502.08</v>
      </c>
      <c r="I172" s="1090">
        <v>3606.81</v>
      </c>
      <c r="J172" s="1090">
        <v>2808.33</v>
      </c>
      <c r="K172" s="1090">
        <v>2989.7</v>
      </c>
      <c r="L172" s="1090">
        <v>4203.75</v>
      </c>
      <c r="M172" s="1090">
        <v>2547.9899999999998</v>
      </c>
      <c r="N172" s="1090">
        <v>3639.03</v>
      </c>
      <c r="O172" s="1085"/>
      <c r="Q172" s="1090">
        <f t="shared" si="9"/>
        <v>36035.699999999997</v>
      </c>
      <c r="S172" s="918" t="str">
        <f>_xlfn.XLOOKUP($B172,Coding!$D:$D,Coding!$F:$F,"x")</f>
        <v xml:space="preserve">      Payroll &amp; Benefits </v>
      </c>
    </row>
    <row r="173" spans="1:19" ht="15" customHeight="1">
      <c r="A173" s="889"/>
      <c r="B173" s="1085" t="s">
        <v>1706</v>
      </c>
      <c r="C173" s="1090">
        <v>0</v>
      </c>
      <c r="D173" s="1090">
        <v>0</v>
      </c>
      <c r="E173" s="1090">
        <v>412.17</v>
      </c>
      <c r="F173" s="1090">
        <v>1655.32</v>
      </c>
      <c r="G173" s="1090">
        <v>3912.37</v>
      </c>
      <c r="H173" s="1090">
        <v>3593.89</v>
      </c>
      <c r="I173" s="1090">
        <v>3520.87</v>
      </c>
      <c r="J173" s="1090">
        <v>3484.8</v>
      </c>
      <c r="K173" s="1090">
        <v>2878.43</v>
      </c>
      <c r="L173" s="1090">
        <v>1704</v>
      </c>
      <c r="M173" s="1090">
        <v>2076.34</v>
      </c>
      <c r="N173" s="1090">
        <v>3506.6</v>
      </c>
      <c r="O173" s="1090"/>
      <c r="Q173" s="1090">
        <f t="shared" si="9"/>
        <v>32093.747999999996</v>
      </c>
      <c r="S173" s="918" t="str">
        <f>_xlfn.XLOOKUP($B173,Coding!$D:$D,Coding!$F:$F,"x")</f>
        <v xml:space="preserve">      Payroll &amp; Benefits </v>
      </c>
    </row>
    <row r="174" spans="1:19" ht="15" customHeight="1">
      <c r="A174" s="889"/>
      <c r="B174" s="1085" t="s">
        <v>2283</v>
      </c>
      <c r="C174" s="1090">
        <v>0</v>
      </c>
      <c r="D174" s="1090">
        <v>0</v>
      </c>
      <c r="E174" s="1090">
        <v>0</v>
      </c>
      <c r="F174" s="1090">
        <v>0</v>
      </c>
      <c r="G174" s="1090">
        <v>0</v>
      </c>
      <c r="H174" s="1090">
        <v>0</v>
      </c>
      <c r="I174" s="1090">
        <v>0</v>
      </c>
      <c r="J174" s="1090">
        <v>0</v>
      </c>
      <c r="K174" s="1090">
        <v>0</v>
      </c>
      <c r="L174" s="1090">
        <v>31.63</v>
      </c>
      <c r="M174" s="1090">
        <v>0</v>
      </c>
      <c r="N174" s="1090">
        <v>21.25</v>
      </c>
      <c r="O174" s="1090"/>
      <c r="Q174" s="1090">
        <f t="shared" si="9"/>
        <v>63.455999999999989</v>
      </c>
      <c r="S174" s="918" t="str">
        <f>_xlfn.XLOOKUP($B174,Coding!$D:$D,Coding!$F:$F,"x")</f>
        <v xml:space="preserve">      Payroll &amp; Benefits </v>
      </c>
    </row>
    <row r="175" spans="1:19" ht="15" customHeight="1">
      <c r="A175" s="889"/>
      <c r="B175" s="1085" t="s">
        <v>2284</v>
      </c>
      <c r="C175" s="1090">
        <v>0</v>
      </c>
      <c r="D175" s="1090">
        <v>0</v>
      </c>
      <c r="E175" s="1090">
        <v>0</v>
      </c>
      <c r="F175" s="1090">
        <v>0</v>
      </c>
      <c r="G175" s="1090">
        <v>0</v>
      </c>
      <c r="H175" s="1090">
        <v>0</v>
      </c>
      <c r="I175" s="1090">
        <v>0</v>
      </c>
      <c r="J175" s="1090">
        <v>0</v>
      </c>
      <c r="K175" s="1090">
        <v>0</v>
      </c>
      <c r="L175" s="1090">
        <v>2213.73</v>
      </c>
      <c r="M175" s="1090">
        <v>0</v>
      </c>
      <c r="N175" s="1090">
        <v>0</v>
      </c>
      <c r="O175" s="1090"/>
      <c r="Q175" s="1090">
        <f t="shared" si="9"/>
        <v>2656.4760000000001</v>
      </c>
      <c r="S175" s="918" t="str">
        <f>_xlfn.XLOOKUP($B175,Coding!$D:$D,Coding!$F:$F,"x")</f>
        <v xml:space="preserve">      Payroll &amp; Benefits </v>
      </c>
    </row>
    <row r="176" spans="1:19" ht="15" customHeight="1">
      <c r="A176" s="889"/>
      <c r="B176" s="1085" t="s">
        <v>327</v>
      </c>
      <c r="C176" s="1085"/>
      <c r="D176" s="1085"/>
      <c r="E176" s="1085"/>
      <c r="F176" s="1085"/>
      <c r="G176" s="1085"/>
      <c r="H176" s="1085"/>
      <c r="I176" s="1085"/>
      <c r="J176" s="1085"/>
      <c r="K176" s="1085"/>
      <c r="L176" s="1085"/>
      <c r="M176" s="1085"/>
      <c r="N176" s="1085"/>
      <c r="O176" s="1090"/>
      <c r="Q176" s="1085"/>
      <c r="S176" s="918"/>
    </row>
    <row r="177" spans="1:21" ht="15" customHeight="1">
      <c r="A177" s="889"/>
      <c r="B177" s="1089" t="s">
        <v>1707</v>
      </c>
      <c r="C177" s="1306">
        <v>0</v>
      </c>
      <c r="D177" s="1306">
        <v>0</v>
      </c>
      <c r="E177" s="1306">
        <v>14370.13</v>
      </c>
      <c r="F177" s="1306">
        <v>35634.480000000003</v>
      </c>
      <c r="G177" s="1306">
        <v>57369.69</v>
      </c>
      <c r="H177" s="1306">
        <v>36374.01</v>
      </c>
      <c r="I177" s="1306">
        <v>50355.46</v>
      </c>
      <c r="J177" s="1306">
        <v>40869.68</v>
      </c>
      <c r="K177" s="1306">
        <v>42661.42</v>
      </c>
      <c r="L177" s="1306">
        <v>60368.04</v>
      </c>
      <c r="M177" s="1306">
        <v>36066.67</v>
      </c>
      <c r="N177" s="1306">
        <v>51306.04</v>
      </c>
      <c r="O177" s="1090"/>
      <c r="Q177" s="1306">
        <f t="shared" si="9"/>
        <v>510450.74399999989</v>
      </c>
      <c r="S177" s="918"/>
    </row>
    <row r="178" spans="1:21" ht="15" customHeight="1">
      <c r="A178" s="889"/>
      <c r="B178" s="1085" t="s">
        <v>327</v>
      </c>
      <c r="C178" s="1085"/>
      <c r="D178" s="1085"/>
      <c r="E178" s="1085"/>
      <c r="F178" s="1085"/>
      <c r="G178" s="1085"/>
      <c r="H178" s="1085"/>
      <c r="I178" s="1085"/>
      <c r="J178" s="1085"/>
      <c r="K178" s="1085"/>
      <c r="L178" s="1085"/>
      <c r="M178" s="1085"/>
      <c r="N178" s="1085"/>
      <c r="O178" s="1090"/>
      <c r="Q178" s="1085"/>
      <c r="S178" s="918"/>
    </row>
    <row r="179" spans="1:21" ht="15" customHeight="1">
      <c r="A179" s="889"/>
      <c r="B179" s="1089" t="s">
        <v>1708</v>
      </c>
      <c r="C179" s="1085" t="s">
        <v>1635</v>
      </c>
      <c r="D179" s="1085" t="s">
        <v>1635</v>
      </c>
      <c r="E179" s="1085" t="s">
        <v>1635</v>
      </c>
      <c r="F179" s="1085" t="s">
        <v>1635</v>
      </c>
      <c r="G179" s="1085" t="s">
        <v>1635</v>
      </c>
      <c r="H179" s="1085" t="s">
        <v>1635</v>
      </c>
      <c r="I179" s="1085" t="s">
        <v>1635</v>
      </c>
      <c r="J179" s="1085" t="s">
        <v>1635</v>
      </c>
      <c r="K179" s="1085" t="s">
        <v>1635</v>
      </c>
      <c r="L179" s="1085" t="s">
        <v>1635</v>
      </c>
      <c r="M179" s="1085" t="s">
        <v>1635</v>
      </c>
      <c r="N179" s="1085" t="s">
        <v>1635</v>
      </c>
      <c r="O179" s="1095"/>
      <c r="Q179" s="1085"/>
      <c r="S179" s="918"/>
      <c r="U179" s="1097"/>
    </row>
    <row r="180" spans="1:21" ht="15" customHeight="1">
      <c r="A180" s="889"/>
      <c r="B180" s="1085" t="s">
        <v>1812</v>
      </c>
      <c r="C180" s="1090">
        <v>0</v>
      </c>
      <c r="D180" s="1090">
        <v>0</v>
      </c>
      <c r="E180" s="1090">
        <v>0</v>
      </c>
      <c r="F180" s="1090">
        <v>66.16</v>
      </c>
      <c r="G180" s="1090">
        <v>12000</v>
      </c>
      <c r="H180" s="1090">
        <v>7896.41</v>
      </c>
      <c r="I180" s="1090">
        <v>8293.25</v>
      </c>
      <c r="J180" s="1090">
        <v>16492.57</v>
      </c>
      <c r="K180" s="1090">
        <v>6885.36</v>
      </c>
      <c r="L180" s="1090">
        <v>6638.45</v>
      </c>
      <c r="M180" s="1090">
        <v>6583.4</v>
      </c>
      <c r="N180" s="1090">
        <v>8005.75</v>
      </c>
      <c r="O180" s="1091"/>
      <c r="Q180" s="1090">
        <f t="shared" ref="Q180:Q187" si="10">IFERROR(SUM(E180:N180)*(12/10),"")</f>
        <v>87433.62000000001</v>
      </c>
      <c r="S180" s="918" t="str">
        <f>_xlfn.XLOOKUP($B180,Coding!$D:$D,Coding!$F:$F,"x")</f>
        <v xml:space="preserve">      Utilities </v>
      </c>
    </row>
    <row r="181" spans="1:21" ht="15" customHeight="1">
      <c r="A181" s="889"/>
      <c r="B181" s="1085" t="s">
        <v>1709</v>
      </c>
      <c r="C181" s="1090">
        <v>0</v>
      </c>
      <c r="D181" s="1090">
        <v>0</v>
      </c>
      <c r="E181" s="1090">
        <v>4559.53</v>
      </c>
      <c r="F181" s="1090">
        <v>1205.67</v>
      </c>
      <c r="G181" s="1090">
        <v>512.97</v>
      </c>
      <c r="H181" s="1090">
        <v>2092</v>
      </c>
      <c r="I181" s="1090">
        <v>2110.39</v>
      </c>
      <c r="J181" s="1090">
        <v>2755.27</v>
      </c>
      <c r="K181" s="1090">
        <v>1067.8800000000001</v>
      </c>
      <c r="L181" s="1090">
        <v>7341.72</v>
      </c>
      <c r="M181" s="1090">
        <v>458.8</v>
      </c>
      <c r="N181" s="1090">
        <v>565.64</v>
      </c>
      <c r="O181" s="1095"/>
      <c r="Q181" s="1090">
        <f t="shared" si="10"/>
        <v>27203.843999999997</v>
      </c>
      <c r="S181" s="918" t="str">
        <f>_xlfn.XLOOKUP($B181,Coding!$D:$D,Coding!$F:$F,"x")</f>
        <v xml:space="preserve">      Utilities </v>
      </c>
    </row>
    <row r="182" spans="1:21" ht="15" customHeight="1">
      <c r="A182" s="889"/>
      <c r="B182" s="1085" t="s">
        <v>1710</v>
      </c>
      <c r="C182" s="1090">
        <v>0</v>
      </c>
      <c r="D182" s="1090">
        <v>0</v>
      </c>
      <c r="E182" s="1090">
        <v>3514.93</v>
      </c>
      <c r="F182" s="1090">
        <v>3880.8</v>
      </c>
      <c r="G182" s="1090">
        <v>7761.6</v>
      </c>
      <c r="H182" s="1090">
        <v>8787.17</v>
      </c>
      <c r="I182" s="1090">
        <v>-8827.56</v>
      </c>
      <c r="J182" s="1090">
        <v>11692.46</v>
      </c>
      <c r="K182" s="1090">
        <v>5172.3</v>
      </c>
      <c r="L182" s="1090">
        <v>-666.27</v>
      </c>
      <c r="M182" s="1090">
        <v>1956.05</v>
      </c>
      <c r="N182" s="1090">
        <v>985.68</v>
      </c>
      <c r="O182" s="1085"/>
      <c r="P182" s="897"/>
      <c r="Q182" s="1090">
        <f t="shared" si="10"/>
        <v>41108.592000000004</v>
      </c>
      <c r="R182" s="897"/>
      <c r="S182" s="918" t="str">
        <f>_xlfn.XLOOKUP($B182,Coding!$D:$D,Coding!$F:$F,"x")</f>
        <v xml:space="preserve">      Utilities </v>
      </c>
      <c r="T182" s="897"/>
    </row>
    <row r="183" spans="1:21" ht="15" customHeight="1">
      <c r="A183" s="889"/>
      <c r="B183" s="1085" t="s">
        <v>1711</v>
      </c>
      <c r="C183" s="1090">
        <v>0</v>
      </c>
      <c r="D183" s="1090">
        <v>0</v>
      </c>
      <c r="E183" s="1090">
        <v>19798.240000000002</v>
      </c>
      <c r="F183" s="1090">
        <v>14000</v>
      </c>
      <c r="G183" s="1090">
        <v>20391</v>
      </c>
      <c r="H183" s="1090">
        <v>14000</v>
      </c>
      <c r="I183" s="1090">
        <v>-38425.9</v>
      </c>
      <c r="J183" s="1090">
        <v>31692.42</v>
      </c>
      <c r="K183" s="1090">
        <v>12573.12</v>
      </c>
      <c r="L183" s="1090">
        <v>45195.76</v>
      </c>
      <c r="M183" s="1090">
        <v>14500</v>
      </c>
      <c r="N183" s="1090">
        <v>178.14</v>
      </c>
      <c r="O183" s="1090"/>
      <c r="Q183" s="1090">
        <f t="shared" si="10"/>
        <v>160683.33600000004</v>
      </c>
      <c r="S183" s="918" t="str">
        <f>_xlfn.XLOOKUP($B183,Coding!$D:$D,Coding!$F:$F,"x")</f>
        <v xml:space="preserve">      Utilities </v>
      </c>
    </row>
    <row r="184" spans="1:21" ht="15" customHeight="1">
      <c r="A184" s="889"/>
      <c r="B184" s="1085" t="s">
        <v>1712</v>
      </c>
      <c r="C184" s="1090">
        <v>0</v>
      </c>
      <c r="D184" s="1090">
        <v>0</v>
      </c>
      <c r="E184" s="1090">
        <v>4464.57</v>
      </c>
      <c r="F184" s="1090">
        <v>3675</v>
      </c>
      <c r="G184" s="1090">
        <v>6145.38</v>
      </c>
      <c r="H184" s="1090">
        <v>6145.38</v>
      </c>
      <c r="I184" s="1090">
        <v>6145.38</v>
      </c>
      <c r="J184" s="1090">
        <v>10538.32</v>
      </c>
      <c r="K184" s="1090">
        <v>6846.94</v>
      </c>
      <c r="L184" s="1090">
        <v>13793.59</v>
      </c>
      <c r="M184" s="1090">
        <v>12312.65</v>
      </c>
      <c r="N184" s="1090">
        <v>4054.27</v>
      </c>
      <c r="O184" s="1090"/>
      <c r="Q184" s="1090">
        <f t="shared" si="10"/>
        <v>88945.775999999998</v>
      </c>
      <c r="S184" s="918" t="str">
        <f>_xlfn.XLOOKUP($B184,Coding!$D:$D,Coding!$F:$F,"x")</f>
        <v xml:space="preserve">      Utilities </v>
      </c>
    </row>
    <row r="185" spans="1:21" ht="15" customHeight="1">
      <c r="A185" s="889"/>
      <c r="B185" s="1085" t="s">
        <v>1813</v>
      </c>
      <c r="C185" s="1090">
        <v>0</v>
      </c>
      <c r="D185" s="1090">
        <v>0</v>
      </c>
      <c r="E185" s="1090">
        <v>0</v>
      </c>
      <c r="F185" s="1090">
        <v>0</v>
      </c>
      <c r="G185" s="1090">
        <v>0</v>
      </c>
      <c r="H185" s="1090">
        <v>4187.0200000000004</v>
      </c>
      <c r="I185" s="1090">
        <v>2108.17</v>
      </c>
      <c r="J185" s="1090">
        <v>3015.55</v>
      </c>
      <c r="K185" s="1090">
        <v>-2136.09</v>
      </c>
      <c r="L185" s="1090">
        <v>2247.86</v>
      </c>
      <c r="M185" s="1090">
        <v>1500</v>
      </c>
      <c r="N185" s="1090">
        <v>3864.75</v>
      </c>
      <c r="O185" s="1090"/>
      <c r="Q185" s="1090">
        <f t="shared" si="10"/>
        <v>17744.712000000003</v>
      </c>
      <c r="S185" s="918" t="str">
        <f>_xlfn.XLOOKUP($B185,Coding!$D:$D,Coding!$F:$F,"x")</f>
        <v xml:space="preserve">      Utilities </v>
      </c>
    </row>
    <row r="186" spans="1:21" ht="15" customHeight="1">
      <c r="A186" s="889"/>
      <c r="B186" s="1085" t="s">
        <v>327</v>
      </c>
      <c r="C186" s="1085"/>
      <c r="D186" s="1085"/>
      <c r="E186" s="1085"/>
      <c r="F186" s="1085"/>
      <c r="G186" s="1085"/>
      <c r="H186" s="1085"/>
      <c r="I186" s="1085"/>
      <c r="J186" s="1085"/>
      <c r="K186" s="1085"/>
      <c r="L186" s="1085"/>
      <c r="M186" s="1085"/>
      <c r="N186" s="1085"/>
      <c r="O186" s="1090"/>
      <c r="Q186" s="1085"/>
      <c r="S186" s="918"/>
    </row>
    <row r="187" spans="1:21" ht="15" customHeight="1">
      <c r="A187" s="889"/>
      <c r="B187" s="1089" t="s">
        <v>1713</v>
      </c>
      <c r="C187" s="1306">
        <v>0</v>
      </c>
      <c r="D187" s="1306">
        <v>0</v>
      </c>
      <c r="E187" s="1306">
        <v>32337.27</v>
      </c>
      <c r="F187" s="1306">
        <v>22827.63</v>
      </c>
      <c r="G187" s="1306">
        <v>46810.95</v>
      </c>
      <c r="H187" s="1306">
        <v>43107.98</v>
      </c>
      <c r="I187" s="1306">
        <v>-28596.27</v>
      </c>
      <c r="J187" s="1306">
        <v>76186.59</v>
      </c>
      <c r="K187" s="1306">
        <v>30409.51</v>
      </c>
      <c r="L187" s="1306">
        <v>74551.11</v>
      </c>
      <c r="M187" s="1306">
        <v>37310.9</v>
      </c>
      <c r="N187" s="1306">
        <v>17654.23</v>
      </c>
      <c r="O187" s="1095"/>
      <c r="Q187" s="1306">
        <f t="shared" si="10"/>
        <v>423119.88</v>
      </c>
      <c r="S187" s="918"/>
    </row>
    <row r="188" spans="1:21" ht="15" customHeight="1">
      <c r="A188" s="889"/>
      <c r="B188" s="1085" t="s">
        <v>327</v>
      </c>
      <c r="C188" s="1085"/>
      <c r="D188" s="1085"/>
      <c r="E188" s="1085"/>
      <c r="F188" s="1085"/>
      <c r="G188" s="1085"/>
      <c r="H188" s="1085"/>
      <c r="I188" s="1085"/>
      <c r="J188" s="1085"/>
      <c r="K188" s="1085"/>
      <c r="L188" s="1085"/>
      <c r="M188" s="1085"/>
      <c r="N188" s="1085"/>
      <c r="O188" s="1091"/>
      <c r="Q188" s="1085"/>
      <c r="S188" s="918"/>
    </row>
    <row r="189" spans="1:21" ht="15" customHeight="1">
      <c r="A189" s="889"/>
      <c r="B189" s="1089" t="s">
        <v>1714</v>
      </c>
      <c r="C189" s="1085" t="s">
        <v>1635</v>
      </c>
      <c r="D189" s="1085" t="s">
        <v>1635</v>
      </c>
      <c r="E189" s="1085" t="s">
        <v>1635</v>
      </c>
      <c r="F189" s="1085" t="s">
        <v>1635</v>
      </c>
      <c r="G189" s="1085" t="s">
        <v>1635</v>
      </c>
      <c r="H189" s="1085" t="s">
        <v>1635</v>
      </c>
      <c r="I189" s="1085" t="s">
        <v>1635</v>
      </c>
      <c r="J189" s="1085" t="s">
        <v>1635</v>
      </c>
      <c r="K189" s="1085" t="s">
        <v>1635</v>
      </c>
      <c r="L189" s="1085" t="s">
        <v>1635</v>
      </c>
      <c r="M189" s="1085" t="s">
        <v>1635</v>
      </c>
      <c r="N189" s="1085" t="s">
        <v>1635</v>
      </c>
      <c r="O189" s="1095"/>
      <c r="Q189" s="1085"/>
      <c r="S189" s="918"/>
    </row>
    <row r="190" spans="1:21" ht="15" customHeight="1">
      <c r="A190" s="889"/>
      <c r="B190" s="1085" t="s">
        <v>1715</v>
      </c>
      <c r="C190" s="1090">
        <v>0</v>
      </c>
      <c r="D190" s="1090">
        <v>0</v>
      </c>
      <c r="E190" s="1090">
        <v>104981.01</v>
      </c>
      <c r="F190" s="1090">
        <v>104981.01</v>
      </c>
      <c r="G190" s="1090">
        <v>116965.81</v>
      </c>
      <c r="H190" s="1090">
        <v>200859.43</v>
      </c>
      <c r="I190" s="1090">
        <v>116965.81</v>
      </c>
      <c r="J190" s="1090">
        <v>116965.81</v>
      </c>
      <c r="K190" s="1090">
        <v>116965.83</v>
      </c>
      <c r="L190" s="1090">
        <v>122450</v>
      </c>
      <c r="M190" s="1090">
        <v>144491.67000000001</v>
      </c>
      <c r="N190" s="1090">
        <v>122450</v>
      </c>
      <c r="O190" s="1085"/>
      <c r="Q190" s="1090">
        <f t="shared" ref="Q190:Q195" si="11">IFERROR(SUM(E190:N190)*(12/10),"")</f>
        <v>1521691.6560000002</v>
      </c>
      <c r="S190" s="918" t="str">
        <f>_xlfn.XLOOKUP($B190,Coding!$D:$D,Coding!$F:$F,"x")</f>
        <v xml:space="preserve">      Real Estate Taxes</v>
      </c>
    </row>
    <row r="191" spans="1:21" ht="15" customHeight="1">
      <c r="A191" s="889"/>
      <c r="B191" s="1085" t="s">
        <v>1975</v>
      </c>
      <c r="C191" s="1090">
        <v>0</v>
      </c>
      <c r="D191" s="1090">
        <v>0</v>
      </c>
      <c r="E191" s="1090">
        <v>0</v>
      </c>
      <c r="F191" s="1090">
        <v>0</v>
      </c>
      <c r="G191" s="1090">
        <v>0</v>
      </c>
      <c r="H191" s="1090">
        <v>0</v>
      </c>
      <c r="I191" s="1090">
        <v>16064.04</v>
      </c>
      <c r="J191" s="1090">
        <v>36273.629999999997</v>
      </c>
      <c r="K191" s="1090">
        <v>8032.02</v>
      </c>
      <c r="L191" s="1090">
        <v>-14116.65</v>
      </c>
      <c r="M191" s="1090">
        <v>5432.02</v>
      </c>
      <c r="N191" s="1090">
        <v>5432.02</v>
      </c>
      <c r="O191" s="1090"/>
      <c r="Q191" s="1090">
        <f t="shared" si="11"/>
        <v>68540.495999999999</v>
      </c>
      <c r="S191" s="918" t="str">
        <f>_xlfn.XLOOKUP($B191,Coding!$D:$D,Coding!$F:$F,"x")</f>
        <v xml:space="preserve">      Property Insurance</v>
      </c>
    </row>
    <row r="192" spans="1:21" ht="15" customHeight="1">
      <c r="A192" s="889"/>
      <c r="B192" s="1085" t="s">
        <v>1716</v>
      </c>
      <c r="C192" s="1090">
        <v>0</v>
      </c>
      <c r="D192" s="1090">
        <v>0</v>
      </c>
      <c r="E192" s="1090">
        <v>8707.67</v>
      </c>
      <c r="F192" s="1090">
        <v>2247.14</v>
      </c>
      <c r="G192" s="1090">
        <v>4311.9399999999996</v>
      </c>
      <c r="H192" s="1090">
        <v>4341.92</v>
      </c>
      <c r="I192" s="1090">
        <v>-4341.92</v>
      </c>
      <c r="J192" s="1090">
        <v>-15266.75</v>
      </c>
      <c r="K192" s="1090">
        <v>0</v>
      </c>
      <c r="L192" s="1090">
        <v>0</v>
      </c>
      <c r="M192" s="1090">
        <v>0</v>
      </c>
      <c r="N192" s="1090">
        <v>0</v>
      </c>
      <c r="O192" s="1090"/>
      <c r="Q192" s="1090">
        <f t="shared" si="11"/>
        <v>-2.1827872842550277E-12</v>
      </c>
      <c r="S192" s="918" t="str">
        <f>_xlfn.XLOOKUP($B192,Coding!$D:$D,Coding!$F:$F,"x")</f>
        <v xml:space="preserve">      Property Insurance</v>
      </c>
    </row>
    <row r="193" spans="1:19" ht="15" customHeight="1">
      <c r="A193" s="889"/>
      <c r="B193" s="1085" t="s">
        <v>1717</v>
      </c>
      <c r="C193" s="1090">
        <v>0</v>
      </c>
      <c r="D193" s="1090">
        <v>0</v>
      </c>
      <c r="E193" s="1090">
        <v>7061.92</v>
      </c>
      <c r="F193" s="1090">
        <v>2235.42</v>
      </c>
      <c r="G193" s="1090">
        <v>3677.52</v>
      </c>
      <c r="H193" s="1090">
        <v>3690.1</v>
      </c>
      <c r="I193" s="1090">
        <v>-3690.1</v>
      </c>
      <c r="J193" s="1090">
        <v>-12974.86</v>
      </c>
      <c r="K193" s="1090">
        <v>0</v>
      </c>
      <c r="L193" s="1090">
        <v>0</v>
      </c>
      <c r="M193" s="1090">
        <v>0</v>
      </c>
      <c r="N193" s="1090">
        <v>0</v>
      </c>
      <c r="O193" s="1095"/>
      <c r="Q193" s="1090">
        <f t="shared" si="11"/>
        <v>-2.1827872842550277E-12</v>
      </c>
      <c r="S193" s="918" t="str">
        <f>_xlfn.XLOOKUP($B193,Coding!$D:$D,Coding!$F:$F,"x")</f>
        <v xml:space="preserve">      Property Insurance</v>
      </c>
    </row>
    <row r="194" spans="1:19" ht="15" customHeight="1">
      <c r="A194" s="889"/>
      <c r="B194" s="1085" t="s">
        <v>327</v>
      </c>
      <c r="C194" s="1085"/>
      <c r="D194" s="1085"/>
      <c r="E194" s="1085"/>
      <c r="F194" s="1085"/>
      <c r="G194" s="1085"/>
      <c r="H194" s="1085"/>
      <c r="I194" s="1085"/>
      <c r="J194" s="1085"/>
      <c r="K194" s="1085"/>
      <c r="L194" s="1085"/>
      <c r="M194" s="1085"/>
      <c r="N194" s="1085"/>
      <c r="O194" s="1091"/>
      <c r="Q194" s="1085"/>
      <c r="S194" s="918"/>
    </row>
    <row r="195" spans="1:19" ht="15" customHeight="1">
      <c r="A195" s="889"/>
      <c r="B195" s="1089" t="s">
        <v>1718</v>
      </c>
      <c r="C195" s="1306">
        <v>0</v>
      </c>
      <c r="D195" s="1306">
        <v>0</v>
      </c>
      <c r="E195" s="1306">
        <v>120750.6</v>
      </c>
      <c r="F195" s="1306">
        <v>109463.57</v>
      </c>
      <c r="G195" s="1306">
        <v>124955.27</v>
      </c>
      <c r="H195" s="1306">
        <v>208891.45</v>
      </c>
      <c r="I195" s="1306">
        <v>124997.83</v>
      </c>
      <c r="J195" s="1306">
        <v>124997.83</v>
      </c>
      <c r="K195" s="1306">
        <v>124997.85</v>
      </c>
      <c r="L195" s="1306">
        <v>108333.35</v>
      </c>
      <c r="M195" s="1306">
        <v>149923.69</v>
      </c>
      <c r="N195" s="1306">
        <v>127882.02</v>
      </c>
      <c r="O195" s="1095"/>
      <c r="Q195" s="1306">
        <f t="shared" si="11"/>
        <v>1590232.152</v>
      </c>
      <c r="S195" s="918"/>
    </row>
    <row r="196" spans="1:19" ht="15" customHeight="1">
      <c r="A196" s="889"/>
      <c r="B196" s="1085" t="s">
        <v>327</v>
      </c>
      <c r="C196" s="1085"/>
      <c r="D196" s="1085"/>
      <c r="E196" s="1085"/>
      <c r="F196" s="1085"/>
      <c r="G196" s="1085"/>
      <c r="H196" s="1085"/>
      <c r="I196" s="1085"/>
      <c r="J196" s="1085"/>
      <c r="K196" s="1085"/>
      <c r="L196" s="1085"/>
      <c r="M196" s="1085"/>
      <c r="N196" s="1085"/>
      <c r="O196" s="1092"/>
      <c r="Q196" s="1085"/>
      <c r="S196" s="918"/>
    </row>
    <row r="197" spans="1:19" ht="15" customHeight="1">
      <c r="A197" s="889"/>
      <c r="B197" s="1089" t="s">
        <v>1719</v>
      </c>
      <c r="C197" s="1085" t="s">
        <v>1635</v>
      </c>
      <c r="D197" s="1085" t="s">
        <v>1635</v>
      </c>
      <c r="E197" s="1085" t="s">
        <v>1635</v>
      </c>
      <c r="F197" s="1085" t="s">
        <v>1635</v>
      </c>
      <c r="G197" s="1085" t="s">
        <v>1635</v>
      </c>
      <c r="H197" s="1085" t="s">
        <v>1635</v>
      </c>
      <c r="I197" s="1085" t="s">
        <v>1635</v>
      </c>
      <c r="J197" s="1085" t="s">
        <v>1635</v>
      </c>
      <c r="K197" s="1085" t="s">
        <v>1635</v>
      </c>
      <c r="L197" s="1085" t="s">
        <v>1635</v>
      </c>
      <c r="M197" s="1085" t="s">
        <v>1635</v>
      </c>
      <c r="N197" s="1085" t="s">
        <v>1635</v>
      </c>
      <c r="O197" s="1095"/>
      <c r="Q197" s="1085"/>
      <c r="S197" s="918"/>
    </row>
    <row r="198" spans="1:19" ht="15" customHeight="1">
      <c r="A198" s="889"/>
      <c r="B198" s="1085" t="s">
        <v>1720</v>
      </c>
      <c r="C198" s="1090">
        <v>0</v>
      </c>
      <c r="D198" s="1090">
        <v>0</v>
      </c>
      <c r="E198" s="1090">
        <v>15687.65</v>
      </c>
      <c r="F198" s="1090">
        <v>10100.59</v>
      </c>
      <c r="G198" s="1090">
        <v>10186.34</v>
      </c>
      <c r="H198" s="1090">
        <v>9979.0300000000007</v>
      </c>
      <c r="I198" s="1090">
        <v>9836.0300000000007</v>
      </c>
      <c r="J198" s="1090">
        <v>9858.32</v>
      </c>
      <c r="K198" s="1090">
        <v>10018.959999999999</v>
      </c>
      <c r="L198" s="1090">
        <v>9223.51</v>
      </c>
      <c r="M198" s="1090">
        <v>10175.780000000001</v>
      </c>
      <c r="N198" s="1090">
        <v>9130.9500000000007</v>
      </c>
      <c r="O198" s="1093"/>
      <c r="Q198" s="1090">
        <f t="shared" ref="Q198:Q205" si="12">IFERROR(SUM(E198:N198)*(12/10),"")</f>
        <v>125036.59199999996</v>
      </c>
      <c r="S198" s="918" t="str">
        <f>_xlfn.XLOOKUP($B198,Coding!$D:$D,Coding!$F:$F,"x")</f>
        <v xml:space="preserve">      Management Fees</v>
      </c>
    </row>
    <row r="199" spans="1:19" ht="15" customHeight="1">
      <c r="A199" s="889"/>
      <c r="B199" s="1085" t="s">
        <v>1721</v>
      </c>
      <c r="C199" s="1090">
        <v>0</v>
      </c>
      <c r="D199" s="1090">
        <v>0</v>
      </c>
      <c r="E199" s="1090">
        <v>2463</v>
      </c>
      <c r="F199" s="1090">
        <v>0</v>
      </c>
      <c r="G199" s="1090">
        <v>6785.08</v>
      </c>
      <c r="H199" s="1090">
        <v>0</v>
      </c>
      <c r="I199" s="1090">
        <v>-2463</v>
      </c>
      <c r="J199" s="1090">
        <v>-4755</v>
      </c>
      <c r="K199" s="1090">
        <v>2844</v>
      </c>
      <c r="L199" s="1090">
        <v>0</v>
      </c>
      <c r="M199" s="1090">
        <v>0</v>
      </c>
      <c r="N199" s="1090">
        <v>0</v>
      </c>
      <c r="O199" s="1095"/>
      <c r="Q199" s="1090">
        <f t="shared" si="12"/>
        <v>5848.8959999999997</v>
      </c>
      <c r="S199" s="918" t="str">
        <f>_xlfn.XLOOKUP($B199,Coding!$D:$D,Coding!$F:$F,"x")</f>
        <v xml:space="preserve">      Professional Fees</v>
      </c>
    </row>
    <row r="200" spans="1:19" ht="15" customHeight="1">
      <c r="A200" s="889"/>
      <c r="B200" s="1085" t="s">
        <v>327</v>
      </c>
      <c r="C200" s="1085"/>
      <c r="D200" s="1085"/>
      <c r="E200" s="1085"/>
      <c r="F200" s="1085"/>
      <c r="G200" s="1085"/>
      <c r="H200" s="1085"/>
      <c r="I200" s="1085"/>
      <c r="J200" s="1085"/>
      <c r="K200" s="1085"/>
      <c r="L200" s="1085"/>
      <c r="M200" s="1085"/>
      <c r="N200" s="1085"/>
      <c r="O200" s="1095"/>
      <c r="Q200" s="1085"/>
      <c r="S200" s="918"/>
    </row>
    <row r="201" spans="1:19" ht="15" customHeight="1">
      <c r="A201" s="889"/>
      <c r="B201" s="1089" t="s">
        <v>1722</v>
      </c>
      <c r="C201" s="1306">
        <v>0</v>
      </c>
      <c r="D201" s="1306">
        <v>0</v>
      </c>
      <c r="E201" s="1306">
        <v>18150.650000000001</v>
      </c>
      <c r="F201" s="1306">
        <v>10100.59</v>
      </c>
      <c r="G201" s="1306">
        <v>16971.419999999998</v>
      </c>
      <c r="H201" s="1306">
        <v>9979.0300000000007</v>
      </c>
      <c r="I201" s="1306">
        <v>7373.03</v>
      </c>
      <c r="J201" s="1306">
        <v>5103.32</v>
      </c>
      <c r="K201" s="1306">
        <v>12862.96</v>
      </c>
      <c r="L201" s="1306">
        <v>9223.51</v>
      </c>
      <c r="M201" s="1306">
        <v>10175.780000000001</v>
      </c>
      <c r="N201" s="1306">
        <v>9130.9500000000007</v>
      </c>
      <c r="O201" s="1089"/>
      <c r="Q201" s="1306">
        <f t="shared" si="12"/>
        <v>130885.48799999998</v>
      </c>
      <c r="S201" s="918"/>
    </row>
    <row r="202" spans="1:19" ht="15" customHeight="1">
      <c r="A202" s="889"/>
      <c r="B202" s="1085" t="s">
        <v>327</v>
      </c>
      <c r="C202" s="1085"/>
      <c r="D202" s="1085"/>
      <c r="E202" s="1085"/>
      <c r="F202" s="1085"/>
      <c r="G202" s="1085"/>
      <c r="H202" s="1085"/>
      <c r="I202" s="1085"/>
      <c r="J202" s="1085"/>
      <c r="K202" s="1085"/>
      <c r="L202" s="1085"/>
      <c r="M202" s="1085"/>
      <c r="N202" s="1085"/>
      <c r="O202" s="1090"/>
      <c r="Q202" s="1085"/>
      <c r="S202" s="918"/>
    </row>
    <row r="203" spans="1:19" ht="15" customHeight="1">
      <c r="A203" s="889"/>
      <c r="B203" s="1089" t="s">
        <v>1723</v>
      </c>
      <c r="C203" s="1307">
        <v>0</v>
      </c>
      <c r="D203" s="1307">
        <v>0</v>
      </c>
      <c r="E203" s="1307">
        <v>218971.61</v>
      </c>
      <c r="F203" s="1307">
        <v>216890.33</v>
      </c>
      <c r="G203" s="1307">
        <v>297988.7</v>
      </c>
      <c r="H203" s="1307">
        <v>356224.93</v>
      </c>
      <c r="I203" s="1307">
        <v>202166.79</v>
      </c>
      <c r="J203" s="1307">
        <v>360755.83</v>
      </c>
      <c r="K203" s="1307">
        <v>230678.17</v>
      </c>
      <c r="L203" s="1307">
        <v>332050.67</v>
      </c>
      <c r="M203" s="1307">
        <v>280253.11</v>
      </c>
      <c r="N203" s="1307">
        <v>257118</v>
      </c>
      <c r="O203" s="1090"/>
      <c r="Q203" s="1307">
        <f t="shared" si="12"/>
        <v>3303717.7679999997</v>
      </c>
      <c r="S203" s="918"/>
    </row>
    <row r="204" spans="1:19" ht="15" customHeight="1">
      <c r="A204" s="889"/>
      <c r="B204" s="1085" t="s">
        <v>327</v>
      </c>
      <c r="C204" s="1085"/>
      <c r="D204" s="1085"/>
      <c r="E204" s="1085"/>
      <c r="F204" s="1085"/>
      <c r="G204" s="1085"/>
      <c r="H204" s="1085"/>
      <c r="I204" s="1085"/>
      <c r="J204" s="1085"/>
      <c r="K204" s="1085"/>
      <c r="L204" s="1085"/>
      <c r="M204" s="1085"/>
      <c r="N204" s="1085"/>
      <c r="O204" s="1090"/>
      <c r="Q204" s="1085"/>
      <c r="S204" s="918"/>
    </row>
    <row r="205" spans="1:19" ht="15" customHeight="1">
      <c r="A205" s="889"/>
      <c r="B205" s="1089" t="s">
        <v>1724</v>
      </c>
      <c r="C205" s="1093">
        <v>0</v>
      </c>
      <c r="D205" s="1093">
        <v>0</v>
      </c>
      <c r="E205" s="1093">
        <v>653859.31999999995</v>
      </c>
      <c r="F205" s="1093">
        <v>350636.9</v>
      </c>
      <c r="G205" s="1093">
        <v>272896.24</v>
      </c>
      <c r="H205" s="1093">
        <v>198323.99</v>
      </c>
      <c r="I205" s="1093">
        <v>354989.56</v>
      </c>
      <c r="J205" s="1093">
        <v>191758.26</v>
      </c>
      <c r="K205" s="1093">
        <v>332090.17</v>
      </c>
      <c r="L205" s="1093">
        <v>188787.43</v>
      </c>
      <c r="M205" s="1093">
        <v>289210.06</v>
      </c>
      <c r="N205" s="1093">
        <v>228850.45</v>
      </c>
      <c r="O205" s="1095"/>
      <c r="Q205" s="1093">
        <f t="shared" si="12"/>
        <v>3673682.8560000001</v>
      </c>
      <c r="S205" s="918"/>
    </row>
    <row r="206" spans="1:19" ht="15" customHeight="1">
      <c r="A206" s="889"/>
      <c r="B206" s="1085" t="s">
        <v>327</v>
      </c>
      <c r="C206" s="1085"/>
      <c r="D206" s="1085"/>
      <c r="E206" s="1085"/>
      <c r="F206" s="1085"/>
      <c r="G206" s="1085"/>
      <c r="H206" s="1085"/>
      <c r="I206" s="1085"/>
      <c r="J206" s="1085"/>
      <c r="K206" s="1085"/>
      <c r="L206" s="1085"/>
      <c r="M206" s="1085"/>
      <c r="N206" s="1085"/>
      <c r="O206" s="1091"/>
      <c r="Q206" s="1085"/>
      <c r="S206" s="895"/>
    </row>
    <row r="207" spans="1:19" ht="15" customHeight="1">
      <c r="A207" s="889"/>
      <c r="B207" s="1085" t="s">
        <v>327</v>
      </c>
      <c r="C207" s="1085"/>
      <c r="D207" s="1085"/>
      <c r="E207" s="1085"/>
      <c r="F207" s="1085"/>
      <c r="G207" s="1085"/>
      <c r="H207" s="1085"/>
      <c r="I207" s="1085"/>
      <c r="J207" s="1085"/>
      <c r="K207" s="1085"/>
      <c r="L207" s="1085"/>
      <c r="M207" s="1085"/>
      <c r="N207" s="1085"/>
      <c r="O207" s="1095"/>
      <c r="Q207" s="1085"/>
      <c r="S207" s="895"/>
    </row>
    <row r="208" spans="1:19" ht="15" customHeight="1">
      <c r="A208" s="889"/>
      <c r="B208" s="1089" t="s">
        <v>1725</v>
      </c>
      <c r="C208" s="1089" t="s">
        <v>1630</v>
      </c>
      <c r="D208" s="1089" t="s">
        <v>1630</v>
      </c>
      <c r="E208" s="1089" t="s">
        <v>1630</v>
      </c>
      <c r="F208" s="1089" t="s">
        <v>1630</v>
      </c>
      <c r="G208" s="1089" t="s">
        <v>1630</v>
      </c>
      <c r="H208" s="1089" t="s">
        <v>1630</v>
      </c>
      <c r="I208" s="1089" t="s">
        <v>1630</v>
      </c>
      <c r="J208" s="1089" t="s">
        <v>1630</v>
      </c>
      <c r="K208" s="1089" t="s">
        <v>1630</v>
      </c>
      <c r="L208" s="1089" t="s">
        <v>1630</v>
      </c>
      <c r="M208" s="1089" t="s">
        <v>1630</v>
      </c>
      <c r="N208" s="1089" t="s">
        <v>1630</v>
      </c>
      <c r="O208" s="1093"/>
      <c r="Q208" s="1089"/>
      <c r="S208" s="895"/>
    </row>
    <row r="209" spans="1:19" ht="15" customHeight="1">
      <c r="A209" s="889"/>
      <c r="B209" s="1085" t="s">
        <v>1726</v>
      </c>
      <c r="C209" s="1090">
        <v>0</v>
      </c>
      <c r="D209" s="1090">
        <v>0</v>
      </c>
      <c r="E209" s="1090">
        <v>258823.45</v>
      </c>
      <c r="F209" s="1090">
        <v>258480.77</v>
      </c>
      <c r="G209" s="1090">
        <v>268316.42</v>
      </c>
      <c r="H209" s="1090">
        <v>269129.5</v>
      </c>
      <c r="I209" s="1090">
        <v>252185.96</v>
      </c>
      <c r="J209" s="1090">
        <v>255713.68</v>
      </c>
      <c r="K209" s="1090">
        <v>244317.44</v>
      </c>
      <c r="L209" s="1090">
        <v>247841.98</v>
      </c>
      <c r="M209" s="1090">
        <v>243609.63</v>
      </c>
      <c r="N209" s="1090">
        <v>221885.51</v>
      </c>
      <c r="O209" s="1095"/>
      <c r="Q209" s="1090">
        <f t="shared" ref="Q209:Q216" si="13">IFERROR(SUM(E209:N209)*(12/10),"")</f>
        <v>3024365.2079999996</v>
      </c>
      <c r="S209" s="918" t="str">
        <f>_xlfn.XLOOKUP($B209,Coding!$D:$D,Coding!$F:$F,"x")</f>
        <v>Debt Service - A Note</v>
      </c>
    </row>
    <row r="210" spans="1:19" ht="15" customHeight="1">
      <c r="A210" s="889"/>
      <c r="B210" s="1085" t="s">
        <v>2285</v>
      </c>
      <c r="C210" s="1090">
        <v>0</v>
      </c>
      <c r="D210" s="1090">
        <v>0</v>
      </c>
      <c r="E210" s="1090">
        <v>0</v>
      </c>
      <c r="F210" s="1090">
        <v>0</v>
      </c>
      <c r="G210" s="1090">
        <v>0</v>
      </c>
      <c r="H210" s="1090">
        <v>0</v>
      </c>
      <c r="I210" s="1090">
        <v>0</v>
      </c>
      <c r="J210" s="1090">
        <v>0</v>
      </c>
      <c r="K210" s="1090">
        <v>0</v>
      </c>
      <c r="L210" s="1090">
        <v>0</v>
      </c>
      <c r="M210" s="1090">
        <v>-129011.14</v>
      </c>
      <c r="N210" s="1090">
        <v>127883.78</v>
      </c>
      <c r="O210" s="1089"/>
      <c r="Q210" s="1090">
        <f t="shared" si="13"/>
        <v>-1352.8320000000006</v>
      </c>
      <c r="S210" s="895"/>
    </row>
    <row r="211" spans="1:19" ht="15" customHeight="1">
      <c r="A211" s="889"/>
      <c r="B211" s="1085" t="s">
        <v>1727</v>
      </c>
      <c r="C211" s="1090">
        <v>0</v>
      </c>
      <c r="D211" s="1090">
        <v>0</v>
      </c>
      <c r="E211" s="1090">
        <v>642655.62</v>
      </c>
      <c r="F211" s="1090">
        <v>0</v>
      </c>
      <c r="G211" s="1090">
        <v>1782.52</v>
      </c>
      <c r="H211" s="1090">
        <v>0</v>
      </c>
      <c r="I211" s="1090">
        <v>-10780</v>
      </c>
      <c r="J211" s="1090">
        <v>0</v>
      </c>
      <c r="K211" s="1090">
        <v>0</v>
      </c>
      <c r="L211" s="1090">
        <v>0</v>
      </c>
      <c r="M211" s="1090">
        <v>-637308.06000000006</v>
      </c>
      <c r="N211" s="1090">
        <v>643546.88</v>
      </c>
      <c r="O211" s="1085"/>
      <c r="Q211" s="1090">
        <f t="shared" si="13"/>
        <v>767876.35199999996</v>
      </c>
      <c r="S211" s="889"/>
    </row>
    <row r="212" spans="1:19" ht="15" customHeight="1">
      <c r="A212" s="889"/>
      <c r="B212" s="1085" t="s">
        <v>1976</v>
      </c>
      <c r="C212" s="1090">
        <v>0</v>
      </c>
      <c r="D212" s="1090">
        <v>0</v>
      </c>
      <c r="E212" s="1090">
        <v>0</v>
      </c>
      <c r="F212" s="1090">
        <v>0</v>
      </c>
      <c r="G212" s="1090">
        <v>0</v>
      </c>
      <c r="H212" s="1090">
        <v>0</v>
      </c>
      <c r="I212" s="1090">
        <v>579</v>
      </c>
      <c r="J212" s="1090">
        <v>6123</v>
      </c>
      <c r="K212" s="1090">
        <v>0</v>
      </c>
      <c r="L212" s="1090">
        <v>99</v>
      </c>
      <c r="M212" s="1090">
        <v>171</v>
      </c>
      <c r="N212" s="1090">
        <v>0</v>
      </c>
      <c r="O212" s="1090"/>
      <c r="Q212" s="1090">
        <f t="shared" si="13"/>
        <v>8366.4</v>
      </c>
      <c r="S212" s="891"/>
    </row>
    <row r="213" spans="1:19" ht="15" customHeight="1">
      <c r="A213" s="889"/>
      <c r="B213" s="1085" t="s">
        <v>327</v>
      </c>
      <c r="C213" s="1085"/>
      <c r="D213" s="1085"/>
      <c r="E213" s="1085"/>
      <c r="F213" s="1085"/>
      <c r="G213" s="1085"/>
      <c r="H213" s="1085"/>
      <c r="I213" s="1085"/>
      <c r="J213" s="1085"/>
      <c r="K213" s="1085"/>
      <c r="L213" s="1085"/>
      <c r="M213" s="1085"/>
      <c r="N213" s="1085"/>
      <c r="O213" s="1090"/>
      <c r="Q213" s="1085"/>
      <c r="S213" s="895"/>
    </row>
    <row r="214" spans="1:19" ht="15" customHeight="1">
      <c r="A214" s="889"/>
      <c r="B214" s="1089" t="s">
        <v>1728</v>
      </c>
      <c r="C214" s="1306">
        <v>0</v>
      </c>
      <c r="D214" s="1306">
        <v>0</v>
      </c>
      <c r="E214" s="1306">
        <v>901479.07</v>
      </c>
      <c r="F214" s="1306">
        <v>258480.77</v>
      </c>
      <c r="G214" s="1306">
        <v>270098.94</v>
      </c>
      <c r="H214" s="1306">
        <v>269129.5</v>
      </c>
      <c r="I214" s="1306">
        <v>241984.96</v>
      </c>
      <c r="J214" s="1306">
        <v>261836.68</v>
      </c>
      <c r="K214" s="1306">
        <v>244317.44</v>
      </c>
      <c r="L214" s="1306">
        <v>247940.98</v>
      </c>
      <c r="M214" s="1306">
        <v>-522538.57</v>
      </c>
      <c r="N214" s="1306">
        <v>993316.17</v>
      </c>
      <c r="O214" s="1090"/>
      <c r="Q214" s="1306">
        <f t="shared" si="13"/>
        <v>3799255.1279999996</v>
      </c>
      <c r="S214" s="895"/>
    </row>
    <row r="215" spans="1:19" ht="15" customHeight="1">
      <c r="A215" s="889"/>
      <c r="B215" s="1085" t="s">
        <v>327</v>
      </c>
      <c r="C215" s="1085"/>
      <c r="D215" s="1085"/>
      <c r="E215" s="1085"/>
      <c r="F215" s="1085"/>
      <c r="G215" s="1085"/>
      <c r="H215" s="1085"/>
      <c r="I215" s="1085"/>
      <c r="J215" s="1085"/>
      <c r="K215" s="1085"/>
      <c r="L215" s="1085"/>
      <c r="M215" s="1085"/>
      <c r="N215" s="1085"/>
      <c r="O215" s="1090"/>
      <c r="Q215" s="1085"/>
      <c r="S215" s="889"/>
    </row>
    <row r="216" spans="1:19" ht="15" customHeight="1">
      <c r="A216" s="889"/>
      <c r="B216" s="1089" t="s">
        <v>1729</v>
      </c>
      <c r="C216" s="1093">
        <v>0</v>
      </c>
      <c r="D216" s="1093">
        <v>0</v>
      </c>
      <c r="E216" s="1093">
        <v>-247619.75</v>
      </c>
      <c r="F216" s="1093">
        <v>92156.13</v>
      </c>
      <c r="G216" s="1093">
        <v>2797.3</v>
      </c>
      <c r="H216" s="1093">
        <v>-70805.509999999995</v>
      </c>
      <c r="I216" s="1093">
        <v>113004.6</v>
      </c>
      <c r="J216" s="1093">
        <v>-70078.42</v>
      </c>
      <c r="K216" s="1093">
        <v>87772.73</v>
      </c>
      <c r="L216" s="1093">
        <v>-59153.55</v>
      </c>
      <c r="M216" s="1093">
        <v>811748.63</v>
      </c>
      <c r="N216" s="1093">
        <v>-764465.72</v>
      </c>
      <c r="O216" s="1090"/>
      <c r="Q216" s="1093">
        <f t="shared" si="13"/>
        <v>-125572.27200000006</v>
      </c>
      <c r="S216" s="891"/>
    </row>
    <row r="217" spans="1:19" ht="15" customHeight="1">
      <c r="A217" s="889"/>
      <c r="B217" s="1085" t="s">
        <v>327</v>
      </c>
      <c r="C217" s="1085"/>
      <c r="D217" s="1085"/>
      <c r="E217" s="1085"/>
      <c r="F217" s="1085"/>
      <c r="G217" s="1085"/>
      <c r="H217" s="1085"/>
      <c r="I217" s="1085"/>
      <c r="J217" s="1085"/>
      <c r="K217" s="1085"/>
      <c r="L217" s="1085"/>
      <c r="M217" s="1085"/>
      <c r="N217" s="1085"/>
      <c r="O217" s="1095"/>
      <c r="Q217" s="1085"/>
      <c r="S217" s="895"/>
    </row>
    <row r="218" spans="1:19" ht="15" customHeight="1">
      <c r="A218" s="889"/>
      <c r="B218" s="1089" t="s">
        <v>1814</v>
      </c>
      <c r="C218" s="1089" t="s">
        <v>1630</v>
      </c>
      <c r="D218" s="1089" t="s">
        <v>1630</v>
      </c>
      <c r="E218" s="1089" t="s">
        <v>1630</v>
      </c>
      <c r="F218" s="1089" t="s">
        <v>1630</v>
      </c>
      <c r="G218" s="1089" t="s">
        <v>1630</v>
      </c>
      <c r="H218" s="1089" t="s">
        <v>1630</v>
      </c>
      <c r="I218" s="1089" t="s">
        <v>1630</v>
      </c>
      <c r="J218" s="1089" t="s">
        <v>1630</v>
      </c>
      <c r="K218" s="1089" t="s">
        <v>1630</v>
      </c>
      <c r="L218" s="1089" t="s">
        <v>1630</v>
      </c>
      <c r="M218" s="1089" t="s">
        <v>1630</v>
      </c>
      <c r="N218" s="1089" t="s">
        <v>1630</v>
      </c>
      <c r="O218" s="1091"/>
      <c r="Q218" s="1089"/>
      <c r="S218" s="895"/>
    </row>
    <row r="219" spans="1:19" ht="15" customHeight="1">
      <c r="A219" s="889"/>
      <c r="B219" s="1089" t="s">
        <v>1815</v>
      </c>
      <c r="C219" s="1085" t="s">
        <v>1635</v>
      </c>
      <c r="D219" s="1085" t="s">
        <v>1635</v>
      </c>
      <c r="E219" s="1085" t="s">
        <v>1635</v>
      </c>
      <c r="F219" s="1085" t="s">
        <v>1635</v>
      </c>
      <c r="G219" s="1085" t="s">
        <v>1635</v>
      </c>
      <c r="H219" s="1085" t="s">
        <v>1635</v>
      </c>
      <c r="I219" s="1085" t="s">
        <v>1635</v>
      </c>
      <c r="J219" s="1085" t="s">
        <v>1635</v>
      </c>
      <c r="K219" s="1085" t="s">
        <v>1635</v>
      </c>
      <c r="L219" s="1085" t="s">
        <v>1635</v>
      </c>
      <c r="M219" s="1085" t="s">
        <v>1635</v>
      </c>
      <c r="N219" s="1085" t="s">
        <v>1635</v>
      </c>
      <c r="O219" s="1095"/>
      <c r="Q219" s="1085"/>
      <c r="S219" s="895"/>
    </row>
    <row r="220" spans="1:19" ht="15" customHeight="1">
      <c r="A220" s="889"/>
      <c r="B220" s="1085" t="s">
        <v>1816</v>
      </c>
      <c r="C220" s="1090">
        <v>0</v>
      </c>
      <c r="D220" s="1090">
        <v>0</v>
      </c>
      <c r="E220" s="1090">
        <v>0</v>
      </c>
      <c r="F220" s="1090">
        <v>0</v>
      </c>
      <c r="G220" s="1090">
        <v>2363.1799999999998</v>
      </c>
      <c r="H220" s="1090">
        <v>0</v>
      </c>
      <c r="I220" s="1090">
        <v>0</v>
      </c>
      <c r="J220" s="1090">
        <v>5367.84</v>
      </c>
      <c r="K220" s="1090">
        <v>0</v>
      </c>
      <c r="L220" s="1090">
        <v>0</v>
      </c>
      <c r="M220" s="1090">
        <v>0</v>
      </c>
      <c r="N220" s="1090">
        <v>0</v>
      </c>
      <c r="O220" s="1085"/>
      <c r="Q220" s="1090">
        <f t="shared" ref="Q220:Q227" si="14">IFERROR(SUM(E220:N220)*(12/10),"")</f>
        <v>9277.2240000000002</v>
      </c>
      <c r="S220" s="895"/>
    </row>
    <row r="221" spans="1:19" ht="15" customHeight="1">
      <c r="A221" s="889"/>
      <c r="B221" s="1085" t="s">
        <v>1977</v>
      </c>
      <c r="C221" s="1090">
        <v>0</v>
      </c>
      <c r="D221" s="1090">
        <v>0</v>
      </c>
      <c r="E221" s="1090">
        <v>0</v>
      </c>
      <c r="F221" s="1090">
        <v>0</v>
      </c>
      <c r="G221" s="1090">
        <v>0</v>
      </c>
      <c r="H221" s="1090">
        <v>0</v>
      </c>
      <c r="I221" s="1090">
        <v>0</v>
      </c>
      <c r="J221" s="1090">
        <v>0</v>
      </c>
      <c r="K221" s="1090">
        <v>252</v>
      </c>
      <c r="L221" s="1090">
        <v>0</v>
      </c>
      <c r="M221" s="1090">
        <v>0</v>
      </c>
      <c r="N221" s="1090">
        <v>250</v>
      </c>
      <c r="O221" s="1090"/>
      <c r="Q221" s="1090">
        <f t="shared" si="14"/>
        <v>602.4</v>
      </c>
      <c r="S221" s="889"/>
    </row>
    <row r="222" spans="1:19" ht="15" customHeight="1">
      <c r="A222" s="889"/>
      <c r="B222" s="1085" t="s">
        <v>2286</v>
      </c>
      <c r="C222" s="1090">
        <v>0</v>
      </c>
      <c r="D222" s="1090">
        <v>0</v>
      </c>
      <c r="E222" s="1090">
        <v>0</v>
      </c>
      <c r="F222" s="1090">
        <v>0</v>
      </c>
      <c r="G222" s="1090">
        <v>0</v>
      </c>
      <c r="H222" s="1090">
        <v>0</v>
      </c>
      <c r="I222" s="1090">
        <v>0</v>
      </c>
      <c r="J222" s="1090">
        <v>0</v>
      </c>
      <c r="K222" s="1090">
        <v>0</v>
      </c>
      <c r="L222" s="1090">
        <v>0</v>
      </c>
      <c r="M222" s="1090">
        <v>380.02</v>
      </c>
      <c r="N222" s="1090">
        <v>0</v>
      </c>
      <c r="O222" s="1090"/>
      <c r="Q222" s="1090">
        <f t="shared" si="14"/>
        <v>456.02399999999994</v>
      </c>
      <c r="S222" s="891"/>
    </row>
    <row r="223" spans="1:19" ht="15" customHeight="1">
      <c r="A223" s="889"/>
      <c r="B223" s="1085" t="s">
        <v>1978</v>
      </c>
      <c r="C223" s="1090">
        <v>0</v>
      </c>
      <c r="D223" s="1090">
        <v>0</v>
      </c>
      <c r="E223" s="1090">
        <v>0</v>
      </c>
      <c r="F223" s="1090">
        <v>0</v>
      </c>
      <c r="G223" s="1090">
        <v>0</v>
      </c>
      <c r="H223" s="1090">
        <v>0</v>
      </c>
      <c r="I223" s="1090">
        <v>0</v>
      </c>
      <c r="J223" s="1090">
        <v>0</v>
      </c>
      <c r="K223" s="1090">
        <v>5067</v>
      </c>
      <c r="L223" s="1090">
        <v>1770</v>
      </c>
      <c r="M223" s="1090">
        <v>410</v>
      </c>
      <c r="N223" s="1090">
        <v>0</v>
      </c>
      <c r="O223" s="1090"/>
      <c r="Q223" s="1090">
        <f t="shared" si="14"/>
        <v>8696.4</v>
      </c>
      <c r="S223" s="895"/>
    </row>
    <row r="224" spans="1:19" ht="15" customHeight="1">
      <c r="A224" s="889"/>
      <c r="B224" s="1085" t="s">
        <v>1979</v>
      </c>
      <c r="C224" s="1090">
        <v>0</v>
      </c>
      <c r="D224" s="1090">
        <v>0</v>
      </c>
      <c r="E224" s="1090">
        <v>0</v>
      </c>
      <c r="F224" s="1090">
        <v>0</v>
      </c>
      <c r="G224" s="1090">
        <v>0</v>
      </c>
      <c r="H224" s="1090">
        <v>0</v>
      </c>
      <c r="I224" s="1090">
        <v>4871.25</v>
      </c>
      <c r="J224" s="1090">
        <v>0</v>
      </c>
      <c r="K224" s="1090">
        <v>0</v>
      </c>
      <c r="L224" s="1090">
        <v>0</v>
      </c>
      <c r="M224" s="1090">
        <v>0</v>
      </c>
      <c r="N224" s="1090">
        <v>0</v>
      </c>
      <c r="O224" s="1090"/>
      <c r="Q224" s="1090">
        <f t="shared" si="14"/>
        <v>5845.5</v>
      </c>
      <c r="S224" s="895"/>
    </row>
    <row r="225" spans="1:19" ht="15" customHeight="1">
      <c r="A225" s="889"/>
      <c r="B225" s="1085" t="s">
        <v>1980</v>
      </c>
      <c r="C225" s="1090">
        <v>0</v>
      </c>
      <c r="D225" s="1090">
        <v>0</v>
      </c>
      <c r="E225" s="1090">
        <v>0</v>
      </c>
      <c r="F225" s="1090">
        <v>0</v>
      </c>
      <c r="G225" s="1090">
        <v>0</v>
      </c>
      <c r="H225" s="1090">
        <v>1275</v>
      </c>
      <c r="I225" s="1090">
        <v>0</v>
      </c>
      <c r="J225" s="1090">
        <v>0</v>
      </c>
      <c r="K225" s="1090">
        <v>0</v>
      </c>
      <c r="L225" s="1090">
        <v>0</v>
      </c>
      <c r="M225" s="1090">
        <v>0</v>
      </c>
      <c r="N225" s="1090">
        <v>0</v>
      </c>
      <c r="O225" s="1090"/>
      <c r="Q225" s="1090">
        <f t="shared" si="14"/>
        <v>1530</v>
      </c>
      <c r="S225" s="895"/>
    </row>
    <row r="226" spans="1:19" ht="15" customHeight="1">
      <c r="A226" s="889"/>
      <c r="B226" s="1085" t="s">
        <v>327</v>
      </c>
      <c r="C226" s="1085"/>
      <c r="D226" s="1085"/>
      <c r="E226" s="1085"/>
      <c r="F226" s="1085"/>
      <c r="G226" s="1085"/>
      <c r="H226" s="1085"/>
      <c r="I226" s="1085"/>
      <c r="J226" s="1085"/>
      <c r="K226" s="1085"/>
      <c r="L226" s="1085"/>
      <c r="M226" s="1085"/>
      <c r="N226" s="1085"/>
      <c r="O226" s="1090"/>
      <c r="Q226" s="1085"/>
      <c r="S226" s="895"/>
    </row>
    <row r="227" spans="1:19" ht="15" customHeight="1">
      <c r="A227" s="889"/>
      <c r="B227" s="1089" t="s">
        <v>1817</v>
      </c>
      <c r="C227" s="1306">
        <v>0</v>
      </c>
      <c r="D227" s="1306">
        <v>0</v>
      </c>
      <c r="E227" s="1306">
        <v>0</v>
      </c>
      <c r="F227" s="1306">
        <v>0</v>
      </c>
      <c r="G227" s="1306">
        <v>2363.1799999999998</v>
      </c>
      <c r="H227" s="1306">
        <v>1275</v>
      </c>
      <c r="I227" s="1306">
        <v>4871.25</v>
      </c>
      <c r="J227" s="1306">
        <v>5367.84</v>
      </c>
      <c r="K227" s="1306">
        <v>5319</v>
      </c>
      <c r="L227" s="1306">
        <v>1770</v>
      </c>
      <c r="M227" s="1306">
        <v>790.02</v>
      </c>
      <c r="N227" s="1306">
        <v>250</v>
      </c>
      <c r="O227" s="1090"/>
      <c r="Q227" s="1306">
        <f t="shared" si="14"/>
        <v>26407.547999999999</v>
      </c>
      <c r="S227" s="889"/>
    </row>
    <row r="228" spans="1:19" ht="15" customHeight="1">
      <c r="A228" s="889"/>
      <c r="B228" s="1085" t="s">
        <v>327</v>
      </c>
      <c r="C228" s="1085"/>
      <c r="D228" s="1085"/>
      <c r="E228" s="1085"/>
      <c r="F228" s="1085"/>
      <c r="G228" s="1085"/>
      <c r="H228" s="1085"/>
      <c r="I228" s="1085"/>
      <c r="J228" s="1085"/>
      <c r="K228" s="1085"/>
      <c r="L228" s="1085"/>
      <c r="M228" s="1085"/>
      <c r="N228" s="1085"/>
      <c r="O228" s="1090"/>
      <c r="Q228" s="1085"/>
      <c r="S228" s="895"/>
    </row>
    <row r="229" spans="1:19" ht="15" customHeight="1">
      <c r="A229" s="889"/>
      <c r="B229" s="1089" t="s">
        <v>1818</v>
      </c>
      <c r="C229" s="1085" t="s">
        <v>1635</v>
      </c>
      <c r="D229" s="1085" t="s">
        <v>1635</v>
      </c>
      <c r="E229" s="1085" t="s">
        <v>1635</v>
      </c>
      <c r="F229" s="1085" t="s">
        <v>1635</v>
      </c>
      <c r="G229" s="1085" t="s">
        <v>1635</v>
      </c>
      <c r="H229" s="1085" t="s">
        <v>1635</v>
      </c>
      <c r="I229" s="1085" t="s">
        <v>1635</v>
      </c>
      <c r="J229" s="1085" t="s">
        <v>1635</v>
      </c>
      <c r="K229" s="1085" t="s">
        <v>1635</v>
      </c>
      <c r="L229" s="1085" t="s">
        <v>1635</v>
      </c>
      <c r="M229" s="1085" t="s">
        <v>1635</v>
      </c>
      <c r="N229" s="1085" t="s">
        <v>1635</v>
      </c>
      <c r="O229" s="1090"/>
      <c r="Q229" s="1085"/>
      <c r="S229" s="889"/>
    </row>
    <row r="230" spans="1:19" ht="15" customHeight="1">
      <c r="A230" s="889"/>
      <c r="B230" s="1085" t="s">
        <v>1981</v>
      </c>
      <c r="C230" s="1090">
        <v>0</v>
      </c>
      <c r="D230" s="1090">
        <v>0</v>
      </c>
      <c r="E230" s="1090">
        <v>0</v>
      </c>
      <c r="F230" s="1090">
        <v>0</v>
      </c>
      <c r="G230" s="1090">
        <v>0</v>
      </c>
      <c r="H230" s="1090">
        <v>0</v>
      </c>
      <c r="I230" s="1090">
        <v>0</v>
      </c>
      <c r="J230" s="1090">
        <v>0</v>
      </c>
      <c r="K230" s="1090">
        <v>997.61</v>
      </c>
      <c r="L230" s="1090">
        <v>0</v>
      </c>
      <c r="M230" s="1090">
        <v>0</v>
      </c>
      <c r="N230" s="1090">
        <v>0</v>
      </c>
      <c r="O230" s="1090"/>
      <c r="Q230" s="1090">
        <f t="shared" ref="Q230:Q253" si="15">IFERROR(SUM(E230:N230)*(12/10),"")</f>
        <v>1197.1320000000001</v>
      </c>
      <c r="S230" s="895"/>
    </row>
    <row r="231" spans="1:19" ht="15" customHeight="1">
      <c r="A231" s="889"/>
      <c r="B231" s="1085" t="s">
        <v>1982</v>
      </c>
      <c r="C231" s="1090">
        <v>0</v>
      </c>
      <c r="D231" s="1090">
        <v>0</v>
      </c>
      <c r="E231" s="1090">
        <v>0</v>
      </c>
      <c r="F231" s="1090">
        <v>0</v>
      </c>
      <c r="G231" s="1090">
        <v>0</v>
      </c>
      <c r="H231" s="1090">
        <v>0</v>
      </c>
      <c r="I231" s="1090">
        <v>0</v>
      </c>
      <c r="J231" s="1090">
        <v>2484.7600000000002</v>
      </c>
      <c r="K231" s="1090">
        <v>1426.19</v>
      </c>
      <c r="L231" s="1090">
        <v>0</v>
      </c>
      <c r="M231" s="1090">
        <v>0</v>
      </c>
      <c r="N231" s="1090">
        <v>0</v>
      </c>
      <c r="O231" s="1090"/>
      <c r="Q231" s="1090">
        <f t="shared" si="15"/>
        <v>4693.1400000000003</v>
      </c>
      <c r="S231" s="889"/>
    </row>
    <row r="232" spans="1:19" ht="15" customHeight="1">
      <c r="A232" s="889"/>
      <c r="B232" s="1085" t="s">
        <v>1983</v>
      </c>
      <c r="C232" s="1090">
        <v>0</v>
      </c>
      <c r="D232" s="1090">
        <v>0</v>
      </c>
      <c r="E232" s="1090">
        <v>0</v>
      </c>
      <c r="F232" s="1090">
        <v>0</v>
      </c>
      <c r="G232" s="1090">
        <v>0</v>
      </c>
      <c r="H232" s="1090">
        <v>0</v>
      </c>
      <c r="I232" s="1090">
        <v>0</v>
      </c>
      <c r="J232" s="1090">
        <v>0</v>
      </c>
      <c r="K232" s="1090">
        <v>656.34</v>
      </c>
      <c r="L232" s="1090">
        <v>0</v>
      </c>
      <c r="M232" s="1090">
        <v>0</v>
      </c>
      <c r="N232" s="1090">
        <v>0</v>
      </c>
      <c r="O232" s="1090"/>
      <c r="Q232" s="1090">
        <f t="shared" si="15"/>
        <v>787.60800000000006</v>
      </c>
      <c r="S232" s="895"/>
    </row>
    <row r="233" spans="1:19" ht="15" customHeight="1">
      <c r="A233" s="889"/>
      <c r="B233" s="1085" t="s">
        <v>1984</v>
      </c>
      <c r="C233" s="1090">
        <v>0</v>
      </c>
      <c r="D233" s="1090">
        <v>0</v>
      </c>
      <c r="E233" s="1090">
        <v>0</v>
      </c>
      <c r="F233" s="1090">
        <v>0</v>
      </c>
      <c r="G233" s="1090">
        <v>0</v>
      </c>
      <c r="H233" s="1090">
        <v>0</v>
      </c>
      <c r="I233" s="1090">
        <v>399.14</v>
      </c>
      <c r="J233" s="1090">
        <v>14762.03</v>
      </c>
      <c r="K233" s="1090">
        <v>0</v>
      </c>
      <c r="L233" s="1090">
        <v>0</v>
      </c>
      <c r="M233" s="1090">
        <v>2591.7600000000002</v>
      </c>
      <c r="N233" s="1090">
        <v>1951.88</v>
      </c>
      <c r="O233" s="1090"/>
      <c r="Q233" s="1090">
        <f t="shared" si="15"/>
        <v>23645.772000000001</v>
      </c>
    </row>
    <row r="234" spans="1:19" ht="15" customHeight="1">
      <c r="A234" s="901"/>
      <c r="B234" s="1085" t="s">
        <v>2287</v>
      </c>
      <c r="C234" s="1090">
        <v>0</v>
      </c>
      <c r="D234" s="1090">
        <v>0</v>
      </c>
      <c r="E234" s="1090">
        <v>0</v>
      </c>
      <c r="F234" s="1090">
        <v>0</v>
      </c>
      <c r="G234" s="1090">
        <v>0</v>
      </c>
      <c r="H234" s="1090">
        <v>0</v>
      </c>
      <c r="I234" s="1090">
        <v>0</v>
      </c>
      <c r="J234" s="1090">
        <v>0</v>
      </c>
      <c r="K234" s="1090">
        <v>0</v>
      </c>
      <c r="L234" s="1090">
        <v>0</v>
      </c>
      <c r="M234" s="1090">
        <v>4353.3900000000003</v>
      </c>
      <c r="N234" s="1090">
        <v>345</v>
      </c>
      <c r="O234" s="1090"/>
      <c r="Q234" s="1090">
        <f t="shared" si="15"/>
        <v>5638.0680000000002</v>
      </c>
    </row>
    <row r="235" spans="1:19" ht="15" customHeight="1">
      <c r="A235" s="901"/>
      <c r="B235" s="1085" t="s">
        <v>1985</v>
      </c>
      <c r="C235" s="1090">
        <v>0</v>
      </c>
      <c r="D235" s="1090">
        <v>0</v>
      </c>
      <c r="E235" s="1090">
        <v>0</v>
      </c>
      <c r="F235" s="1090">
        <v>0</v>
      </c>
      <c r="G235" s="1090">
        <v>0</v>
      </c>
      <c r="H235" s="1090">
        <v>0</v>
      </c>
      <c r="I235" s="1090">
        <v>0</v>
      </c>
      <c r="J235" s="1090">
        <v>1037.51</v>
      </c>
      <c r="K235" s="1090">
        <v>0</v>
      </c>
      <c r="L235" s="1090">
        <v>0</v>
      </c>
      <c r="M235" s="1090">
        <v>0</v>
      </c>
      <c r="N235" s="1090">
        <v>0</v>
      </c>
      <c r="O235" s="1090"/>
      <c r="Q235" s="1090">
        <f t="shared" si="15"/>
        <v>1245.0119999999999</v>
      </c>
    </row>
    <row r="236" spans="1:19" ht="15" customHeight="1">
      <c r="A236" s="901"/>
      <c r="B236" s="1085" t="s">
        <v>1986</v>
      </c>
      <c r="C236" s="1090">
        <v>0</v>
      </c>
      <c r="D236" s="1090">
        <v>0</v>
      </c>
      <c r="E236" s="1090">
        <v>0</v>
      </c>
      <c r="F236" s="1090">
        <v>0</v>
      </c>
      <c r="G236" s="1090">
        <v>0</v>
      </c>
      <c r="H236" s="1090">
        <v>0</v>
      </c>
      <c r="I236" s="1090">
        <v>0</v>
      </c>
      <c r="J236" s="1090">
        <v>1811.11</v>
      </c>
      <c r="K236" s="1090">
        <v>0</v>
      </c>
      <c r="L236" s="1090">
        <v>0</v>
      </c>
      <c r="M236" s="1090">
        <v>0</v>
      </c>
      <c r="N236" s="1090">
        <v>410</v>
      </c>
      <c r="O236" s="1095"/>
      <c r="Q236" s="1090">
        <f t="shared" si="15"/>
        <v>2665.3319999999994</v>
      </c>
    </row>
    <row r="237" spans="1:19" ht="15" customHeight="1">
      <c r="A237" s="901"/>
      <c r="B237" s="1085" t="s">
        <v>1819</v>
      </c>
      <c r="C237" s="1090">
        <v>0</v>
      </c>
      <c r="D237" s="1090">
        <v>0</v>
      </c>
      <c r="E237" s="1090">
        <v>0</v>
      </c>
      <c r="F237" s="1090">
        <v>0</v>
      </c>
      <c r="G237" s="1090">
        <v>0</v>
      </c>
      <c r="H237" s="1090">
        <v>2286.5</v>
      </c>
      <c r="I237" s="1090">
        <v>0</v>
      </c>
      <c r="J237" s="1090">
        <v>250.15</v>
      </c>
      <c r="K237" s="1090">
        <v>0</v>
      </c>
      <c r="L237" s="1090">
        <v>0</v>
      </c>
      <c r="M237" s="1090">
        <v>618.41</v>
      </c>
      <c r="N237" s="1090">
        <v>6212.91</v>
      </c>
      <c r="O237" s="1091"/>
      <c r="Q237" s="1090">
        <f t="shared" si="15"/>
        <v>11241.563999999998</v>
      </c>
    </row>
    <row r="238" spans="1:19" ht="15" customHeight="1">
      <c r="A238" s="889"/>
      <c r="B238" s="1085" t="s">
        <v>1987</v>
      </c>
      <c r="C238" s="1090">
        <v>0</v>
      </c>
      <c r="D238" s="1090">
        <v>0</v>
      </c>
      <c r="E238" s="1090">
        <v>0</v>
      </c>
      <c r="F238" s="1090">
        <v>0</v>
      </c>
      <c r="G238" s="1090">
        <v>0</v>
      </c>
      <c r="H238" s="1090">
        <v>0</v>
      </c>
      <c r="I238" s="1090">
        <v>0</v>
      </c>
      <c r="J238" s="1090">
        <v>302.35000000000002</v>
      </c>
      <c r="K238" s="1090">
        <v>111.09</v>
      </c>
      <c r="L238" s="1090">
        <v>0</v>
      </c>
      <c r="M238" s="1090">
        <v>0</v>
      </c>
      <c r="N238" s="1090">
        <v>0</v>
      </c>
      <c r="O238" s="1095"/>
      <c r="Q238" s="1090">
        <f t="shared" si="15"/>
        <v>496.12800000000004</v>
      </c>
    </row>
    <row r="239" spans="1:19">
      <c r="B239" s="1085" t="s">
        <v>1988</v>
      </c>
      <c r="C239" s="1090">
        <v>0</v>
      </c>
      <c r="D239" s="1090">
        <v>0</v>
      </c>
      <c r="E239" s="1090">
        <v>0</v>
      </c>
      <c r="F239" s="1090">
        <v>0</v>
      </c>
      <c r="G239" s="1090">
        <v>0</v>
      </c>
      <c r="H239" s="1090">
        <v>0</v>
      </c>
      <c r="I239" s="1090">
        <v>0</v>
      </c>
      <c r="J239" s="1090">
        <v>742.4</v>
      </c>
      <c r="K239" s="1090">
        <v>0</v>
      </c>
      <c r="L239" s="1090">
        <v>0</v>
      </c>
      <c r="M239" s="1090">
        <v>428.61</v>
      </c>
      <c r="N239" s="1090">
        <v>0</v>
      </c>
      <c r="O239" s="1092"/>
      <c r="Q239" s="1090">
        <f t="shared" si="15"/>
        <v>1405.212</v>
      </c>
    </row>
    <row r="240" spans="1:19">
      <c r="B240" s="1085" t="s">
        <v>1820</v>
      </c>
      <c r="C240" s="1090">
        <v>0</v>
      </c>
      <c r="D240" s="1090">
        <v>0</v>
      </c>
      <c r="E240" s="1090">
        <v>0</v>
      </c>
      <c r="F240" s="1090">
        <v>20000</v>
      </c>
      <c r="G240" s="1090">
        <v>0</v>
      </c>
      <c r="H240" s="1090">
        <v>0</v>
      </c>
      <c r="I240" s="1090">
        <v>-582</v>
      </c>
      <c r="J240" s="1090">
        <v>244117.92</v>
      </c>
      <c r="K240" s="1090">
        <v>-263535.92</v>
      </c>
      <c r="L240" s="1090">
        <v>0</v>
      </c>
      <c r="M240" s="1090">
        <v>3125.52</v>
      </c>
      <c r="N240" s="1090">
        <v>0</v>
      </c>
      <c r="O240" s="1095"/>
      <c r="Q240" s="1090">
        <f t="shared" si="15"/>
        <v>3750.6240000000698</v>
      </c>
    </row>
    <row r="241" spans="2:17">
      <c r="B241" s="1085" t="s">
        <v>2288</v>
      </c>
      <c r="C241" s="1090">
        <v>0</v>
      </c>
      <c r="D241" s="1090">
        <v>0</v>
      </c>
      <c r="E241" s="1090">
        <v>0</v>
      </c>
      <c r="F241" s="1090">
        <v>0</v>
      </c>
      <c r="G241" s="1090">
        <v>0</v>
      </c>
      <c r="H241" s="1090">
        <v>0</v>
      </c>
      <c r="I241" s="1090">
        <v>0</v>
      </c>
      <c r="J241" s="1090">
        <v>0</v>
      </c>
      <c r="K241" s="1090">
        <v>0</v>
      </c>
      <c r="L241" s="1090">
        <v>0</v>
      </c>
      <c r="M241" s="1090">
        <v>0</v>
      </c>
      <c r="N241" s="1090">
        <v>745.76</v>
      </c>
      <c r="O241" s="1093"/>
      <c r="Q241" s="1090">
        <f t="shared" si="15"/>
        <v>894.91199999999992</v>
      </c>
    </row>
    <row r="242" spans="2:17">
      <c r="B242" s="1085" t="s">
        <v>1989</v>
      </c>
      <c r="C242" s="1090">
        <v>0</v>
      </c>
      <c r="D242" s="1090">
        <v>0</v>
      </c>
      <c r="E242" s="1090">
        <v>0</v>
      </c>
      <c r="F242" s="1090">
        <v>0</v>
      </c>
      <c r="G242" s="1090">
        <v>0</v>
      </c>
      <c r="H242" s="1090">
        <v>0</v>
      </c>
      <c r="I242" s="1090">
        <v>0</v>
      </c>
      <c r="J242" s="1090">
        <v>134867.68</v>
      </c>
      <c r="K242" s="1090">
        <v>-134867.68</v>
      </c>
      <c r="L242" s="1090">
        <v>2130.65</v>
      </c>
      <c r="M242" s="1090">
        <v>0</v>
      </c>
      <c r="N242" s="1090">
        <v>0</v>
      </c>
      <c r="O242" s="1095"/>
      <c r="Q242" s="1090">
        <f t="shared" si="15"/>
        <v>2556.7800000000002</v>
      </c>
    </row>
    <row r="243" spans="2:17">
      <c r="B243" s="1085" t="s">
        <v>1990</v>
      </c>
      <c r="C243" s="1090">
        <v>0</v>
      </c>
      <c r="D243" s="1090">
        <v>0</v>
      </c>
      <c r="E243" s="1090">
        <v>0</v>
      </c>
      <c r="F243" s="1090">
        <v>0</v>
      </c>
      <c r="G243" s="1090">
        <v>0</v>
      </c>
      <c r="H243" s="1090">
        <v>0</v>
      </c>
      <c r="I243" s="1090">
        <v>0</v>
      </c>
      <c r="J243" s="1090">
        <v>154.52000000000001</v>
      </c>
      <c r="K243" s="1090">
        <v>0</v>
      </c>
      <c r="L243" s="1090">
        <v>0</v>
      </c>
      <c r="M243" s="1090">
        <v>0</v>
      </c>
      <c r="N243" s="1090">
        <v>0</v>
      </c>
      <c r="O243" s="1093"/>
      <c r="Q243" s="1090">
        <f t="shared" si="15"/>
        <v>185.42400000000001</v>
      </c>
    </row>
    <row r="244" spans="2:17">
      <c r="B244" s="1085" t="s">
        <v>1991</v>
      </c>
      <c r="C244" s="1090">
        <v>0</v>
      </c>
      <c r="D244" s="1090">
        <v>0</v>
      </c>
      <c r="E244" s="1090">
        <v>0</v>
      </c>
      <c r="F244" s="1090">
        <v>0</v>
      </c>
      <c r="G244" s="1090">
        <v>0</v>
      </c>
      <c r="H244" s="1090">
        <v>0</v>
      </c>
      <c r="I244" s="1090">
        <v>0</v>
      </c>
      <c r="J244" s="1090">
        <v>182.44</v>
      </c>
      <c r="K244" s="1090">
        <v>13298</v>
      </c>
      <c r="L244" s="1090">
        <v>0</v>
      </c>
      <c r="M244" s="1090">
        <v>0</v>
      </c>
      <c r="N244" s="1090">
        <v>0</v>
      </c>
      <c r="Q244" s="1090">
        <f t="shared" si="15"/>
        <v>16176.528</v>
      </c>
    </row>
    <row r="245" spans="2:17">
      <c r="B245" s="1085" t="s">
        <v>1992</v>
      </c>
      <c r="C245" s="1090">
        <v>0</v>
      </c>
      <c r="D245" s="1090">
        <v>0</v>
      </c>
      <c r="E245" s="1090">
        <v>5655.42</v>
      </c>
      <c r="F245" s="1090">
        <v>0</v>
      </c>
      <c r="G245" s="1090">
        <v>0</v>
      </c>
      <c r="H245" s="1090">
        <v>0</v>
      </c>
      <c r="I245" s="1090">
        <v>0</v>
      </c>
      <c r="J245" s="1090">
        <v>0</v>
      </c>
      <c r="K245" s="1090">
        <v>0</v>
      </c>
      <c r="L245" s="1090">
        <v>0</v>
      </c>
      <c r="M245" s="1090">
        <v>0</v>
      </c>
      <c r="N245" s="1090">
        <v>0</v>
      </c>
      <c r="Q245" s="1090">
        <f t="shared" si="15"/>
        <v>6786.5039999999999</v>
      </c>
    </row>
    <row r="246" spans="2:17">
      <c r="B246" s="1085" t="s">
        <v>1993</v>
      </c>
      <c r="C246" s="1090">
        <v>0</v>
      </c>
      <c r="D246" s="1090">
        <v>0</v>
      </c>
      <c r="E246" s="1090">
        <v>0</v>
      </c>
      <c r="F246" s="1090">
        <v>0</v>
      </c>
      <c r="G246" s="1090">
        <v>0</v>
      </c>
      <c r="H246" s="1090">
        <v>0</v>
      </c>
      <c r="I246" s="1090">
        <v>4328.92</v>
      </c>
      <c r="J246" s="1090">
        <v>11696.17</v>
      </c>
      <c r="K246" s="1090">
        <v>0</v>
      </c>
      <c r="L246" s="1090">
        <v>0</v>
      </c>
      <c r="M246" s="1090">
        <v>0</v>
      </c>
      <c r="N246" s="1090">
        <v>5543.2</v>
      </c>
      <c r="Q246" s="1090">
        <f t="shared" si="15"/>
        <v>25881.948</v>
      </c>
    </row>
    <row r="247" spans="2:17">
      <c r="B247" s="1085" t="s">
        <v>2289</v>
      </c>
      <c r="C247" s="1090">
        <v>0</v>
      </c>
      <c r="D247" s="1090">
        <v>0</v>
      </c>
      <c r="E247" s="1090">
        <v>0</v>
      </c>
      <c r="F247" s="1090">
        <v>0</v>
      </c>
      <c r="G247" s="1090">
        <v>0</v>
      </c>
      <c r="H247" s="1090">
        <v>0</v>
      </c>
      <c r="I247" s="1090">
        <v>0</v>
      </c>
      <c r="J247" s="1090">
        <v>0</v>
      </c>
      <c r="K247" s="1090">
        <v>0</v>
      </c>
      <c r="L247" s="1090">
        <v>0</v>
      </c>
      <c r="M247" s="1090">
        <v>0</v>
      </c>
      <c r="N247" s="1090">
        <v>1368</v>
      </c>
      <c r="Q247" s="1090">
        <f t="shared" si="15"/>
        <v>1641.6</v>
      </c>
    </row>
    <row r="248" spans="2:17">
      <c r="B248" s="1085" t="s">
        <v>327</v>
      </c>
      <c r="C248" s="1085"/>
      <c r="D248" s="1085"/>
      <c r="E248" s="1085"/>
      <c r="F248" s="1085"/>
      <c r="G248" s="1085"/>
      <c r="H248" s="1085"/>
      <c r="I248" s="1085"/>
      <c r="J248" s="1085"/>
      <c r="K248" s="1085"/>
      <c r="L248" s="1085"/>
      <c r="M248" s="1085"/>
      <c r="N248" s="1085"/>
      <c r="Q248" s="1085"/>
    </row>
    <row r="249" spans="2:17">
      <c r="B249" s="1089" t="s">
        <v>1821</v>
      </c>
      <c r="C249" s="1306">
        <v>0</v>
      </c>
      <c r="D249" s="1306">
        <v>0</v>
      </c>
      <c r="E249" s="1306">
        <v>5655.42</v>
      </c>
      <c r="F249" s="1306">
        <v>20000</v>
      </c>
      <c r="G249" s="1306">
        <v>0</v>
      </c>
      <c r="H249" s="1306">
        <v>2286.5</v>
      </c>
      <c r="I249" s="1306">
        <v>4146.0600000000004</v>
      </c>
      <c r="J249" s="1306">
        <v>412409.04</v>
      </c>
      <c r="K249" s="1306">
        <v>-381914.37</v>
      </c>
      <c r="L249" s="1306">
        <v>2130.65</v>
      </c>
      <c r="M249" s="1306">
        <v>11117.69</v>
      </c>
      <c r="N249" s="1306">
        <v>16576.75</v>
      </c>
      <c r="Q249" s="1306">
        <f t="shared" si="15"/>
        <v>110889.28799999996</v>
      </c>
    </row>
    <row r="250" spans="2:17">
      <c r="B250" s="1085" t="s">
        <v>327</v>
      </c>
      <c r="C250" s="1085"/>
      <c r="D250" s="1085"/>
      <c r="E250" s="1085"/>
      <c r="F250" s="1085"/>
      <c r="G250" s="1085"/>
      <c r="H250" s="1085"/>
      <c r="I250" s="1085"/>
      <c r="J250" s="1085"/>
      <c r="K250" s="1085"/>
      <c r="L250" s="1085"/>
      <c r="M250" s="1085"/>
      <c r="N250" s="1085"/>
      <c r="Q250" s="1085"/>
    </row>
    <row r="251" spans="2:17">
      <c r="B251" s="1089" t="s">
        <v>1822</v>
      </c>
      <c r="C251" s="1307">
        <v>0</v>
      </c>
      <c r="D251" s="1307">
        <v>0</v>
      </c>
      <c r="E251" s="1307">
        <v>5655.42</v>
      </c>
      <c r="F251" s="1307">
        <v>20000</v>
      </c>
      <c r="G251" s="1307">
        <v>2363.1799999999998</v>
      </c>
      <c r="H251" s="1307">
        <v>3561.5</v>
      </c>
      <c r="I251" s="1307">
        <v>9017.31</v>
      </c>
      <c r="J251" s="1307">
        <v>417776.88</v>
      </c>
      <c r="K251" s="1307">
        <v>-376595.37</v>
      </c>
      <c r="L251" s="1307">
        <v>3900.65</v>
      </c>
      <c r="M251" s="1307">
        <v>11907.71</v>
      </c>
      <c r="N251" s="1307">
        <v>16826.75</v>
      </c>
      <c r="Q251" s="1307">
        <f t="shared" si="15"/>
        <v>137296.83599999995</v>
      </c>
    </row>
    <row r="252" spans="2:17">
      <c r="B252" s="1085" t="s">
        <v>327</v>
      </c>
      <c r="C252" s="1085"/>
      <c r="D252" s="1085"/>
      <c r="E252" s="1085"/>
      <c r="F252" s="1085"/>
      <c r="G252" s="1085"/>
      <c r="H252" s="1085"/>
      <c r="I252" s="1085"/>
      <c r="J252" s="1085"/>
      <c r="K252" s="1085"/>
      <c r="L252" s="1085"/>
      <c r="M252" s="1085"/>
      <c r="N252" s="1085"/>
      <c r="Q252" s="1085"/>
    </row>
    <row r="253" spans="2:17">
      <c r="B253" s="1089" t="s">
        <v>1730</v>
      </c>
      <c r="C253" s="1093">
        <v>0</v>
      </c>
      <c r="D253" s="1093">
        <v>0</v>
      </c>
      <c r="E253" s="1093">
        <v>-253275.17</v>
      </c>
      <c r="F253" s="1093">
        <v>72156.13</v>
      </c>
      <c r="G253" s="1093">
        <v>434.12</v>
      </c>
      <c r="H253" s="1093">
        <v>-74367.009999999995</v>
      </c>
      <c r="I253" s="1093">
        <v>103987.29</v>
      </c>
      <c r="J253" s="1093">
        <v>-487855.3</v>
      </c>
      <c r="K253" s="1093">
        <v>464368.1</v>
      </c>
      <c r="L253" s="1093">
        <v>-63054.2</v>
      </c>
      <c r="M253" s="1093">
        <v>799840.92</v>
      </c>
      <c r="N253" s="1093">
        <v>-781292.47</v>
      </c>
      <c r="Q253" s="1093">
        <f t="shared" si="15"/>
        <v>-262869.10799999983</v>
      </c>
    </row>
    <row r="254" spans="2:17">
      <c r="B254" s="1085" t="s">
        <v>327</v>
      </c>
      <c r="C254" s="1085"/>
      <c r="D254" s="1085"/>
      <c r="E254" s="1085"/>
      <c r="F254" s="1085"/>
      <c r="G254" s="1085"/>
      <c r="H254" s="1085"/>
      <c r="I254" s="1085"/>
      <c r="J254" s="1085"/>
      <c r="K254" s="1085"/>
      <c r="L254" s="1085"/>
      <c r="M254" s="1085"/>
      <c r="N254" s="1085"/>
      <c r="Q254" s="1085"/>
    </row>
    <row r="255" spans="2:17">
      <c r="B255" s="1085" t="s">
        <v>327</v>
      </c>
      <c r="C255" s="1085"/>
      <c r="D255" s="1085"/>
      <c r="E255" s="1085"/>
      <c r="F255" s="1085"/>
      <c r="G255" s="1085"/>
      <c r="H255" s="1085"/>
      <c r="I255" s="1085"/>
      <c r="J255" s="1085"/>
      <c r="K255" s="1085"/>
      <c r="L255" s="1085"/>
      <c r="M255" s="1085"/>
      <c r="N255" s="1085"/>
      <c r="Q255" s="1085"/>
    </row>
    <row r="256" spans="2:17">
      <c r="B256" s="1085" t="s">
        <v>2290</v>
      </c>
      <c r="C256" s="1090">
        <v>0</v>
      </c>
      <c r="D256" s="1090">
        <v>0</v>
      </c>
      <c r="E256" s="1090">
        <v>0</v>
      </c>
      <c r="F256" s="1090">
        <v>0</v>
      </c>
      <c r="G256" s="1090">
        <v>0</v>
      </c>
      <c r="H256" s="1090">
        <v>0</v>
      </c>
      <c r="I256" s="1090">
        <v>0</v>
      </c>
      <c r="J256" s="1090">
        <v>0</v>
      </c>
      <c r="K256" s="1090">
        <v>0</v>
      </c>
      <c r="L256" s="1090">
        <v>0</v>
      </c>
      <c r="M256" s="1090">
        <v>4248192.01</v>
      </c>
      <c r="N256" s="1090">
        <v>-3685726.01</v>
      </c>
      <c r="Q256" s="1090">
        <f t="shared" ref="Q256:Q261" si="16">IFERROR(SUM(E256:N256)*(12/10),"")</f>
        <v>674959.2</v>
      </c>
    </row>
    <row r="257" spans="2:17">
      <c r="B257" s="1085" t="s">
        <v>2291</v>
      </c>
      <c r="C257" s="1090">
        <v>0</v>
      </c>
      <c r="D257" s="1090">
        <v>0</v>
      </c>
      <c r="E257" s="1090">
        <v>0</v>
      </c>
      <c r="F257" s="1090">
        <v>0</v>
      </c>
      <c r="G257" s="1090">
        <v>0</v>
      </c>
      <c r="H257" s="1090">
        <v>0</v>
      </c>
      <c r="I257" s="1090">
        <v>0</v>
      </c>
      <c r="J257" s="1090">
        <v>0</v>
      </c>
      <c r="K257" s="1090">
        <v>0</v>
      </c>
      <c r="L257" s="1090">
        <v>0</v>
      </c>
      <c r="M257" s="1090">
        <v>147879.76</v>
      </c>
      <c r="N257" s="1090">
        <v>-95686.76</v>
      </c>
      <c r="Q257" s="1090">
        <f t="shared" si="16"/>
        <v>62631.600000000013</v>
      </c>
    </row>
    <row r="258" spans="2:17">
      <c r="B258" s="1085" t="s">
        <v>327</v>
      </c>
      <c r="C258" s="1085"/>
      <c r="D258" s="1085"/>
      <c r="E258" s="1085"/>
      <c r="F258" s="1085"/>
      <c r="G258" s="1085"/>
      <c r="H258" s="1085"/>
      <c r="I258" s="1085"/>
      <c r="J258" s="1085"/>
      <c r="K258" s="1085"/>
      <c r="L258" s="1085"/>
      <c r="M258" s="1085"/>
      <c r="N258" s="1085"/>
      <c r="Q258" s="1085"/>
    </row>
    <row r="259" spans="2:17">
      <c r="B259" s="1089" t="s">
        <v>2292</v>
      </c>
      <c r="C259" s="1306">
        <v>0</v>
      </c>
      <c r="D259" s="1306">
        <v>0</v>
      </c>
      <c r="E259" s="1306">
        <v>0</v>
      </c>
      <c r="F259" s="1306">
        <v>0</v>
      </c>
      <c r="G259" s="1306">
        <v>0</v>
      </c>
      <c r="H259" s="1306">
        <v>0</v>
      </c>
      <c r="I259" s="1306">
        <v>0</v>
      </c>
      <c r="J259" s="1306">
        <v>0</v>
      </c>
      <c r="K259" s="1306">
        <v>0</v>
      </c>
      <c r="L259" s="1306">
        <v>0</v>
      </c>
      <c r="M259" s="1306">
        <v>4396071.7699999996</v>
      </c>
      <c r="N259" s="1306">
        <v>-3781412.77</v>
      </c>
      <c r="Q259" s="1306">
        <f t="shared" si="16"/>
        <v>737590.79999999946</v>
      </c>
    </row>
    <row r="260" spans="2:17">
      <c r="B260" s="1085" t="s">
        <v>327</v>
      </c>
      <c r="C260" s="1085"/>
      <c r="D260" s="1085"/>
      <c r="E260" s="1085"/>
      <c r="F260" s="1085"/>
      <c r="G260" s="1085"/>
      <c r="H260" s="1085"/>
      <c r="I260" s="1085"/>
      <c r="J260" s="1085"/>
      <c r="K260" s="1085"/>
      <c r="L260" s="1085"/>
      <c r="M260" s="1085"/>
      <c r="N260" s="1085"/>
      <c r="Q260" s="1085"/>
    </row>
    <row r="261" spans="2:17">
      <c r="B261" s="1089" t="s">
        <v>1731</v>
      </c>
      <c r="C261" s="1093">
        <v>0</v>
      </c>
      <c r="D261" s="1093">
        <v>0</v>
      </c>
      <c r="E261" s="1093">
        <v>-253275.17</v>
      </c>
      <c r="F261" s="1093">
        <v>72156.13</v>
      </c>
      <c r="G261" s="1093">
        <v>434.12</v>
      </c>
      <c r="H261" s="1093">
        <v>-74367.009999999995</v>
      </c>
      <c r="I261" s="1093">
        <v>103987.29</v>
      </c>
      <c r="J261" s="1093">
        <v>-487855.3</v>
      </c>
      <c r="K261" s="1093">
        <v>464368.1</v>
      </c>
      <c r="L261" s="1093">
        <v>-63054.2</v>
      </c>
      <c r="M261" s="1093">
        <v>-3596230.85</v>
      </c>
      <c r="N261" s="1093">
        <v>3000120.3</v>
      </c>
      <c r="Q261" s="1093">
        <f t="shared" si="16"/>
        <v>-1000459.9080000003</v>
      </c>
    </row>
  </sheetData>
  <pageMargins left="0.7" right="0.7" top="0.7" bottom="0.7" header="0.5" footer="0.5"/>
  <pageSetup paperSize="5" scale="46" fitToHeight="990" orientation="landscape" useFirstPageNumber="1" r:id="rId1"/>
  <headerFooter alignWithMargins="0">
    <oddHeader>&amp;R&amp;B&amp;D &amp;T</oddHeader>
    <oddFooter>&amp;C&amp;B Page &amp;P of &amp;N</oddFooter>
  </headerFooter>
  <rowBreaks count="1" manualBreakCount="1">
    <brk id="4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353A-EEC3-4BB7-AD9C-A5492F16B56A}">
  <sheetPr>
    <pageSetUpPr fitToPage="1"/>
  </sheetPr>
  <dimension ref="A1:AF599"/>
  <sheetViews>
    <sheetView topLeftCell="A6" zoomScale="85" zoomScaleNormal="85" workbookViewId="0">
      <pane xSplit="8" ySplit="1" topLeftCell="I332" activePane="bottomRight" state="frozen"/>
      <selection activeCell="A6" sqref="A6"/>
      <selection pane="topRight" activeCell="I6" sqref="I6"/>
      <selection pane="bottomLeft" activeCell="A7" sqref="A7"/>
      <selection pane="bottomRight" activeCell="Z358" sqref="Z358"/>
    </sheetView>
  </sheetViews>
  <sheetFormatPr defaultColWidth="9.140625" defaultRowHeight="12.75" outlineLevelRow="1" outlineLevelCol="1"/>
  <cols>
    <col min="1" max="1" width="11.7109375" style="108" customWidth="1"/>
    <col min="2" max="2" width="18" style="108" customWidth="1"/>
    <col min="3" max="3" width="15.140625" style="108" customWidth="1"/>
    <col min="4" max="4" width="14.5703125" style="108" customWidth="1"/>
    <col min="5" max="5" width="13.85546875" style="108" customWidth="1"/>
    <col min="6" max="6" width="23.85546875" style="108" customWidth="1"/>
    <col min="7" max="7" width="13.42578125" style="108" customWidth="1"/>
    <col min="8" max="8" width="13.140625" style="108" customWidth="1"/>
    <col min="9" max="9" width="11.42578125" style="108" customWidth="1"/>
    <col min="10" max="10" width="14.5703125" style="108" customWidth="1"/>
    <col min="11" max="11" width="14" style="108" customWidth="1"/>
    <col min="12" max="12" width="16.140625" style="108" customWidth="1"/>
    <col min="13" max="13" width="14.5703125" style="108" customWidth="1"/>
    <col min="14" max="14" width="16.7109375" style="108" customWidth="1"/>
    <col min="15" max="15" width="12.42578125" style="108" customWidth="1" outlineLevel="1"/>
    <col min="16" max="16" width="10.42578125" style="108" customWidth="1" outlineLevel="1"/>
    <col min="17" max="17" width="12.42578125" style="108" customWidth="1" outlineLevel="1"/>
    <col min="18" max="18" width="18.42578125" style="144" customWidth="1" outlineLevel="1"/>
    <col min="19" max="19" width="13" style="144" customWidth="1" outlineLevel="1"/>
    <col min="20" max="23" width="11.85546875" style="108" customWidth="1" outlineLevel="1"/>
    <col min="24" max="24" width="5.42578125" style="108" customWidth="1"/>
    <col min="25" max="25" width="10.140625" style="108" customWidth="1"/>
    <col min="26" max="26" width="10.85546875" style="108" bestFit="1" customWidth="1"/>
    <col min="27" max="27" width="12" style="108" customWidth="1"/>
    <col min="28" max="28" width="23.7109375" style="108" customWidth="1"/>
    <col min="29" max="29" width="11.85546875" style="108" customWidth="1"/>
    <col min="30" max="30" width="11.140625" style="108" customWidth="1"/>
    <col min="31" max="16384" width="9.140625" style="108"/>
  </cols>
  <sheetData>
    <row r="1" spans="1:32" ht="15.75" customHeight="1">
      <c r="A1" s="1330" t="s">
        <v>2200</v>
      </c>
      <c r="B1" s="1330"/>
      <c r="C1" s="1330"/>
      <c r="D1" s="1330"/>
      <c r="E1" s="1330"/>
      <c r="F1" s="1330"/>
      <c r="G1" s="1330"/>
      <c r="H1" s="1330"/>
      <c r="I1" s="1330"/>
      <c r="J1" s="1330"/>
      <c r="K1" s="1330"/>
      <c r="L1" s="1330"/>
      <c r="M1" s="1330"/>
      <c r="N1" s="1330"/>
      <c r="O1" s="1330"/>
      <c r="P1" s="1330"/>
      <c r="Q1" s="869"/>
      <c r="R1" s="869"/>
      <c r="S1" s="869"/>
      <c r="T1" s="869"/>
      <c r="U1" s="869"/>
      <c r="V1" s="869"/>
      <c r="W1" s="869"/>
      <c r="X1" s="869"/>
      <c r="Y1" s="869"/>
      <c r="Z1" s="869"/>
      <c r="AA1" s="869"/>
      <c r="AB1" s="869"/>
      <c r="AC1" s="869"/>
      <c r="AD1" s="869"/>
    </row>
    <row r="2" spans="1:32" ht="15" customHeight="1">
      <c r="A2" s="1330" t="s">
        <v>688</v>
      </c>
      <c r="B2" s="1330"/>
      <c r="C2" s="1330"/>
      <c r="D2" s="1330"/>
      <c r="E2" s="1330"/>
      <c r="F2" s="1330"/>
      <c r="G2" s="1330"/>
      <c r="H2" s="1330"/>
      <c r="I2" s="1330"/>
      <c r="J2" s="1330"/>
      <c r="K2" s="1330"/>
      <c r="L2" s="1330"/>
      <c r="M2" s="1330"/>
      <c r="N2" s="1330"/>
      <c r="O2" s="1330"/>
      <c r="P2" s="1330"/>
      <c r="Q2" s="869"/>
      <c r="R2" s="869"/>
      <c r="S2" s="869"/>
      <c r="T2" s="869"/>
      <c r="U2" s="869"/>
      <c r="V2" s="869"/>
      <c r="W2" s="869"/>
      <c r="X2" s="869"/>
      <c r="Y2" s="869"/>
      <c r="Z2" s="869"/>
      <c r="AA2" s="869"/>
      <c r="AB2" s="869"/>
      <c r="AC2" s="869"/>
      <c r="AD2" s="869"/>
    </row>
    <row r="3" spans="1:32" ht="15" customHeight="1">
      <c r="A3" s="1330" t="s">
        <v>2201</v>
      </c>
      <c r="B3" s="1330"/>
      <c r="C3" s="1330"/>
      <c r="D3" s="1330"/>
      <c r="E3" s="1330"/>
      <c r="F3" s="1330"/>
      <c r="G3" s="1330"/>
      <c r="H3" s="1330"/>
      <c r="I3" s="1330"/>
      <c r="J3" s="1330"/>
      <c r="K3" s="1330"/>
      <c r="L3" s="1330"/>
      <c r="M3" s="1330"/>
      <c r="N3" s="1330"/>
      <c r="O3" s="1330"/>
      <c r="P3" s="1330"/>
      <c r="Q3" s="869"/>
      <c r="R3" s="869"/>
      <c r="S3" s="869"/>
      <c r="T3" s="869"/>
      <c r="U3" s="869"/>
      <c r="V3" s="869"/>
      <c r="W3" s="869"/>
      <c r="X3" s="869"/>
      <c r="Y3" s="869"/>
      <c r="Z3" s="869"/>
      <c r="AA3" s="869"/>
      <c r="AB3" s="869"/>
      <c r="AC3" s="869"/>
      <c r="AD3" s="869"/>
    </row>
    <row r="4" spans="1:32" ht="15" customHeight="1">
      <c r="A4" s="1330" t="s">
        <v>2202</v>
      </c>
      <c r="B4" s="1330"/>
      <c r="C4" s="1330"/>
      <c r="D4" s="1330"/>
      <c r="E4" s="1330"/>
      <c r="F4" s="1330"/>
      <c r="G4" s="1330"/>
      <c r="H4" s="1330"/>
      <c r="I4" s="1330"/>
      <c r="J4" s="1330"/>
      <c r="K4" s="1330"/>
      <c r="L4" s="1330"/>
      <c r="M4" s="1330"/>
      <c r="N4" s="1330"/>
      <c r="O4" s="1330"/>
      <c r="P4" s="1330"/>
      <c r="Q4" s="869"/>
      <c r="R4" s="869"/>
      <c r="S4" s="869"/>
      <c r="T4" s="869"/>
      <c r="U4" s="869"/>
      <c r="V4" s="869"/>
      <c r="W4" s="869"/>
      <c r="X4" s="869"/>
      <c r="Y4" s="869"/>
      <c r="Z4" s="869"/>
      <c r="AA4" s="869"/>
      <c r="AB4" s="869"/>
      <c r="AC4" s="869"/>
      <c r="AD4" s="869"/>
    </row>
    <row r="5" spans="1:32" ht="15" customHeight="1">
      <c r="A5" s="1330" t="s">
        <v>689</v>
      </c>
      <c r="B5" s="1330"/>
      <c r="C5" s="1330"/>
      <c r="D5" s="1330"/>
      <c r="E5" s="1330"/>
      <c r="F5" s="1330"/>
      <c r="G5" s="1330"/>
      <c r="H5" s="1330"/>
      <c r="I5" s="1330"/>
      <c r="J5" s="1330"/>
      <c r="K5" s="1330"/>
      <c r="L5" s="1330"/>
      <c r="M5" s="1330"/>
      <c r="N5" s="1330"/>
      <c r="O5" s="1330"/>
      <c r="P5" s="1330"/>
      <c r="Q5" s="869"/>
      <c r="R5" s="869"/>
      <c r="S5" s="869"/>
      <c r="T5" s="869"/>
      <c r="U5" s="869"/>
      <c r="V5" s="869"/>
      <c r="W5" s="869"/>
      <c r="X5" s="869"/>
      <c r="Y5" s="869"/>
      <c r="Z5" s="869"/>
      <c r="AA5" s="869"/>
      <c r="AB5" s="869"/>
      <c r="AC5" s="869"/>
      <c r="AD5" s="869"/>
    </row>
    <row r="6" spans="1:32" ht="38.25">
      <c r="A6" s="870" t="s">
        <v>690</v>
      </c>
      <c r="B6" s="870" t="s">
        <v>691</v>
      </c>
      <c r="C6" s="870" t="s">
        <v>182</v>
      </c>
      <c r="D6" s="870" t="s">
        <v>692</v>
      </c>
      <c r="E6" s="870" t="s">
        <v>693</v>
      </c>
      <c r="F6" s="870" t="s">
        <v>694</v>
      </c>
      <c r="G6" s="870" t="s">
        <v>695</v>
      </c>
      <c r="H6" s="870" t="s">
        <v>183</v>
      </c>
      <c r="I6" s="870" t="s">
        <v>696</v>
      </c>
      <c r="J6" s="870" t="s">
        <v>697</v>
      </c>
      <c r="K6" s="870" t="s">
        <v>698</v>
      </c>
      <c r="L6" s="870" t="s">
        <v>699</v>
      </c>
      <c r="M6" s="870" t="s">
        <v>2203</v>
      </c>
      <c r="N6" s="870" t="s">
        <v>700</v>
      </c>
      <c r="O6" s="870" t="s">
        <v>701</v>
      </c>
      <c r="P6" s="870" t="s">
        <v>184</v>
      </c>
      <c r="Q6" s="870" t="s">
        <v>702</v>
      </c>
      <c r="R6" s="870" t="s">
        <v>703</v>
      </c>
      <c r="S6" s="870" t="s">
        <v>704</v>
      </c>
      <c r="T6" s="870" t="s">
        <v>707</v>
      </c>
      <c r="U6" s="870" t="s">
        <v>706</v>
      </c>
      <c r="V6" s="870" t="s">
        <v>705</v>
      </c>
      <c r="W6" s="870" t="s">
        <v>708</v>
      </c>
      <c r="X6" s="870" t="s">
        <v>710</v>
      </c>
      <c r="Y6" s="870" t="s">
        <v>1996</v>
      </c>
      <c r="Z6" s="870" t="s">
        <v>709</v>
      </c>
      <c r="AA6" s="870" t="s">
        <v>711</v>
      </c>
      <c r="AB6" s="870" t="s">
        <v>2204</v>
      </c>
      <c r="AC6" s="870" t="s">
        <v>712</v>
      </c>
      <c r="AD6" s="870" t="s">
        <v>713</v>
      </c>
      <c r="AE6" s="870" t="s">
        <v>1997</v>
      </c>
      <c r="AF6" s="870" t="s">
        <v>714</v>
      </c>
    </row>
    <row r="7" spans="1:32" ht="15" customHeight="1">
      <c r="A7" s="1294">
        <v>69</v>
      </c>
      <c r="B7" s="1294">
        <v>424</v>
      </c>
      <c r="C7" s="1295" t="s">
        <v>715</v>
      </c>
      <c r="D7" s="1296" t="s">
        <v>1998</v>
      </c>
      <c r="E7" s="1296" t="s">
        <v>716</v>
      </c>
      <c r="F7" s="1297">
        <v>892</v>
      </c>
      <c r="G7" s="1295" t="s">
        <v>189</v>
      </c>
      <c r="H7" s="1295" t="s">
        <v>717</v>
      </c>
      <c r="I7" s="1296" t="s">
        <v>718</v>
      </c>
      <c r="J7" s="1296"/>
      <c r="K7" s="1296" t="s">
        <v>1825</v>
      </c>
      <c r="L7" s="1296" t="s">
        <v>1826</v>
      </c>
      <c r="M7" s="1298">
        <v>2025.6</v>
      </c>
      <c r="N7" s="1298">
        <v>0</v>
      </c>
      <c r="O7" s="1298">
        <v>0</v>
      </c>
      <c r="P7" s="1298">
        <v>89.6</v>
      </c>
      <c r="Q7" s="1298">
        <v>1696</v>
      </c>
      <c r="R7" s="1298">
        <v>1696</v>
      </c>
      <c r="S7" s="1298">
        <v>25</v>
      </c>
      <c r="T7" s="1298">
        <v>12.6</v>
      </c>
      <c r="U7" s="1298">
        <v>17</v>
      </c>
      <c r="V7" s="1298">
        <v>20</v>
      </c>
      <c r="W7" s="1298">
        <v>25</v>
      </c>
      <c r="X7" s="1298">
        <v>35</v>
      </c>
      <c r="Y7" s="1298">
        <v>0</v>
      </c>
      <c r="Z7" s="1298">
        <v>0</v>
      </c>
      <c r="AA7" s="1298">
        <v>0</v>
      </c>
      <c r="AB7" s="1298">
        <v>0</v>
      </c>
      <c r="AC7" s="1298">
        <v>0</v>
      </c>
      <c r="AD7" s="1298">
        <v>0</v>
      </c>
      <c r="AE7" s="1298">
        <v>0</v>
      </c>
      <c r="AF7" s="1298">
        <v>1830.6</v>
      </c>
    </row>
    <row r="8" spans="1:32" ht="15" customHeight="1">
      <c r="A8" s="1294">
        <v>171</v>
      </c>
      <c r="B8" s="1294">
        <v>616</v>
      </c>
      <c r="C8" s="1295" t="s">
        <v>720</v>
      </c>
      <c r="D8" s="1296" t="s">
        <v>1999</v>
      </c>
      <c r="E8" s="1296" t="s">
        <v>716</v>
      </c>
      <c r="F8" s="1297">
        <v>1036</v>
      </c>
      <c r="G8" s="1295" t="s">
        <v>189</v>
      </c>
      <c r="H8" s="1295" t="s">
        <v>741</v>
      </c>
      <c r="I8" s="1296" t="s">
        <v>2000</v>
      </c>
      <c r="J8" s="1296"/>
      <c r="K8" s="1296" t="s">
        <v>2000</v>
      </c>
      <c r="L8" s="1296" t="s">
        <v>2001</v>
      </c>
      <c r="M8" s="1298">
        <v>2370.6</v>
      </c>
      <c r="N8" s="1298">
        <v>0</v>
      </c>
      <c r="O8" s="1298">
        <v>0</v>
      </c>
      <c r="P8" s="1298">
        <v>0</v>
      </c>
      <c r="Q8" s="1298">
        <v>2236</v>
      </c>
      <c r="R8" s="1298">
        <v>2236</v>
      </c>
      <c r="S8" s="1298">
        <v>30</v>
      </c>
      <c r="T8" s="1298">
        <v>12.6</v>
      </c>
      <c r="U8" s="1298">
        <v>22</v>
      </c>
      <c r="V8" s="1298">
        <v>20</v>
      </c>
      <c r="W8" s="1298">
        <v>25</v>
      </c>
      <c r="X8" s="1298">
        <v>35</v>
      </c>
      <c r="Y8" s="1298">
        <v>0</v>
      </c>
      <c r="Z8" s="1298">
        <v>0</v>
      </c>
      <c r="AA8" s="1298">
        <v>0</v>
      </c>
      <c r="AB8" s="1298">
        <v>0</v>
      </c>
      <c r="AC8" s="1298">
        <v>0</v>
      </c>
      <c r="AD8" s="1298">
        <v>0</v>
      </c>
      <c r="AE8" s="1298">
        <v>0</v>
      </c>
      <c r="AF8" s="1298">
        <v>2380.6</v>
      </c>
    </row>
    <row r="9" spans="1:32" ht="15" customHeight="1">
      <c r="A9" s="1294">
        <v>431</v>
      </c>
      <c r="B9" s="1294">
        <v>633</v>
      </c>
      <c r="C9" s="1295" t="s">
        <v>722</v>
      </c>
      <c r="D9" s="1296" t="s">
        <v>723</v>
      </c>
      <c r="E9" s="1296" t="s">
        <v>716</v>
      </c>
      <c r="F9" s="1297">
        <v>1156</v>
      </c>
      <c r="G9" s="1295" t="s">
        <v>189</v>
      </c>
      <c r="H9" s="1295" t="s">
        <v>2205</v>
      </c>
      <c r="I9" s="1296" t="s">
        <v>1455</v>
      </c>
      <c r="J9" s="1296"/>
      <c r="K9" s="1296" t="s">
        <v>1455</v>
      </c>
      <c r="L9" s="1296" t="s">
        <v>2206</v>
      </c>
      <c r="M9" s="1298">
        <v>2533.6</v>
      </c>
      <c r="N9" s="1298">
        <v>250</v>
      </c>
      <c r="O9" s="1298">
        <v>250</v>
      </c>
      <c r="P9" s="1298">
        <v>0</v>
      </c>
      <c r="Q9" s="1298">
        <v>2124</v>
      </c>
      <c r="R9" s="1298">
        <v>2124</v>
      </c>
      <c r="S9" s="1298">
        <v>30</v>
      </c>
      <c r="T9" s="1298">
        <v>12.6</v>
      </c>
      <c r="U9" s="1298">
        <v>22</v>
      </c>
      <c r="V9" s="1298">
        <v>20</v>
      </c>
      <c r="W9" s="1298">
        <v>0</v>
      </c>
      <c r="X9" s="1298">
        <v>0</v>
      </c>
      <c r="Y9" s="1298">
        <v>50</v>
      </c>
      <c r="Z9" s="1298">
        <v>0</v>
      </c>
      <c r="AA9" s="1298">
        <v>0</v>
      </c>
      <c r="AB9" s="1298">
        <v>0</v>
      </c>
      <c r="AC9" s="1298">
        <v>0</v>
      </c>
      <c r="AD9" s="1298">
        <v>0</v>
      </c>
      <c r="AE9" s="1298">
        <v>0</v>
      </c>
      <c r="AF9" s="1298">
        <v>2258.6</v>
      </c>
    </row>
    <row r="10" spans="1:32" ht="15" customHeight="1">
      <c r="A10" s="1294">
        <v>160</v>
      </c>
      <c r="B10" s="1294">
        <v>447</v>
      </c>
      <c r="C10" s="1295" t="s">
        <v>726</v>
      </c>
      <c r="D10" s="1296" t="s">
        <v>727</v>
      </c>
      <c r="E10" s="1296" t="s">
        <v>716</v>
      </c>
      <c r="F10" s="1297">
        <v>1000</v>
      </c>
      <c r="G10" s="1295" t="s">
        <v>189</v>
      </c>
      <c r="H10" s="1295" t="s">
        <v>728</v>
      </c>
      <c r="I10" s="1296" t="s">
        <v>729</v>
      </c>
      <c r="J10" s="1296"/>
      <c r="K10" s="1296" t="s">
        <v>1033</v>
      </c>
      <c r="L10" s="1296" t="s">
        <v>1827</v>
      </c>
      <c r="M10" s="1298">
        <v>2070.6</v>
      </c>
      <c r="N10" s="1298">
        <v>0</v>
      </c>
      <c r="O10" s="1298">
        <v>0</v>
      </c>
      <c r="P10" s="1298">
        <v>57.35</v>
      </c>
      <c r="Q10" s="1298">
        <v>1737</v>
      </c>
      <c r="R10" s="1298">
        <v>1737</v>
      </c>
      <c r="S10" s="1298">
        <v>25</v>
      </c>
      <c r="T10" s="1298">
        <v>12.6</v>
      </c>
      <c r="U10" s="1298">
        <v>17</v>
      </c>
      <c r="V10" s="1298">
        <v>20</v>
      </c>
      <c r="W10" s="1298">
        <v>0</v>
      </c>
      <c r="X10" s="1298">
        <v>0</v>
      </c>
      <c r="Y10" s="1298">
        <v>0</v>
      </c>
      <c r="Z10" s="1298">
        <v>0</v>
      </c>
      <c r="AA10" s="1298">
        <v>0</v>
      </c>
      <c r="AB10" s="1298">
        <v>0</v>
      </c>
      <c r="AC10" s="1298">
        <v>0</v>
      </c>
      <c r="AD10" s="1298">
        <v>0</v>
      </c>
      <c r="AE10" s="1298">
        <v>0</v>
      </c>
      <c r="AF10" s="1298">
        <v>1811.6</v>
      </c>
    </row>
    <row r="11" spans="1:32" ht="15" customHeight="1">
      <c r="A11" s="1294">
        <v>329</v>
      </c>
      <c r="B11" s="1294">
        <v>356</v>
      </c>
      <c r="C11" s="1295" t="s">
        <v>730</v>
      </c>
      <c r="D11" s="1296" t="s">
        <v>2024</v>
      </c>
      <c r="E11" s="1296" t="s">
        <v>716</v>
      </c>
      <c r="F11" s="1297">
        <v>1211</v>
      </c>
      <c r="G11" s="1295" t="s">
        <v>189</v>
      </c>
      <c r="H11" s="1295" t="s">
        <v>733</v>
      </c>
      <c r="I11" s="1296" t="s">
        <v>734</v>
      </c>
      <c r="J11" s="1296"/>
      <c r="K11" s="1296" t="s">
        <v>734</v>
      </c>
      <c r="L11" s="1296" t="s">
        <v>735</v>
      </c>
      <c r="M11" s="1298">
        <v>2363.6</v>
      </c>
      <c r="N11" s="1298">
        <v>0</v>
      </c>
      <c r="O11" s="1298">
        <v>0</v>
      </c>
      <c r="P11" s="1298">
        <v>85.29</v>
      </c>
      <c r="Q11" s="1298">
        <v>2304</v>
      </c>
      <c r="R11" s="1298">
        <v>2304</v>
      </c>
      <c r="S11" s="1298">
        <v>25</v>
      </c>
      <c r="T11" s="1298">
        <v>12.6</v>
      </c>
      <c r="U11" s="1298">
        <v>0</v>
      </c>
      <c r="V11" s="1298">
        <v>0</v>
      </c>
      <c r="W11" s="1298">
        <v>0</v>
      </c>
      <c r="X11" s="1298">
        <v>50</v>
      </c>
      <c r="Y11" s="1298">
        <v>0</v>
      </c>
      <c r="Z11" s="1298">
        <v>0</v>
      </c>
      <c r="AA11" s="1298">
        <v>0</v>
      </c>
      <c r="AB11" s="1298">
        <v>0</v>
      </c>
      <c r="AC11" s="1298">
        <v>0</v>
      </c>
      <c r="AD11" s="1298">
        <v>0</v>
      </c>
      <c r="AE11" s="1298">
        <v>0</v>
      </c>
      <c r="AF11" s="1298">
        <v>2391.6</v>
      </c>
    </row>
    <row r="12" spans="1:32" ht="15" customHeight="1">
      <c r="A12" s="1294">
        <v>394</v>
      </c>
      <c r="B12" s="1294">
        <v>564</v>
      </c>
      <c r="C12" s="1295" t="s">
        <v>736</v>
      </c>
      <c r="D12" s="1296" t="s">
        <v>2002</v>
      </c>
      <c r="E12" s="1296" t="s">
        <v>716</v>
      </c>
      <c r="F12" s="1297">
        <v>730</v>
      </c>
      <c r="G12" s="1295" t="s">
        <v>189</v>
      </c>
      <c r="H12" s="1295" t="s">
        <v>2003</v>
      </c>
      <c r="I12" s="1296" t="s">
        <v>845</v>
      </c>
      <c r="J12" s="1296"/>
      <c r="K12" s="1296" t="s">
        <v>845</v>
      </c>
      <c r="L12" s="1296" t="s">
        <v>2004</v>
      </c>
      <c r="M12" s="1298">
        <v>1571.6</v>
      </c>
      <c r="N12" s="1298">
        <v>500</v>
      </c>
      <c r="O12" s="1298">
        <v>500</v>
      </c>
      <c r="P12" s="1298">
        <v>0</v>
      </c>
      <c r="Q12" s="1298">
        <v>1437</v>
      </c>
      <c r="R12" s="1298">
        <v>1437</v>
      </c>
      <c r="S12" s="1298">
        <v>30</v>
      </c>
      <c r="T12" s="1298">
        <v>12.6</v>
      </c>
      <c r="U12" s="1298">
        <v>22</v>
      </c>
      <c r="V12" s="1298">
        <v>0</v>
      </c>
      <c r="W12" s="1298">
        <v>0</v>
      </c>
      <c r="X12" s="1298">
        <v>0</v>
      </c>
      <c r="Y12" s="1298">
        <v>0</v>
      </c>
      <c r="Z12" s="1298">
        <v>0</v>
      </c>
      <c r="AA12" s="1298">
        <v>0</v>
      </c>
      <c r="AB12" s="1298">
        <v>0</v>
      </c>
      <c r="AC12" s="1298">
        <v>0</v>
      </c>
      <c r="AD12" s="1298">
        <v>0</v>
      </c>
      <c r="AE12" s="1298">
        <v>0</v>
      </c>
      <c r="AF12" s="1298">
        <v>1501.6</v>
      </c>
    </row>
    <row r="13" spans="1:32" ht="15" customHeight="1">
      <c r="A13" s="1294">
        <v>0</v>
      </c>
      <c r="B13" s="1294">
        <v>0</v>
      </c>
      <c r="C13" s="1295" t="s">
        <v>738</v>
      </c>
      <c r="D13" s="1296" t="s">
        <v>723</v>
      </c>
      <c r="E13" s="1296" t="s">
        <v>716</v>
      </c>
      <c r="F13" s="1297">
        <v>1156</v>
      </c>
      <c r="G13" s="1295" t="s">
        <v>731</v>
      </c>
      <c r="H13" s="1295" t="s">
        <v>185</v>
      </c>
      <c r="I13" s="1296"/>
      <c r="J13" s="1296"/>
      <c r="K13" s="1296"/>
      <c r="L13" s="1296"/>
      <c r="M13" s="1298">
        <v>2533.6</v>
      </c>
      <c r="N13" s="1298">
        <v>0</v>
      </c>
      <c r="O13" s="1298">
        <v>0</v>
      </c>
      <c r="P13" s="1298">
        <v>0</v>
      </c>
      <c r="Q13" s="1298">
        <v>0</v>
      </c>
      <c r="R13" s="1298">
        <v>0</v>
      </c>
      <c r="S13" s="1298">
        <v>0</v>
      </c>
      <c r="T13" s="1298">
        <v>0</v>
      </c>
      <c r="U13" s="1298">
        <v>0</v>
      </c>
      <c r="V13" s="1298">
        <v>0</v>
      </c>
      <c r="W13" s="1298">
        <v>0</v>
      </c>
      <c r="X13" s="1298">
        <v>0</v>
      </c>
      <c r="Y13" s="1298">
        <v>0</v>
      </c>
      <c r="Z13" s="1298">
        <v>0</v>
      </c>
      <c r="AA13" s="1298">
        <v>0</v>
      </c>
      <c r="AB13" s="1298">
        <v>0</v>
      </c>
      <c r="AC13" s="1298">
        <v>0</v>
      </c>
      <c r="AD13" s="1298">
        <v>0</v>
      </c>
      <c r="AE13" s="1298">
        <v>0</v>
      </c>
      <c r="AF13" s="1298">
        <v>0</v>
      </c>
    </row>
    <row r="14" spans="1:32" ht="15" customHeight="1">
      <c r="A14" s="1294">
        <v>441</v>
      </c>
      <c r="B14" s="1294">
        <v>691</v>
      </c>
      <c r="C14" s="1295" t="s">
        <v>738</v>
      </c>
      <c r="D14" s="1296" t="s">
        <v>723</v>
      </c>
      <c r="E14" s="1296" t="s">
        <v>716</v>
      </c>
      <c r="F14" s="1297">
        <v>1156</v>
      </c>
      <c r="G14" s="1295" t="s">
        <v>732</v>
      </c>
      <c r="H14" s="1295" t="s">
        <v>2207</v>
      </c>
      <c r="I14" s="1296" t="s">
        <v>998</v>
      </c>
      <c r="J14" s="1296"/>
      <c r="K14" s="1296" t="s">
        <v>998</v>
      </c>
      <c r="L14" s="1296" t="s">
        <v>2208</v>
      </c>
      <c r="M14" s="1298">
        <v>0</v>
      </c>
      <c r="N14" s="1298">
        <v>250</v>
      </c>
      <c r="O14" s="1298">
        <v>0</v>
      </c>
      <c r="P14" s="1298">
        <v>-250</v>
      </c>
      <c r="Q14" s="1298">
        <v>2399</v>
      </c>
      <c r="R14" s="1298">
        <v>2399</v>
      </c>
      <c r="S14" s="1298">
        <v>30</v>
      </c>
      <c r="T14" s="1298">
        <v>12.6</v>
      </c>
      <c r="U14" s="1298">
        <v>22</v>
      </c>
      <c r="V14" s="1298">
        <v>20</v>
      </c>
      <c r="W14" s="1298">
        <v>0</v>
      </c>
      <c r="X14" s="1298">
        <v>0</v>
      </c>
      <c r="Y14" s="1298">
        <v>50</v>
      </c>
      <c r="Z14" s="1298">
        <v>0</v>
      </c>
      <c r="AA14" s="1298">
        <v>0</v>
      </c>
      <c r="AB14" s="1298">
        <v>0</v>
      </c>
      <c r="AC14" s="1298">
        <v>0</v>
      </c>
      <c r="AD14" s="1298">
        <v>0</v>
      </c>
      <c r="AE14" s="1298">
        <v>0</v>
      </c>
      <c r="AF14" s="1298">
        <v>2533.6</v>
      </c>
    </row>
    <row r="15" spans="1:32" ht="15" customHeight="1">
      <c r="A15" s="1294">
        <v>30</v>
      </c>
      <c r="B15" s="1294">
        <v>682</v>
      </c>
      <c r="C15" s="1295" t="s">
        <v>740</v>
      </c>
      <c r="D15" s="1296" t="s">
        <v>2005</v>
      </c>
      <c r="E15" s="1296" t="s">
        <v>716</v>
      </c>
      <c r="F15" s="1297">
        <v>1102</v>
      </c>
      <c r="G15" s="1295" t="s">
        <v>189</v>
      </c>
      <c r="H15" s="1295" t="s">
        <v>1032</v>
      </c>
      <c r="I15" s="1296" t="s">
        <v>930</v>
      </c>
      <c r="J15" s="1296"/>
      <c r="K15" s="1296" t="s">
        <v>930</v>
      </c>
      <c r="L15" s="1296" t="s">
        <v>2209</v>
      </c>
      <c r="M15" s="1298">
        <v>2488.6</v>
      </c>
      <c r="N15" s="1298">
        <v>250</v>
      </c>
      <c r="O15" s="1298">
        <v>250</v>
      </c>
      <c r="P15" s="1298">
        <v>-935.88</v>
      </c>
      <c r="Q15" s="1298">
        <v>2354</v>
      </c>
      <c r="R15" s="1298">
        <v>2354</v>
      </c>
      <c r="S15" s="1298">
        <v>30</v>
      </c>
      <c r="T15" s="1298">
        <v>12.6</v>
      </c>
      <c r="U15" s="1298">
        <v>22</v>
      </c>
      <c r="V15" s="1298">
        <v>20</v>
      </c>
      <c r="W15" s="1298">
        <v>30</v>
      </c>
      <c r="X15" s="1298">
        <v>0</v>
      </c>
      <c r="Y15" s="1298">
        <v>0</v>
      </c>
      <c r="Z15" s="1298">
        <v>0</v>
      </c>
      <c r="AA15" s="1298">
        <v>0</v>
      </c>
      <c r="AB15" s="1298">
        <v>0</v>
      </c>
      <c r="AC15" s="1298">
        <v>0</v>
      </c>
      <c r="AD15" s="1298">
        <v>0</v>
      </c>
      <c r="AE15" s="1298">
        <v>0</v>
      </c>
      <c r="AF15" s="1298">
        <v>2468.6</v>
      </c>
    </row>
    <row r="16" spans="1:32" ht="15" customHeight="1">
      <c r="A16" s="1294">
        <v>401</v>
      </c>
      <c r="B16" s="1294">
        <v>580</v>
      </c>
      <c r="C16" s="1295" t="s">
        <v>743</v>
      </c>
      <c r="D16" s="1296" t="s">
        <v>744</v>
      </c>
      <c r="E16" s="1296" t="s">
        <v>716</v>
      </c>
      <c r="F16" s="1297">
        <v>908</v>
      </c>
      <c r="G16" s="1295" t="s">
        <v>189</v>
      </c>
      <c r="H16" s="1295" t="s">
        <v>2006</v>
      </c>
      <c r="I16" s="1296" t="s">
        <v>2007</v>
      </c>
      <c r="J16" s="1296"/>
      <c r="K16" s="1296" t="s">
        <v>2007</v>
      </c>
      <c r="L16" s="1296" t="s">
        <v>2008</v>
      </c>
      <c r="M16" s="1298">
        <v>1522.6</v>
      </c>
      <c r="N16" s="1298">
        <v>250</v>
      </c>
      <c r="O16" s="1298">
        <v>250</v>
      </c>
      <c r="P16" s="1298">
        <v>0</v>
      </c>
      <c r="Q16" s="1298">
        <v>1388</v>
      </c>
      <c r="R16" s="1298">
        <v>1388</v>
      </c>
      <c r="S16" s="1298">
        <v>30</v>
      </c>
      <c r="T16" s="1298">
        <v>12.6</v>
      </c>
      <c r="U16" s="1298">
        <v>22</v>
      </c>
      <c r="V16" s="1298">
        <v>0</v>
      </c>
      <c r="W16" s="1298">
        <v>0</v>
      </c>
      <c r="X16" s="1298">
        <v>0</v>
      </c>
      <c r="Y16" s="1298">
        <v>0</v>
      </c>
      <c r="Z16" s="1298">
        <v>0</v>
      </c>
      <c r="AA16" s="1298">
        <v>0</v>
      </c>
      <c r="AB16" s="1298">
        <v>0</v>
      </c>
      <c r="AC16" s="1298">
        <v>0</v>
      </c>
      <c r="AD16" s="1298">
        <v>0</v>
      </c>
      <c r="AE16" s="1298">
        <v>0</v>
      </c>
      <c r="AF16" s="1298">
        <v>1452.6</v>
      </c>
    </row>
    <row r="17" spans="1:32" ht="15" customHeight="1">
      <c r="A17" s="1294">
        <v>111</v>
      </c>
      <c r="B17" s="1294">
        <v>117</v>
      </c>
      <c r="C17" s="1295" t="s">
        <v>746</v>
      </c>
      <c r="D17" s="1296" t="s">
        <v>2009</v>
      </c>
      <c r="E17" s="1296" t="s">
        <v>716</v>
      </c>
      <c r="F17" s="1297">
        <v>791</v>
      </c>
      <c r="G17" s="1295" t="s">
        <v>189</v>
      </c>
      <c r="H17" s="1295" t="s">
        <v>747</v>
      </c>
      <c r="I17" s="1296" t="s">
        <v>748</v>
      </c>
      <c r="J17" s="1296"/>
      <c r="K17" s="1296" t="s">
        <v>749</v>
      </c>
      <c r="L17" s="1296" t="s">
        <v>750</v>
      </c>
      <c r="M17" s="1298">
        <v>1791.6</v>
      </c>
      <c r="N17" s="1298">
        <v>0</v>
      </c>
      <c r="O17" s="1298">
        <v>0</v>
      </c>
      <c r="P17" s="1298">
        <v>73.89</v>
      </c>
      <c r="Q17" s="1298">
        <v>1761</v>
      </c>
      <c r="R17" s="1298">
        <v>1761</v>
      </c>
      <c r="S17" s="1298">
        <v>25</v>
      </c>
      <c r="T17" s="1298">
        <v>11.5</v>
      </c>
      <c r="U17" s="1298">
        <v>20</v>
      </c>
      <c r="V17" s="1298">
        <v>20</v>
      </c>
      <c r="W17" s="1298">
        <v>0</v>
      </c>
      <c r="X17" s="1298">
        <v>35</v>
      </c>
      <c r="Y17" s="1298">
        <v>0</v>
      </c>
      <c r="Z17" s="1298">
        <v>0</v>
      </c>
      <c r="AA17" s="1298">
        <v>0</v>
      </c>
      <c r="AB17" s="1298">
        <v>0</v>
      </c>
      <c r="AC17" s="1298">
        <v>0</v>
      </c>
      <c r="AD17" s="1298">
        <v>0</v>
      </c>
      <c r="AE17" s="1298">
        <v>0</v>
      </c>
      <c r="AF17" s="1298">
        <v>1872.5</v>
      </c>
    </row>
    <row r="18" spans="1:32" ht="15" customHeight="1">
      <c r="A18" s="1294">
        <v>248</v>
      </c>
      <c r="B18" s="1294">
        <v>670</v>
      </c>
      <c r="C18" s="1295" t="s">
        <v>751</v>
      </c>
      <c r="D18" s="1296" t="s">
        <v>2010</v>
      </c>
      <c r="E18" s="1296" t="s">
        <v>716</v>
      </c>
      <c r="F18" s="1297">
        <v>958</v>
      </c>
      <c r="G18" s="1295" t="s">
        <v>189</v>
      </c>
      <c r="H18" s="1295" t="s">
        <v>1015</v>
      </c>
      <c r="I18" s="1296" t="s">
        <v>2210</v>
      </c>
      <c r="J18" s="1296"/>
      <c r="K18" s="1296" t="s">
        <v>2210</v>
      </c>
      <c r="L18" s="1296" t="s">
        <v>808</v>
      </c>
      <c r="M18" s="1298">
        <v>2280.6</v>
      </c>
      <c r="N18" s="1298">
        <v>0</v>
      </c>
      <c r="O18" s="1298">
        <v>0</v>
      </c>
      <c r="P18" s="1298">
        <v>-1708.62</v>
      </c>
      <c r="Q18" s="1298">
        <v>2146</v>
      </c>
      <c r="R18" s="1298">
        <v>2146</v>
      </c>
      <c r="S18" s="1298">
        <v>30</v>
      </c>
      <c r="T18" s="1298">
        <v>12.6</v>
      </c>
      <c r="U18" s="1298">
        <v>22</v>
      </c>
      <c r="V18" s="1298">
        <v>20</v>
      </c>
      <c r="W18" s="1298">
        <v>50</v>
      </c>
      <c r="X18" s="1298">
        <v>0</v>
      </c>
      <c r="Y18" s="1298">
        <v>50</v>
      </c>
      <c r="Z18" s="1298">
        <v>0</v>
      </c>
      <c r="AA18" s="1298">
        <v>0</v>
      </c>
      <c r="AB18" s="1298">
        <v>-2059.61</v>
      </c>
      <c r="AC18" s="1298">
        <v>0</v>
      </c>
      <c r="AD18" s="1298">
        <v>0</v>
      </c>
      <c r="AE18" s="1298">
        <v>0</v>
      </c>
      <c r="AF18" s="1298">
        <v>270.99</v>
      </c>
    </row>
    <row r="19" spans="1:32" ht="15" customHeight="1">
      <c r="A19" s="1294">
        <v>37</v>
      </c>
      <c r="B19" s="1294">
        <v>38</v>
      </c>
      <c r="C19" s="1295" t="s">
        <v>752</v>
      </c>
      <c r="D19" s="1296" t="s">
        <v>753</v>
      </c>
      <c r="E19" s="1296" t="s">
        <v>716</v>
      </c>
      <c r="F19" s="1297">
        <v>609</v>
      </c>
      <c r="G19" s="1295" t="s">
        <v>189</v>
      </c>
      <c r="H19" s="1295" t="s">
        <v>754</v>
      </c>
      <c r="I19" s="1296" t="s">
        <v>755</v>
      </c>
      <c r="J19" s="1296"/>
      <c r="K19" s="1296" t="s">
        <v>756</v>
      </c>
      <c r="L19" s="1296" t="s">
        <v>757</v>
      </c>
      <c r="M19" s="1298">
        <v>1631.6</v>
      </c>
      <c r="N19" s="1298">
        <v>0</v>
      </c>
      <c r="O19" s="1298">
        <v>0</v>
      </c>
      <c r="P19" s="1298">
        <v>64.09</v>
      </c>
      <c r="Q19" s="1298">
        <v>1493</v>
      </c>
      <c r="R19" s="1298">
        <v>1493</v>
      </c>
      <c r="S19" s="1298">
        <v>25</v>
      </c>
      <c r="T19" s="1298">
        <v>12.6</v>
      </c>
      <c r="U19" s="1298">
        <v>21</v>
      </c>
      <c r="V19" s="1298">
        <v>20</v>
      </c>
      <c r="W19" s="1298">
        <v>0</v>
      </c>
      <c r="X19" s="1298">
        <v>0</v>
      </c>
      <c r="Y19" s="1298">
        <v>0</v>
      </c>
      <c r="Z19" s="1298">
        <v>0</v>
      </c>
      <c r="AA19" s="1298">
        <v>0</v>
      </c>
      <c r="AB19" s="1298">
        <v>0</v>
      </c>
      <c r="AC19" s="1298">
        <v>0</v>
      </c>
      <c r="AD19" s="1298">
        <v>0</v>
      </c>
      <c r="AE19" s="1298">
        <v>0</v>
      </c>
      <c r="AF19" s="1298">
        <v>1571.6</v>
      </c>
    </row>
    <row r="20" spans="1:32" ht="15" customHeight="1">
      <c r="A20" s="1294">
        <v>35</v>
      </c>
      <c r="B20" s="1294">
        <v>416</v>
      </c>
      <c r="C20" s="1295" t="s">
        <v>758</v>
      </c>
      <c r="D20" s="1296" t="s">
        <v>759</v>
      </c>
      <c r="E20" s="1296" t="s">
        <v>716</v>
      </c>
      <c r="F20" s="1297">
        <v>813</v>
      </c>
      <c r="G20" s="1295" t="s">
        <v>769</v>
      </c>
      <c r="H20" s="1295" t="s">
        <v>760</v>
      </c>
      <c r="I20" s="1296" t="s">
        <v>761</v>
      </c>
      <c r="J20" s="1296" t="s">
        <v>2211</v>
      </c>
      <c r="K20" s="1296" t="s">
        <v>1275</v>
      </c>
      <c r="L20" s="1296" t="s">
        <v>767</v>
      </c>
      <c r="M20" s="1298">
        <v>2195.6</v>
      </c>
      <c r="N20" s="1298">
        <v>0</v>
      </c>
      <c r="O20" s="1298">
        <v>0</v>
      </c>
      <c r="P20" s="1298">
        <v>83.17</v>
      </c>
      <c r="Q20" s="1298">
        <v>2026</v>
      </c>
      <c r="R20" s="1298">
        <v>2026</v>
      </c>
      <c r="S20" s="1298">
        <v>30</v>
      </c>
      <c r="T20" s="1298">
        <v>12.6</v>
      </c>
      <c r="U20" s="1298">
        <v>22</v>
      </c>
      <c r="V20" s="1298">
        <v>20</v>
      </c>
      <c r="W20" s="1298">
        <v>0</v>
      </c>
      <c r="X20" s="1298">
        <v>0</v>
      </c>
      <c r="Y20" s="1298">
        <v>0</v>
      </c>
      <c r="Z20" s="1298">
        <v>0</v>
      </c>
      <c r="AA20" s="1298">
        <v>350</v>
      </c>
      <c r="AB20" s="1298">
        <v>0</v>
      </c>
      <c r="AC20" s="1298">
        <v>0</v>
      </c>
      <c r="AD20" s="1298">
        <v>0</v>
      </c>
      <c r="AE20" s="1298">
        <v>0</v>
      </c>
      <c r="AF20" s="1298">
        <v>2460.6</v>
      </c>
    </row>
    <row r="21" spans="1:32" ht="15" customHeight="1">
      <c r="A21" s="1294">
        <v>0</v>
      </c>
      <c r="B21" s="1294">
        <v>0</v>
      </c>
      <c r="C21" s="1295" t="s">
        <v>762</v>
      </c>
      <c r="D21" s="1296" t="s">
        <v>2011</v>
      </c>
      <c r="E21" s="1296" t="s">
        <v>716</v>
      </c>
      <c r="F21" s="1297">
        <v>728</v>
      </c>
      <c r="G21" s="1295" t="s">
        <v>763</v>
      </c>
      <c r="H21" s="1295" t="s">
        <v>185</v>
      </c>
      <c r="I21" s="1296"/>
      <c r="J21" s="1296"/>
      <c r="K21" s="1296"/>
      <c r="L21" s="1296"/>
      <c r="M21" s="1298">
        <v>1891.6</v>
      </c>
      <c r="N21" s="1298">
        <v>0</v>
      </c>
      <c r="O21" s="1298">
        <v>0</v>
      </c>
      <c r="P21" s="1298">
        <v>0</v>
      </c>
      <c r="Q21" s="1298">
        <v>0</v>
      </c>
      <c r="R21" s="1298">
        <v>0</v>
      </c>
      <c r="S21" s="1298">
        <v>0</v>
      </c>
      <c r="T21" s="1298">
        <v>0</v>
      </c>
      <c r="U21" s="1298">
        <v>0</v>
      </c>
      <c r="V21" s="1298">
        <v>0</v>
      </c>
      <c r="W21" s="1298">
        <v>0</v>
      </c>
      <c r="X21" s="1298">
        <v>0</v>
      </c>
      <c r="Y21" s="1298">
        <v>0</v>
      </c>
      <c r="Z21" s="1298">
        <v>0</v>
      </c>
      <c r="AA21" s="1298">
        <v>0</v>
      </c>
      <c r="AB21" s="1298">
        <v>0</v>
      </c>
      <c r="AC21" s="1298">
        <v>0</v>
      </c>
      <c r="AD21" s="1298">
        <v>0</v>
      </c>
      <c r="AE21" s="1298">
        <v>0</v>
      </c>
      <c r="AF21" s="1298">
        <v>0</v>
      </c>
    </row>
    <row r="22" spans="1:32" ht="15" customHeight="1">
      <c r="A22" s="1294">
        <v>0</v>
      </c>
      <c r="B22" s="1294">
        <v>0</v>
      </c>
      <c r="C22" s="1295" t="s">
        <v>764</v>
      </c>
      <c r="D22" s="1296" t="s">
        <v>765</v>
      </c>
      <c r="E22" s="1296" t="s">
        <v>716</v>
      </c>
      <c r="F22" s="1297">
        <v>787</v>
      </c>
      <c r="G22" s="1295" t="s">
        <v>763</v>
      </c>
      <c r="H22" s="1295" t="s">
        <v>185</v>
      </c>
      <c r="I22" s="1296"/>
      <c r="J22" s="1296"/>
      <c r="K22" s="1296"/>
      <c r="L22" s="1296"/>
      <c r="M22" s="1298">
        <v>1814.6</v>
      </c>
      <c r="N22" s="1298">
        <v>0</v>
      </c>
      <c r="O22" s="1298">
        <v>0</v>
      </c>
      <c r="P22" s="1298">
        <v>0</v>
      </c>
      <c r="Q22" s="1298">
        <v>0</v>
      </c>
      <c r="R22" s="1298">
        <v>0</v>
      </c>
      <c r="S22" s="1298">
        <v>0</v>
      </c>
      <c r="T22" s="1298">
        <v>0</v>
      </c>
      <c r="U22" s="1298">
        <v>0</v>
      </c>
      <c r="V22" s="1298">
        <v>0</v>
      </c>
      <c r="W22" s="1298">
        <v>0</v>
      </c>
      <c r="X22" s="1298">
        <v>0</v>
      </c>
      <c r="Y22" s="1298">
        <v>0</v>
      </c>
      <c r="Z22" s="1298">
        <v>0</v>
      </c>
      <c r="AA22" s="1298">
        <v>0</v>
      </c>
      <c r="AB22" s="1298">
        <v>0</v>
      </c>
      <c r="AC22" s="1298">
        <v>0</v>
      </c>
      <c r="AD22" s="1298">
        <v>0</v>
      </c>
      <c r="AE22" s="1298">
        <v>0</v>
      </c>
      <c r="AF22" s="1298">
        <v>0</v>
      </c>
    </row>
    <row r="23" spans="1:32" ht="15" customHeight="1">
      <c r="A23" s="1294">
        <v>0</v>
      </c>
      <c r="B23" s="1294">
        <v>0</v>
      </c>
      <c r="C23" s="1295" t="s">
        <v>768</v>
      </c>
      <c r="D23" s="1296" t="s">
        <v>2012</v>
      </c>
      <c r="E23" s="1296" t="s">
        <v>716</v>
      </c>
      <c r="F23" s="1297">
        <v>1037</v>
      </c>
      <c r="G23" s="1295" t="s">
        <v>763</v>
      </c>
      <c r="H23" s="1295" t="s">
        <v>185</v>
      </c>
      <c r="I23" s="1296"/>
      <c r="J23" s="1296"/>
      <c r="K23" s="1296"/>
      <c r="L23" s="1296"/>
      <c r="M23" s="1298">
        <v>1859.6</v>
      </c>
      <c r="N23" s="1298">
        <v>0</v>
      </c>
      <c r="O23" s="1298">
        <v>0</v>
      </c>
      <c r="P23" s="1298">
        <v>0</v>
      </c>
      <c r="Q23" s="1298">
        <v>0</v>
      </c>
      <c r="R23" s="1298">
        <v>0</v>
      </c>
      <c r="S23" s="1298">
        <v>0</v>
      </c>
      <c r="T23" s="1298">
        <v>0</v>
      </c>
      <c r="U23" s="1298">
        <v>0</v>
      </c>
      <c r="V23" s="1298">
        <v>0</v>
      </c>
      <c r="W23" s="1298">
        <v>0</v>
      </c>
      <c r="X23" s="1298">
        <v>0</v>
      </c>
      <c r="Y23" s="1298">
        <v>0</v>
      </c>
      <c r="Z23" s="1298">
        <v>0</v>
      </c>
      <c r="AA23" s="1298">
        <v>0</v>
      </c>
      <c r="AB23" s="1298">
        <v>0</v>
      </c>
      <c r="AC23" s="1298">
        <v>0</v>
      </c>
      <c r="AD23" s="1298">
        <v>0</v>
      </c>
      <c r="AE23" s="1298">
        <v>0</v>
      </c>
      <c r="AF23" s="1298">
        <v>0</v>
      </c>
    </row>
    <row r="24" spans="1:32" ht="15" customHeight="1">
      <c r="A24" s="1294">
        <v>0</v>
      </c>
      <c r="B24" s="1294">
        <v>0</v>
      </c>
      <c r="C24" s="1295" t="s">
        <v>771</v>
      </c>
      <c r="D24" s="1296" t="s">
        <v>772</v>
      </c>
      <c r="E24" s="1296" t="s">
        <v>716</v>
      </c>
      <c r="F24" s="1297">
        <v>937</v>
      </c>
      <c r="G24" s="1295" t="s">
        <v>763</v>
      </c>
      <c r="H24" s="1295" t="s">
        <v>185</v>
      </c>
      <c r="I24" s="1296"/>
      <c r="J24" s="1296"/>
      <c r="K24" s="1296"/>
      <c r="L24" s="1296"/>
      <c r="M24" s="1298">
        <v>1985.6</v>
      </c>
      <c r="N24" s="1298">
        <v>0</v>
      </c>
      <c r="O24" s="1298">
        <v>0</v>
      </c>
      <c r="P24" s="1298">
        <v>0</v>
      </c>
      <c r="Q24" s="1298">
        <v>0</v>
      </c>
      <c r="R24" s="1298">
        <v>0</v>
      </c>
      <c r="S24" s="1298">
        <v>0</v>
      </c>
      <c r="T24" s="1298">
        <v>0</v>
      </c>
      <c r="U24" s="1298">
        <v>0</v>
      </c>
      <c r="V24" s="1298">
        <v>0</v>
      </c>
      <c r="W24" s="1298">
        <v>0</v>
      </c>
      <c r="X24" s="1298">
        <v>0</v>
      </c>
      <c r="Y24" s="1298">
        <v>0</v>
      </c>
      <c r="Z24" s="1298">
        <v>0</v>
      </c>
      <c r="AA24" s="1298">
        <v>0</v>
      </c>
      <c r="AB24" s="1298">
        <v>0</v>
      </c>
      <c r="AC24" s="1298">
        <v>0</v>
      </c>
      <c r="AD24" s="1298">
        <v>0</v>
      </c>
      <c r="AE24" s="1298">
        <v>0</v>
      </c>
      <c r="AF24" s="1298">
        <v>0</v>
      </c>
    </row>
    <row r="25" spans="1:32" ht="15" customHeight="1">
      <c r="A25" s="1294">
        <v>0</v>
      </c>
      <c r="B25" s="1294">
        <v>0</v>
      </c>
      <c r="C25" s="1295" t="s">
        <v>774</v>
      </c>
      <c r="D25" s="1296" t="s">
        <v>775</v>
      </c>
      <c r="E25" s="1296" t="s">
        <v>716</v>
      </c>
      <c r="F25" s="1297">
        <v>1219</v>
      </c>
      <c r="G25" s="1295" t="s">
        <v>763</v>
      </c>
      <c r="H25" s="1295" t="s">
        <v>185</v>
      </c>
      <c r="I25" s="1296"/>
      <c r="J25" s="1296"/>
      <c r="K25" s="1296"/>
      <c r="L25" s="1296"/>
      <c r="M25" s="1298">
        <v>2418.6</v>
      </c>
      <c r="N25" s="1298">
        <v>0</v>
      </c>
      <c r="O25" s="1298">
        <v>0</v>
      </c>
      <c r="P25" s="1298">
        <v>0</v>
      </c>
      <c r="Q25" s="1298">
        <v>0</v>
      </c>
      <c r="R25" s="1298">
        <v>0</v>
      </c>
      <c r="S25" s="1298">
        <v>0</v>
      </c>
      <c r="T25" s="1298">
        <v>0</v>
      </c>
      <c r="U25" s="1298">
        <v>0</v>
      </c>
      <c r="V25" s="1298">
        <v>0</v>
      </c>
      <c r="W25" s="1298">
        <v>0</v>
      </c>
      <c r="X25" s="1298">
        <v>0</v>
      </c>
      <c r="Y25" s="1298">
        <v>0</v>
      </c>
      <c r="Z25" s="1298">
        <v>0</v>
      </c>
      <c r="AA25" s="1298">
        <v>0</v>
      </c>
      <c r="AB25" s="1298">
        <v>0</v>
      </c>
      <c r="AC25" s="1298">
        <v>0</v>
      </c>
      <c r="AD25" s="1298">
        <v>0</v>
      </c>
      <c r="AE25" s="1298">
        <v>0</v>
      </c>
      <c r="AF25" s="1298">
        <v>0</v>
      </c>
    </row>
    <row r="26" spans="1:32" ht="15" customHeight="1">
      <c r="A26" s="1294">
        <v>0</v>
      </c>
      <c r="B26" s="1294">
        <v>0</v>
      </c>
      <c r="C26" s="1295" t="s">
        <v>780</v>
      </c>
      <c r="D26" s="1296" t="s">
        <v>781</v>
      </c>
      <c r="E26" s="1296" t="s">
        <v>716</v>
      </c>
      <c r="F26" s="1297">
        <v>1429</v>
      </c>
      <c r="G26" s="1295" t="s">
        <v>763</v>
      </c>
      <c r="H26" s="1295" t="s">
        <v>185</v>
      </c>
      <c r="I26" s="1296"/>
      <c r="J26" s="1296"/>
      <c r="K26" s="1296"/>
      <c r="L26" s="1296"/>
      <c r="M26" s="1298">
        <v>2308.6</v>
      </c>
      <c r="N26" s="1298">
        <v>0</v>
      </c>
      <c r="O26" s="1298">
        <v>0</v>
      </c>
      <c r="P26" s="1298">
        <v>0</v>
      </c>
      <c r="Q26" s="1298">
        <v>0</v>
      </c>
      <c r="R26" s="1298">
        <v>0</v>
      </c>
      <c r="S26" s="1298">
        <v>0</v>
      </c>
      <c r="T26" s="1298">
        <v>0</v>
      </c>
      <c r="U26" s="1298">
        <v>0</v>
      </c>
      <c r="V26" s="1298">
        <v>0</v>
      </c>
      <c r="W26" s="1298">
        <v>0</v>
      </c>
      <c r="X26" s="1298">
        <v>0</v>
      </c>
      <c r="Y26" s="1298">
        <v>0</v>
      </c>
      <c r="Z26" s="1298">
        <v>0</v>
      </c>
      <c r="AA26" s="1298">
        <v>0</v>
      </c>
      <c r="AB26" s="1298">
        <v>0</v>
      </c>
      <c r="AC26" s="1298">
        <v>0</v>
      </c>
      <c r="AD26" s="1298">
        <v>0</v>
      </c>
      <c r="AE26" s="1298">
        <v>0</v>
      </c>
      <c r="AF26" s="1298">
        <v>0</v>
      </c>
    </row>
    <row r="27" spans="1:32" ht="15" customHeight="1">
      <c r="A27" s="1294">
        <v>124</v>
      </c>
      <c r="B27" s="1294">
        <v>131</v>
      </c>
      <c r="C27" s="1295" t="s">
        <v>783</v>
      </c>
      <c r="D27" s="1296" t="s">
        <v>2013</v>
      </c>
      <c r="E27" s="1296" t="s">
        <v>716</v>
      </c>
      <c r="F27" s="1297">
        <v>698</v>
      </c>
      <c r="G27" s="1295" t="s">
        <v>189</v>
      </c>
      <c r="H27" s="1295" t="s">
        <v>784</v>
      </c>
      <c r="I27" s="1296" t="s">
        <v>785</v>
      </c>
      <c r="J27" s="1296"/>
      <c r="K27" s="1296" t="s">
        <v>786</v>
      </c>
      <c r="L27" s="1296" t="s">
        <v>787</v>
      </c>
      <c r="M27" s="1298">
        <v>1806.6</v>
      </c>
      <c r="N27" s="1298">
        <v>0</v>
      </c>
      <c r="O27" s="1298">
        <v>0</v>
      </c>
      <c r="P27" s="1298">
        <v>-413.67</v>
      </c>
      <c r="Q27" s="1298">
        <v>1730</v>
      </c>
      <c r="R27" s="1298">
        <v>1730</v>
      </c>
      <c r="S27" s="1298">
        <v>25</v>
      </c>
      <c r="T27" s="1298">
        <v>12.6</v>
      </c>
      <c r="U27" s="1298">
        <v>21</v>
      </c>
      <c r="V27" s="1298">
        <v>20</v>
      </c>
      <c r="W27" s="1298">
        <v>30</v>
      </c>
      <c r="X27" s="1298">
        <v>0</v>
      </c>
      <c r="Y27" s="1298">
        <v>0</v>
      </c>
      <c r="Z27" s="1298">
        <v>0</v>
      </c>
      <c r="AA27" s="1298">
        <v>0</v>
      </c>
      <c r="AB27" s="1298">
        <v>0</v>
      </c>
      <c r="AC27" s="1298">
        <v>0</v>
      </c>
      <c r="AD27" s="1298">
        <v>0</v>
      </c>
      <c r="AE27" s="1298">
        <v>0</v>
      </c>
      <c r="AF27" s="1298">
        <v>1838.6</v>
      </c>
    </row>
    <row r="28" spans="1:32" ht="15" customHeight="1">
      <c r="A28" s="1294">
        <v>0</v>
      </c>
      <c r="B28" s="1294">
        <v>0</v>
      </c>
      <c r="C28" s="1295" t="s">
        <v>788</v>
      </c>
      <c r="D28" s="1296" t="s">
        <v>789</v>
      </c>
      <c r="E28" s="1296" t="s">
        <v>716</v>
      </c>
      <c r="F28" s="1297">
        <v>645</v>
      </c>
      <c r="G28" s="1295" t="s">
        <v>763</v>
      </c>
      <c r="H28" s="1295" t="s">
        <v>185</v>
      </c>
      <c r="I28" s="1296"/>
      <c r="J28" s="1296"/>
      <c r="K28" s="1296"/>
      <c r="L28" s="1296"/>
      <c r="M28" s="1298">
        <v>1636.6</v>
      </c>
      <c r="N28" s="1298">
        <v>0</v>
      </c>
      <c r="O28" s="1298">
        <v>0</v>
      </c>
      <c r="P28" s="1298">
        <v>0</v>
      </c>
      <c r="Q28" s="1298">
        <v>0</v>
      </c>
      <c r="R28" s="1298">
        <v>0</v>
      </c>
      <c r="S28" s="1298">
        <v>0</v>
      </c>
      <c r="T28" s="1298">
        <v>0</v>
      </c>
      <c r="U28" s="1298">
        <v>0</v>
      </c>
      <c r="V28" s="1298">
        <v>0</v>
      </c>
      <c r="W28" s="1298">
        <v>0</v>
      </c>
      <c r="X28" s="1298">
        <v>0</v>
      </c>
      <c r="Y28" s="1298">
        <v>0</v>
      </c>
      <c r="Z28" s="1298">
        <v>0</v>
      </c>
      <c r="AA28" s="1298">
        <v>0</v>
      </c>
      <c r="AB28" s="1298">
        <v>0</v>
      </c>
      <c r="AC28" s="1298">
        <v>0</v>
      </c>
      <c r="AD28" s="1298">
        <v>0</v>
      </c>
      <c r="AE28" s="1298">
        <v>0</v>
      </c>
      <c r="AF28" s="1298">
        <v>0</v>
      </c>
    </row>
    <row r="29" spans="1:32" ht="15" customHeight="1">
      <c r="A29" s="1294">
        <v>402</v>
      </c>
      <c r="B29" s="1294">
        <v>582</v>
      </c>
      <c r="C29" s="1295" t="s">
        <v>790</v>
      </c>
      <c r="D29" s="1296" t="s">
        <v>2013</v>
      </c>
      <c r="E29" s="1296" t="s">
        <v>716</v>
      </c>
      <c r="F29" s="1297">
        <v>698</v>
      </c>
      <c r="G29" s="1295" t="s">
        <v>189</v>
      </c>
      <c r="H29" s="1295" t="s">
        <v>841</v>
      </c>
      <c r="I29" s="1296" t="s">
        <v>2014</v>
      </c>
      <c r="J29" s="1296"/>
      <c r="K29" s="1296" t="s">
        <v>2014</v>
      </c>
      <c r="L29" s="1296" t="s">
        <v>2015</v>
      </c>
      <c r="M29" s="1298">
        <v>2031.6</v>
      </c>
      <c r="N29" s="1298">
        <v>0</v>
      </c>
      <c r="O29" s="1298">
        <v>0</v>
      </c>
      <c r="P29" s="1298">
        <v>-1871.16</v>
      </c>
      <c r="Q29" s="1298">
        <v>0</v>
      </c>
      <c r="R29" s="1298">
        <v>0</v>
      </c>
      <c r="S29" s="1298">
        <v>0</v>
      </c>
      <c r="T29" s="1298">
        <v>0</v>
      </c>
      <c r="U29" s="1298">
        <v>0</v>
      </c>
      <c r="V29" s="1298">
        <v>0</v>
      </c>
      <c r="W29" s="1298">
        <v>0</v>
      </c>
      <c r="X29" s="1298">
        <v>0</v>
      </c>
      <c r="Y29" s="1298">
        <v>0</v>
      </c>
      <c r="Z29" s="1298">
        <v>0</v>
      </c>
      <c r="AA29" s="1298">
        <v>0</v>
      </c>
      <c r="AB29" s="1298">
        <v>0</v>
      </c>
      <c r="AC29" s="1298">
        <v>0</v>
      </c>
      <c r="AD29" s="1298">
        <v>0</v>
      </c>
      <c r="AE29" s="1298">
        <v>-1897</v>
      </c>
      <c r="AF29" s="1298">
        <v>-1897</v>
      </c>
    </row>
    <row r="30" spans="1:32" ht="15" customHeight="1">
      <c r="A30" s="1294">
        <v>0</v>
      </c>
      <c r="B30" s="1294">
        <v>0</v>
      </c>
      <c r="C30" s="1295" t="s">
        <v>794</v>
      </c>
      <c r="D30" s="1296" t="s">
        <v>795</v>
      </c>
      <c r="E30" s="1296" t="s">
        <v>716</v>
      </c>
      <c r="F30" s="1297">
        <v>731</v>
      </c>
      <c r="G30" s="1295" t="s">
        <v>763</v>
      </c>
      <c r="H30" s="1295" t="s">
        <v>185</v>
      </c>
      <c r="I30" s="1296"/>
      <c r="J30" s="1296"/>
      <c r="K30" s="1296"/>
      <c r="L30" s="1296"/>
      <c r="M30" s="1298">
        <v>1756.6</v>
      </c>
      <c r="N30" s="1298">
        <v>0</v>
      </c>
      <c r="O30" s="1298">
        <v>0</v>
      </c>
      <c r="P30" s="1298">
        <v>0</v>
      </c>
      <c r="Q30" s="1298">
        <v>0</v>
      </c>
      <c r="R30" s="1298">
        <v>0</v>
      </c>
      <c r="S30" s="1298">
        <v>0</v>
      </c>
      <c r="T30" s="1298">
        <v>0</v>
      </c>
      <c r="U30" s="1298">
        <v>0</v>
      </c>
      <c r="V30" s="1298">
        <v>0</v>
      </c>
      <c r="W30" s="1298">
        <v>0</v>
      </c>
      <c r="X30" s="1298">
        <v>0</v>
      </c>
      <c r="Y30" s="1298">
        <v>0</v>
      </c>
      <c r="Z30" s="1298">
        <v>0</v>
      </c>
      <c r="AA30" s="1298">
        <v>0</v>
      </c>
      <c r="AB30" s="1298">
        <v>0</v>
      </c>
      <c r="AC30" s="1298">
        <v>0</v>
      </c>
      <c r="AD30" s="1298">
        <v>0</v>
      </c>
      <c r="AE30" s="1298">
        <v>0</v>
      </c>
      <c r="AF30" s="1298">
        <v>0</v>
      </c>
    </row>
    <row r="31" spans="1:32" ht="15" customHeight="1">
      <c r="A31" s="1294">
        <v>326</v>
      </c>
      <c r="B31" s="1294">
        <v>353</v>
      </c>
      <c r="C31" s="1295" t="s">
        <v>798</v>
      </c>
      <c r="D31" s="1296" t="s">
        <v>799</v>
      </c>
      <c r="E31" s="1296" t="s">
        <v>716</v>
      </c>
      <c r="F31" s="1297">
        <v>1399</v>
      </c>
      <c r="G31" s="1295" t="s">
        <v>189</v>
      </c>
      <c r="H31" s="1295" t="s">
        <v>800</v>
      </c>
      <c r="I31" s="1296" t="s">
        <v>801</v>
      </c>
      <c r="J31" s="1296"/>
      <c r="K31" s="1296" t="s">
        <v>801</v>
      </c>
      <c r="L31" s="1296" t="s">
        <v>802</v>
      </c>
      <c r="M31" s="1298">
        <v>2713.6</v>
      </c>
      <c r="N31" s="1298">
        <v>0</v>
      </c>
      <c r="O31" s="1298">
        <v>0</v>
      </c>
      <c r="P31" s="1298">
        <v>93.47</v>
      </c>
      <c r="Q31" s="1298">
        <v>2579</v>
      </c>
      <c r="R31" s="1298">
        <v>2579</v>
      </c>
      <c r="S31" s="1298">
        <v>25</v>
      </c>
      <c r="T31" s="1298">
        <v>12.6</v>
      </c>
      <c r="U31" s="1298">
        <v>0</v>
      </c>
      <c r="V31" s="1298">
        <v>0</v>
      </c>
      <c r="W31" s="1298">
        <v>25</v>
      </c>
      <c r="X31" s="1298">
        <v>0</v>
      </c>
      <c r="Y31" s="1298">
        <v>0</v>
      </c>
      <c r="Z31" s="1298">
        <v>0</v>
      </c>
      <c r="AA31" s="1298">
        <v>0</v>
      </c>
      <c r="AB31" s="1298">
        <v>0</v>
      </c>
      <c r="AC31" s="1298">
        <v>0</v>
      </c>
      <c r="AD31" s="1298">
        <v>0</v>
      </c>
      <c r="AE31" s="1298">
        <v>0</v>
      </c>
      <c r="AF31" s="1298">
        <v>2641.6</v>
      </c>
    </row>
    <row r="32" spans="1:32" ht="15" customHeight="1">
      <c r="A32" s="1294">
        <v>208</v>
      </c>
      <c r="B32" s="1294">
        <v>226</v>
      </c>
      <c r="C32" s="1295" t="s">
        <v>803</v>
      </c>
      <c r="D32" s="1296" t="s">
        <v>804</v>
      </c>
      <c r="E32" s="1296" t="s">
        <v>716</v>
      </c>
      <c r="F32" s="1297">
        <v>570</v>
      </c>
      <c r="G32" s="1295" t="s">
        <v>189</v>
      </c>
      <c r="H32" s="1295" t="s">
        <v>805</v>
      </c>
      <c r="I32" s="1296" t="s">
        <v>806</v>
      </c>
      <c r="J32" s="1296"/>
      <c r="K32" s="1296" t="s">
        <v>807</v>
      </c>
      <c r="L32" s="1296" t="s">
        <v>808</v>
      </c>
      <c r="M32" s="1298">
        <v>1576.6</v>
      </c>
      <c r="N32" s="1298">
        <v>0</v>
      </c>
      <c r="O32" s="1298">
        <v>0</v>
      </c>
      <c r="P32" s="1298">
        <v>79.92</v>
      </c>
      <c r="Q32" s="1298">
        <v>1457</v>
      </c>
      <c r="R32" s="1298">
        <v>1457</v>
      </c>
      <c r="S32" s="1298">
        <v>25</v>
      </c>
      <c r="T32" s="1298">
        <v>11.5</v>
      </c>
      <c r="U32" s="1298">
        <v>17</v>
      </c>
      <c r="V32" s="1298">
        <v>20</v>
      </c>
      <c r="W32" s="1298">
        <v>0</v>
      </c>
      <c r="X32" s="1298">
        <v>0</v>
      </c>
      <c r="Y32" s="1298">
        <v>0</v>
      </c>
      <c r="Z32" s="1298">
        <v>0</v>
      </c>
      <c r="AA32" s="1298">
        <v>0</v>
      </c>
      <c r="AB32" s="1298">
        <v>0</v>
      </c>
      <c r="AC32" s="1298">
        <v>0</v>
      </c>
      <c r="AD32" s="1298">
        <v>0</v>
      </c>
      <c r="AE32" s="1298">
        <v>0</v>
      </c>
      <c r="AF32" s="1298">
        <v>1530.5</v>
      </c>
    </row>
    <row r="33" spans="1:32" ht="15" customHeight="1">
      <c r="A33" s="1294">
        <v>231</v>
      </c>
      <c r="B33" s="1294">
        <v>257</v>
      </c>
      <c r="C33" s="1295" t="s">
        <v>809</v>
      </c>
      <c r="D33" s="1296" t="s">
        <v>795</v>
      </c>
      <c r="E33" s="1296" t="s">
        <v>716</v>
      </c>
      <c r="F33" s="1297">
        <v>731</v>
      </c>
      <c r="G33" s="1295" t="s">
        <v>189</v>
      </c>
      <c r="H33" s="1295" t="s">
        <v>810</v>
      </c>
      <c r="I33" s="1296" t="s">
        <v>811</v>
      </c>
      <c r="J33" s="1296"/>
      <c r="K33" s="1296" t="s">
        <v>812</v>
      </c>
      <c r="L33" s="1296" t="s">
        <v>813</v>
      </c>
      <c r="M33" s="1298">
        <v>1771.6</v>
      </c>
      <c r="N33" s="1298">
        <v>0</v>
      </c>
      <c r="O33" s="1298">
        <v>0</v>
      </c>
      <c r="P33" s="1298">
        <v>-1756.2</v>
      </c>
      <c r="Q33" s="1298">
        <v>1686</v>
      </c>
      <c r="R33" s="1298">
        <v>1686</v>
      </c>
      <c r="S33" s="1298">
        <v>25</v>
      </c>
      <c r="T33" s="1298">
        <v>12.6</v>
      </c>
      <c r="U33" s="1298">
        <v>21</v>
      </c>
      <c r="V33" s="1298">
        <v>20</v>
      </c>
      <c r="W33" s="1298">
        <v>0</v>
      </c>
      <c r="X33" s="1298">
        <v>0</v>
      </c>
      <c r="Y33" s="1298">
        <v>0</v>
      </c>
      <c r="Z33" s="1298">
        <v>0</v>
      </c>
      <c r="AA33" s="1298">
        <v>0</v>
      </c>
      <c r="AB33" s="1298">
        <v>0</v>
      </c>
      <c r="AC33" s="1298">
        <v>0</v>
      </c>
      <c r="AD33" s="1298">
        <v>0</v>
      </c>
      <c r="AE33" s="1298">
        <v>0</v>
      </c>
      <c r="AF33" s="1298">
        <v>1764.6</v>
      </c>
    </row>
    <row r="34" spans="1:32" ht="15" customHeight="1">
      <c r="A34" s="1294">
        <v>286</v>
      </c>
      <c r="B34" s="1294">
        <v>613</v>
      </c>
      <c r="C34" s="1295" t="s">
        <v>814</v>
      </c>
      <c r="D34" s="1296" t="s">
        <v>815</v>
      </c>
      <c r="E34" s="1296" t="s">
        <v>716</v>
      </c>
      <c r="F34" s="1297">
        <v>698</v>
      </c>
      <c r="G34" s="1295" t="s">
        <v>189</v>
      </c>
      <c r="H34" s="1295" t="s">
        <v>816</v>
      </c>
      <c r="I34" s="1296" t="s">
        <v>817</v>
      </c>
      <c r="J34" s="1296"/>
      <c r="K34" s="1296" t="s">
        <v>2016</v>
      </c>
      <c r="L34" s="1296" t="s">
        <v>735</v>
      </c>
      <c r="M34" s="1298">
        <v>1806.6</v>
      </c>
      <c r="N34" s="1298">
        <v>0</v>
      </c>
      <c r="O34" s="1298">
        <v>0</v>
      </c>
      <c r="P34" s="1298">
        <v>28.32</v>
      </c>
      <c r="Q34" s="1298">
        <v>1822</v>
      </c>
      <c r="R34" s="1298">
        <v>1822</v>
      </c>
      <c r="S34" s="1298">
        <v>30</v>
      </c>
      <c r="T34" s="1298">
        <v>12.6</v>
      </c>
      <c r="U34" s="1298">
        <v>22</v>
      </c>
      <c r="V34" s="1298">
        <v>20</v>
      </c>
      <c r="W34" s="1298">
        <v>30</v>
      </c>
      <c r="X34" s="1298">
        <v>0</v>
      </c>
      <c r="Y34" s="1298">
        <v>0</v>
      </c>
      <c r="Z34" s="1298">
        <v>0</v>
      </c>
      <c r="AA34" s="1298">
        <v>0</v>
      </c>
      <c r="AB34" s="1298">
        <v>0</v>
      </c>
      <c r="AC34" s="1298">
        <v>0</v>
      </c>
      <c r="AD34" s="1298">
        <v>0</v>
      </c>
      <c r="AE34" s="1298">
        <v>0</v>
      </c>
      <c r="AF34" s="1298">
        <v>1936.6</v>
      </c>
    </row>
    <row r="35" spans="1:32" ht="15" customHeight="1">
      <c r="A35" s="1294">
        <v>396</v>
      </c>
      <c r="B35" s="1294">
        <v>566</v>
      </c>
      <c r="C35" s="1295" t="s">
        <v>818</v>
      </c>
      <c r="D35" s="1296" t="s">
        <v>815</v>
      </c>
      <c r="E35" s="1296" t="s">
        <v>716</v>
      </c>
      <c r="F35" s="1297">
        <v>698</v>
      </c>
      <c r="G35" s="1295" t="s">
        <v>189</v>
      </c>
      <c r="H35" s="1295" t="s">
        <v>2017</v>
      </c>
      <c r="I35" s="1296" t="s">
        <v>2018</v>
      </c>
      <c r="J35" s="1296"/>
      <c r="K35" s="1296" t="s">
        <v>2018</v>
      </c>
      <c r="L35" s="1296" t="s">
        <v>2019</v>
      </c>
      <c r="M35" s="1298">
        <v>1656.6</v>
      </c>
      <c r="N35" s="1298">
        <v>250</v>
      </c>
      <c r="O35" s="1298">
        <v>250</v>
      </c>
      <c r="P35" s="1298">
        <v>46.94</v>
      </c>
      <c r="Q35" s="1298">
        <v>1522</v>
      </c>
      <c r="R35" s="1298">
        <v>1522</v>
      </c>
      <c r="S35" s="1298">
        <v>30</v>
      </c>
      <c r="T35" s="1298">
        <v>12.6</v>
      </c>
      <c r="U35" s="1298">
        <v>22</v>
      </c>
      <c r="V35" s="1298">
        <v>0</v>
      </c>
      <c r="W35" s="1298">
        <v>0</v>
      </c>
      <c r="X35" s="1298">
        <v>0</v>
      </c>
      <c r="Y35" s="1298">
        <v>0</v>
      </c>
      <c r="Z35" s="1298">
        <v>0</v>
      </c>
      <c r="AA35" s="1298">
        <v>0</v>
      </c>
      <c r="AB35" s="1298">
        <v>0</v>
      </c>
      <c r="AC35" s="1298">
        <v>0</v>
      </c>
      <c r="AD35" s="1298">
        <v>0</v>
      </c>
      <c r="AE35" s="1298">
        <v>0</v>
      </c>
      <c r="AF35" s="1298">
        <v>1586.6</v>
      </c>
    </row>
    <row r="36" spans="1:32" ht="15" customHeight="1">
      <c r="A36" s="1294">
        <v>27</v>
      </c>
      <c r="B36" s="1294">
        <v>530</v>
      </c>
      <c r="C36" s="1295" t="s">
        <v>822</v>
      </c>
      <c r="D36" s="1296" t="s">
        <v>727</v>
      </c>
      <c r="E36" s="1296" t="s">
        <v>716</v>
      </c>
      <c r="F36" s="1297">
        <v>1000</v>
      </c>
      <c r="G36" s="1295" t="s">
        <v>189</v>
      </c>
      <c r="H36" s="1295" t="s">
        <v>823</v>
      </c>
      <c r="I36" s="1296" t="s">
        <v>824</v>
      </c>
      <c r="J36" s="1296"/>
      <c r="K36" s="1296" t="s">
        <v>1858</v>
      </c>
      <c r="L36" s="1296" t="s">
        <v>1848</v>
      </c>
      <c r="M36" s="1298">
        <v>2070.6</v>
      </c>
      <c r="N36" s="1298">
        <v>350</v>
      </c>
      <c r="O36" s="1298">
        <v>350</v>
      </c>
      <c r="P36" s="1298">
        <v>42.34</v>
      </c>
      <c r="Q36" s="1298">
        <v>2024</v>
      </c>
      <c r="R36" s="1298">
        <v>2024</v>
      </c>
      <c r="S36" s="1298">
        <v>30</v>
      </c>
      <c r="T36" s="1298">
        <v>12.6</v>
      </c>
      <c r="U36" s="1298">
        <v>22</v>
      </c>
      <c r="V36" s="1298">
        <v>20</v>
      </c>
      <c r="W36" s="1298">
        <v>25</v>
      </c>
      <c r="X36" s="1298">
        <v>35</v>
      </c>
      <c r="Y36" s="1298">
        <v>0</v>
      </c>
      <c r="Z36" s="1298">
        <v>0</v>
      </c>
      <c r="AA36" s="1298">
        <v>0</v>
      </c>
      <c r="AB36" s="1298">
        <v>0</v>
      </c>
      <c r="AC36" s="1298">
        <v>0</v>
      </c>
      <c r="AD36" s="1298">
        <v>0</v>
      </c>
      <c r="AE36" s="1298">
        <v>0</v>
      </c>
      <c r="AF36" s="1298">
        <v>2168.6</v>
      </c>
    </row>
    <row r="37" spans="1:32" ht="15" customHeight="1">
      <c r="A37" s="1294">
        <v>250</v>
      </c>
      <c r="B37" s="1294">
        <v>546</v>
      </c>
      <c r="C37" s="1295" t="s">
        <v>825</v>
      </c>
      <c r="D37" s="1296" t="s">
        <v>815</v>
      </c>
      <c r="E37" s="1296" t="s">
        <v>716</v>
      </c>
      <c r="F37" s="1297">
        <v>698</v>
      </c>
      <c r="G37" s="1295" t="s">
        <v>189</v>
      </c>
      <c r="H37" s="1295" t="s">
        <v>826</v>
      </c>
      <c r="I37" s="1296" t="s">
        <v>827</v>
      </c>
      <c r="J37" s="1296"/>
      <c r="K37" s="1296" t="s">
        <v>1007</v>
      </c>
      <c r="L37" s="1296" t="s">
        <v>2020</v>
      </c>
      <c r="M37" s="1298">
        <v>1806.6</v>
      </c>
      <c r="N37" s="1298">
        <v>0</v>
      </c>
      <c r="O37" s="1298">
        <v>0</v>
      </c>
      <c r="P37" s="1298">
        <v>96.57</v>
      </c>
      <c r="Q37" s="1298">
        <v>1722</v>
      </c>
      <c r="R37" s="1298">
        <v>1722</v>
      </c>
      <c r="S37" s="1298">
        <v>30</v>
      </c>
      <c r="T37" s="1298">
        <v>12.6</v>
      </c>
      <c r="U37" s="1298">
        <v>22</v>
      </c>
      <c r="V37" s="1298">
        <v>20</v>
      </c>
      <c r="W37" s="1298">
        <v>30</v>
      </c>
      <c r="X37" s="1298">
        <v>35</v>
      </c>
      <c r="Y37" s="1298">
        <v>0</v>
      </c>
      <c r="Z37" s="1298">
        <v>0</v>
      </c>
      <c r="AA37" s="1298">
        <v>0</v>
      </c>
      <c r="AB37" s="1298">
        <v>0</v>
      </c>
      <c r="AC37" s="1298">
        <v>0</v>
      </c>
      <c r="AD37" s="1298">
        <v>0</v>
      </c>
      <c r="AE37" s="1298">
        <v>0</v>
      </c>
      <c r="AF37" s="1298">
        <v>1871.6</v>
      </c>
    </row>
    <row r="38" spans="1:32" ht="15" customHeight="1">
      <c r="A38" s="1294">
        <v>225</v>
      </c>
      <c r="B38" s="1294">
        <v>247</v>
      </c>
      <c r="C38" s="1295" t="s">
        <v>829</v>
      </c>
      <c r="D38" s="1296" t="s">
        <v>830</v>
      </c>
      <c r="E38" s="1296" t="s">
        <v>716</v>
      </c>
      <c r="F38" s="1297">
        <v>934</v>
      </c>
      <c r="G38" s="1295" t="s">
        <v>189</v>
      </c>
      <c r="H38" s="1295" t="s">
        <v>831</v>
      </c>
      <c r="I38" s="1296" t="s">
        <v>832</v>
      </c>
      <c r="J38" s="1296"/>
      <c r="K38" s="1296" t="s">
        <v>833</v>
      </c>
      <c r="L38" s="1296" t="s">
        <v>834</v>
      </c>
      <c r="M38" s="1298">
        <v>2065.6</v>
      </c>
      <c r="N38" s="1298">
        <v>1756</v>
      </c>
      <c r="O38" s="1298">
        <v>1756</v>
      </c>
      <c r="P38" s="1298">
        <v>101.54</v>
      </c>
      <c r="Q38" s="1298">
        <v>1896</v>
      </c>
      <c r="R38" s="1298">
        <v>1896</v>
      </c>
      <c r="S38" s="1298">
        <v>25</v>
      </c>
      <c r="T38" s="1298">
        <v>12.6</v>
      </c>
      <c r="U38" s="1298">
        <v>21</v>
      </c>
      <c r="V38" s="1298">
        <v>20</v>
      </c>
      <c r="W38" s="1298">
        <v>0</v>
      </c>
      <c r="X38" s="1298">
        <v>35</v>
      </c>
      <c r="Y38" s="1298">
        <v>0</v>
      </c>
      <c r="Z38" s="1298">
        <v>0</v>
      </c>
      <c r="AA38" s="1298">
        <v>0</v>
      </c>
      <c r="AB38" s="1298">
        <v>0</v>
      </c>
      <c r="AC38" s="1298">
        <v>0</v>
      </c>
      <c r="AD38" s="1298">
        <v>0</v>
      </c>
      <c r="AE38" s="1298">
        <v>0</v>
      </c>
      <c r="AF38" s="1298">
        <v>2009.6</v>
      </c>
    </row>
    <row r="39" spans="1:32" ht="15" customHeight="1">
      <c r="A39" s="1294">
        <v>84</v>
      </c>
      <c r="B39" s="1294">
        <v>88</v>
      </c>
      <c r="C39" s="1295" t="s">
        <v>835</v>
      </c>
      <c r="D39" s="1296" t="s">
        <v>772</v>
      </c>
      <c r="E39" s="1296" t="s">
        <v>716</v>
      </c>
      <c r="F39" s="1297">
        <v>937</v>
      </c>
      <c r="G39" s="1295" t="s">
        <v>189</v>
      </c>
      <c r="H39" s="1295" t="s">
        <v>836</v>
      </c>
      <c r="I39" s="1296" t="s">
        <v>837</v>
      </c>
      <c r="J39" s="1296"/>
      <c r="K39" s="1296" t="s">
        <v>838</v>
      </c>
      <c r="L39" s="1296" t="s">
        <v>787</v>
      </c>
      <c r="M39" s="1298">
        <v>1985.6</v>
      </c>
      <c r="N39" s="1298">
        <v>0</v>
      </c>
      <c r="O39" s="1298">
        <v>0</v>
      </c>
      <c r="P39" s="1298">
        <v>63.07</v>
      </c>
      <c r="Q39" s="1298">
        <v>1793</v>
      </c>
      <c r="R39" s="1298">
        <v>1793</v>
      </c>
      <c r="S39" s="1298">
        <v>25</v>
      </c>
      <c r="T39" s="1298">
        <v>12.6</v>
      </c>
      <c r="U39" s="1298">
        <v>20</v>
      </c>
      <c r="V39" s="1298">
        <v>20</v>
      </c>
      <c r="W39" s="1298">
        <v>0</v>
      </c>
      <c r="X39" s="1298">
        <v>35</v>
      </c>
      <c r="Y39" s="1298">
        <v>0</v>
      </c>
      <c r="Z39" s="1298">
        <v>0</v>
      </c>
      <c r="AA39" s="1298">
        <v>0</v>
      </c>
      <c r="AB39" s="1298">
        <v>0</v>
      </c>
      <c r="AC39" s="1298">
        <v>0</v>
      </c>
      <c r="AD39" s="1298">
        <v>0</v>
      </c>
      <c r="AE39" s="1298">
        <v>0</v>
      </c>
      <c r="AF39" s="1298">
        <v>1905.6</v>
      </c>
    </row>
    <row r="40" spans="1:32" ht="15" customHeight="1">
      <c r="A40" s="1294">
        <v>380</v>
      </c>
      <c r="B40" s="1294">
        <v>534</v>
      </c>
      <c r="C40" s="1295" t="s">
        <v>839</v>
      </c>
      <c r="D40" s="1296" t="s">
        <v>840</v>
      </c>
      <c r="E40" s="1296" t="s">
        <v>716</v>
      </c>
      <c r="F40" s="1297">
        <v>1235</v>
      </c>
      <c r="G40" s="1295" t="s">
        <v>189</v>
      </c>
      <c r="H40" s="1295" t="s">
        <v>2021</v>
      </c>
      <c r="I40" s="1296" t="s">
        <v>739</v>
      </c>
      <c r="J40" s="1296"/>
      <c r="K40" s="1296" t="s">
        <v>739</v>
      </c>
      <c r="L40" s="1296" t="s">
        <v>2022</v>
      </c>
      <c r="M40" s="1298">
        <v>2493.6</v>
      </c>
      <c r="N40" s="1298">
        <v>250</v>
      </c>
      <c r="O40" s="1298">
        <v>250</v>
      </c>
      <c r="P40" s="1298">
        <v>0</v>
      </c>
      <c r="Q40" s="1298">
        <v>2359</v>
      </c>
      <c r="R40" s="1298">
        <v>2359</v>
      </c>
      <c r="S40" s="1298">
        <v>30</v>
      </c>
      <c r="T40" s="1298">
        <v>12.6</v>
      </c>
      <c r="U40" s="1298">
        <v>22</v>
      </c>
      <c r="V40" s="1298">
        <v>0</v>
      </c>
      <c r="W40" s="1298">
        <v>0</v>
      </c>
      <c r="X40" s="1298">
        <v>0</v>
      </c>
      <c r="Y40" s="1298">
        <v>0</v>
      </c>
      <c r="Z40" s="1298">
        <v>0</v>
      </c>
      <c r="AA40" s="1298">
        <v>0</v>
      </c>
      <c r="AB40" s="1298">
        <v>0</v>
      </c>
      <c r="AC40" s="1298">
        <v>0</v>
      </c>
      <c r="AD40" s="1298">
        <v>0</v>
      </c>
      <c r="AE40" s="1298">
        <v>0</v>
      </c>
      <c r="AF40" s="1298">
        <v>2423.6</v>
      </c>
    </row>
    <row r="41" spans="1:32" ht="15" customHeight="1">
      <c r="A41" s="1294">
        <v>421</v>
      </c>
      <c r="B41" s="1294">
        <v>674</v>
      </c>
      <c r="C41" s="1295" t="s">
        <v>844</v>
      </c>
      <c r="D41" s="1296" t="s">
        <v>840</v>
      </c>
      <c r="E41" s="1296" t="s">
        <v>716</v>
      </c>
      <c r="F41" s="1297">
        <v>1235</v>
      </c>
      <c r="G41" s="1295" t="s">
        <v>189</v>
      </c>
      <c r="H41" s="1295" t="s">
        <v>2212</v>
      </c>
      <c r="I41" s="1296" t="s">
        <v>1072</v>
      </c>
      <c r="J41" s="1296"/>
      <c r="K41" s="1296" t="s">
        <v>1072</v>
      </c>
      <c r="L41" s="1296" t="s">
        <v>2213</v>
      </c>
      <c r="M41" s="1298">
        <v>2718.6</v>
      </c>
      <c r="N41" s="1298">
        <v>500</v>
      </c>
      <c r="O41" s="1298">
        <v>500</v>
      </c>
      <c r="P41" s="1298">
        <v>-2432.3000000000002</v>
      </c>
      <c r="Q41" s="1298">
        <v>2159</v>
      </c>
      <c r="R41" s="1298">
        <v>2159</v>
      </c>
      <c r="S41" s="1298">
        <v>30</v>
      </c>
      <c r="T41" s="1298">
        <v>12.6</v>
      </c>
      <c r="U41" s="1298">
        <v>22</v>
      </c>
      <c r="V41" s="1298">
        <v>20</v>
      </c>
      <c r="W41" s="1298">
        <v>0</v>
      </c>
      <c r="X41" s="1298">
        <v>0</v>
      </c>
      <c r="Y41" s="1298">
        <v>50</v>
      </c>
      <c r="Z41" s="1298">
        <v>0</v>
      </c>
      <c r="AA41" s="1298">
        <v>0</v>
      </c>
      <c r="AB41" s="1298">
        <v>0</v>
      </c>
      <c r="AC41" s="1298">
        <v>0</v>
      </c>
      <c r="AD41" s="1298">
        <v>0</v>
      </c>
      <c r="AE41" s="1298">
        <v>0</v>
      </c>
      <c r="AF41" s="1298">
        <v>2293.6</v>
      </c>
    </row>
    <row r="42" spans="1:32" ht="15" customHeight="1">
      <c r="A42" s="1294">
        <v>185</v>
      </c>
      <c r="B42" s="1294">
        <v>199</v>
      </c>
      <c r="C42" s="1295" t="s">
        <v>844</v>
      </c>
      <c r="D42" s="1296" t="s">
        <v>840</v>
      </c>
      <c r="E42" s="1296" t="s">
        <v>716</v>
      </c>
      <c r="F42" s="1297">
        <v>1235</v>
      </c>
      <c r="G42" s="1295" t="s">
        <v>2135</v>
      </c>
      <c r="H42" s="1295" t="s">
        <v>2214</v>
      </c>
      <c r="I42" s="1296" t="s">
        <v>2215</v>
      </c>
      <c r="J42" s="1296" t="s">
        <v>1495</v>
      </c>
      <c r="K42" s="1296" t="s">
        <v>2216</v>
      </c>
      <c r="L42" s="1296" t="s">
        <v>845</v>
      </c>
      <c r="M42" s="1298">
        <v>0</v>
      </c>
      <c r="N42" s="1298">
        <v>0</v>
      </c>
      <c r="O42" s="1298">
        <v>0</v>
      </c>
      <c r="P42" s="1298">
        <v>-48.54</v>
      </c>
      <c r="Q42" s="1298">
        <v>2323</v>
      </c>
      <c r="R42" s="1298">
        <v>2323</v>
      </c>
      <c r="S42" s="1298">
        <v>25</v>
      </c>
      <c r="T42" s="1298">
        <v>12.6</v>
      </c>
      <c r="U42" s="1298">
        <v>17</v>
      </c>
      <c r="V42" s="1298">
        <v>20</v>
      </c>
      <c r="W42" s="1298">
        <v>0</v>
      </c>
      <c r="X42" s="1298">
        <v>0</v>
      </c>
      <c r="Y42" s="1298">
        <v>0</v>
      </c>
      <c r="Z42" s="1298">
        <v>0</v>
      </c>
      <c r="AA42" s="1298">
        <v>0</v>
      </c>
      <c r="AB42" s="1298">
        <v>0</v>
      </c>
      <c r="AC42" s="1298">
        <v>0</v>
      </c>
      <c r="AD42" s="1298">
        <v>0</v>
      </c>
      <c r="AE42" s="1298">
        <v>0</v>
      </c>
      <c r="AF42" s="1298">
        <v>2397.6</v>
      </c>
    </row>
    <row r="43" spans="1:32" ht="15" customHeight="1">
      <c r="A43" s="1294">
        <v>207</v>
      </c>
      <c r="B43" s="1294">
        <v>225</v>
      </c>
      <c r="C43" s="1295" t="s">
        <v>846</v>
      </c>
      <c r="D43" s="1296" t="s">
        <v>772</v>
      </c>
      <c r="E43" s="1296" t="s">
        <v>716</v>
      </c>
      <c r="F43" s="1297">
        <v>937</v>
      </c>
      <c r="G43" s="1295" t="s">
        <v>189</v>
      </c>
      <c r="H43" s="1295" t="s">
        <v>847</v>
      </c>
      <c r="I43" s="1296" t="s">
        <v>848</v>
      </c>
      <c r="J43" s="1296"/>
      <c r="K43" s="1296" t="s">
        <v>849</v>
      </c>
      <c r="L43" s="1296" t="s">
        <v>850</v>
      </c>
      <c r="M43" s="1298">
        <v>2000.6</v>
      </c>
      <c r="N43" s="1298">
        <v>0</v>
      </c>
      <c r="O43" s="1298">
        <v>0</v>
      </c>
      <c r="P43" s="1298">
        <v>24.83</v>
      </c>
      <c r="Q43" s="1298">
        <v>1851</v>
      </c>
      <c r="R43" s="1298">
        <v>1851</v>
      </c>
      <c r="S43" s="1298">
        <v>25</v>
      </c>
      <c r="T43" s="1298">
        <v>12.6</v>
      </c>
      <c r="U43" s="1298">
        <v>21</v>
      </c>
      <c r="V43" s="1298">
        <v>20</v>
      </c>
      <c r="W43" s="1298">
        <v>0</v>
      </c>
      <c r="X43" s="1298">
        <v>0</v>
      </c>
      <c r="Y43" s="1298">
        <v>0</v>
      </c>
      <c r="Z43" s="1298">
        <v>0</v>
      </c>
      <c r="AA43" s="1298">
        <v>0</v>
      </c>
      <c r="AB43" s="1298">
        <v>0</v>
      </c>
      <c r="AC43" s="1298">
        <v>0</v>
      </c>
      <c r="AD43" s="1298">
        <v>0</v>
      </c>
      <c r="AE43" s="1298">
        <v>0</v>
      </c>
      <c r="AF43" s="1298">
        <v>1929.6</v>
      </c>
    </row>
    <row r="44" spans="1:32" ht="15" customHeight="1">
      <c r="A44" s="1294">
        <v>0</v>
      </c>
      <c r="B44" s="1294">
        <v>0</v>
      </c>
      <c r="C44" s="1295" t="s">
        <v>851</v>
      </c>
      <c r="D44" s="1296" t="s">
        <v>2063</v>
      </c>
      <c r="E44" s="1296" t="s">
        <v>716</v>
      </c>
      <c r="F44" s="1297">
        <v>833</v>
      </c>
      <c r="G44" s="1295" t="s">
        <v>579</v>
      </c>
      <c r="H44" s="1295" t="s">
        <v>185</v>
      </c>
      <c r="I44" s="1296"/>
      <c r="J44" s="1296"/>
      <c r="K44" s="1296"/>
      <c r="L44" s="1296"/>
      <c r="M44" s="1298">
        <v>2080.6</v>
      </c>
      <c r="N44" s="1298">
        <v>0</v>
      </c>
      <c r="O44" s="1298">
        <v>0</v>
      </c>
      <c r="P44" s="1298">
        <v>0</v>
      </c>
      <c r="Q44" s="1298">
        <v>0</v>
      </c>
      <c r="R44" s="1298">
        <v>0</v>
      </c>
      <c r="S44" s="1298">
        <v>0</v>
      </c>
      <c r="T44" s="1298">
        <v>0</v>
      </c>
      <c r="U44" s="1298">
        <v>0</v>
      </c>
      <c r="V44" s="1298">
        <v>0</v>
      </c>
      <c r="W44" s="1298">
        <v>0</v>
      </c>
      <c r="X44" s="1298">
        <v>0</v>
      </c>
      <c r="Y44" s="1298">
        <v>0</v>
      </c>
      <c r="Z44" s="1298">
        <v>0</v>
      </c>
      <c r="AA44" s="1298">
        <v>0</v>
      </c>
      <c r="AB44" s="1298">
        <v>0</v>
      </c>
      <c r="AC44" s="1298">
        <v>0</v>
      </c>
      <c r="AD44" s="1298">
        <v>0</v>
      </c>
      <c r="AE44" s="1298">
        <v>0</v>
      </c>
      <c r="AF44" s="1298">
        <v>0</v>
      </c>
    </row>
    <row r="45" spans="1:32" ht="15" customHeight="1">
      <c r="A45" s="1294">
        <v>104</v>
      </c>
      <c r="B45" s="1294">
        <v>110</v>
      </c>
      <c r="C45" s="1295" t="s">
        <v>852</v>
      </c>
      <c r="D45" s="1296" t="s">
        <v>1998</v>
      </c>
      <c r="E45" s="1296" t="s">
        <v>716</v>
      </c>
      <c r="F45" s="1297">
        <v>892</v>
      </c>
      <c r="G45" s="1295" t="s">
        <v>189</v>
      </c>
      <c r="H45" s="1295" t="s">
        <v>853</v>
      </c>
      <c r="I45" s="1296" t="s">
        <v>854</v>
      </c>
      <c r="J45" s="1296"/>
      <c r="K45" s="1296" t="s">
        <v>855</v>
      </c>
      <c r="L45" s="1296" t="s">
        <v>856</v>
      </c>
      <c r="M45" s="1298">
        <v>1890.6</v>
      </c>
      <c r="N45" s="1298">
        <v>0</v>
      </c>
      <c r="O45" s="1298">
        <v>0</v>
      </c>
      <c r="P45" s="1298">
        <v>-1863.24</v>
      </c>
      <c r="Q45" s="1298">
        <v>1756</v>
      </c>
      <c r="R45" s="1298">
        <v>1756</v>
      </c>
      <c r="S45" s="1298">
        <v>30</v>
      </c>
      <c r="T45" s="1298">
        <v>12.6</v>
      </c>
      <c r="U45" s="1298">
        <v>22</v>
      </c>
      <c r="V45" s="1298">
        <v>20</v>
      </c>
      <c r="W45" s="1298">
        <v>0</v>
      </c>
      <c r="X45" s="1298">
        <v>35</v>
      </c>
      <c r="Y45" s="1298">
        <v>50</v>
      </c>
      <c r="Z45" s="1298">
        <v>0</v>
      </c>
      <c r="AA45" s="1298">
        <v>350</v>
      </c>
      <c r="AB45" s="1298">
        <v>0</v>
      </c>
      <c r="AC45" s="1298">
        <v>0</v>
      </c>
      <c r="AD45" s="1298">
        <v>0</v>
      </c>
      <c r="AE45" s="1298">
        <v>0</v>
      </c>
      <c r="AF45" s="1298">
        <v>2275.6</v>
      </c>
    </row>
    <row r="46" spans="1:32" ht="15" customHeight="1">
      <c r="A46" s="1294">
        <v>317</v>
      </c>
      <c r="B46" s="1294">
        <v>505</v>
      </c>
      <c r="C46" s="1295" t="s">
        <v>857</v>
      </c>
      <c r="D46" s="1296" t="s">
        <v>1999</v>
      </c>
      <c r="E46" s="1296" t="s">
        <v>716</v>
      </c>
      <c r="F46" s="1297">
        <v>1036</v>
      </c>
      <c r="G46" s="1295" t="s">
        <v>189</v>
      </c>
      <c r="H46" s="1295" t="s">
        <v>819</v>
      </c>
      <c r="I46" s="1296" t="s">
        <v>843</v>
      </c>
      <c r="J46" s="1296"/>
      <c r="K46" s="1296" t="s">
        <v>843</v>
      </c>
      <c r="L46" s="1296" t="s">
        <v>1830</v>
      </c>
      <c r="M46" s="1298">
        <v>1820.6</v>
      </c>
      <c r="N46" s="1298">
        <v>250</v>
      </c>
      <c r="O46" s="1298">
        <v>250</v>
      </c>
      <c r="P46" s="1298">
        <v>30.13</v>
      </c>
      <c r="Q46" s="1298">
        <v>1595</v>
      </c>
      <c r="R46" s="1298">
        <v>1595</v>
      </c>
      <c r="S46" s="1298">
        <v>30</v>
      </c>
      <c r="T46" s="1298">
        <v>12.6</v>
      </c>
      <c r="U46" s="1298">
        <v>22</v>
      </c>
      <c r="V46" s="1298">
        <v>20</v>
      </c>
      <c r="W46" s="1298">
        <v>0</v>
      </c>
      <c r="X46" s="1298">
        <v>0</v>
      </c>
      <c r="Y46" s="1298">
        <v>0</v>
      </c>
      <c r="Z46" s="1298">
        <v>0</v>
      </c>
      <c r="AA46" s="1298">
        <v>0</v>
      </c>
      <c r="AB46" s="1298">
        <v>0</v>
      </c>
      <c r="AC46" s="1298">
        <v>0</v>
      </c>
      <c r="AD46" s="1298">
        <v>0</v>
      </c>
      <c r="AE46" s="1298">
        <v>0</v>
      </c>
      <c r="AF46" s="1298">
        <v>1679.6</v>
      </c>
    </row>
    <row r="47" spans="1:32" ht="15" customHeight="1">
      <c r="A47" s="1294">
        <v>427</v>
      </c>
      <c r="B47" s="1294">
        <v>627</v>
      </c>
      <c r="C47" s="1295" t="s">
        <v>858</v>
      </c>
      <c r="D47" s="1296" t="s">
        <v>723</v>
      </c>
      <c r="E47" s="1296" t="s">
        <v>716</v>
      </c>
      <c r="F47" s="1297">
        <v>1156</v>
      </c>
      <c r="G47" s="1295" t="s">
        <v>189</v>
      </c>
      <c r="H47" s="1295" t="s">
        <v>2217</v>
      </c>
      <c r="I47" s="1296" t="s">
        <v>2218</v>
      </c>
      <c r="J47" s="1296"/>
      <c r="K47" s="1296" t="s">
        <v>2218</v>
      </c>
      <c r="L47" s="1296" t="s">
        <v>2219</v>
      </c>
      <c r="M47" s="1298">
        <v>1973.6</v>
      </c>
      <c r="N47" s="1298">
        <v>250</v>
      </c>
      <c r="O47" s="1298">
        <v>250</v>
      </c>
      <c r="P47" s="1298">
        <v>-1889.93</v>
      </c>
      <c r="Q47" s="1298">
        <v>1839</v>
      </c>
      <c r="R47" s="1298">
        <v>1839</v>
      </c>
      <c r="S47" s="1298">
        <v>30</v>
      </c>
      <c r="T47" s="1298">
        <v>12.6</v>
      </c>
      <c r="U47" s="1298">
        <v>22</v>
      </c>
      <c r="V47" s="1298">
        <v>0</v>
      </c>
      <c r="W47" s="1298">
        <v>0</v>
      </c>
      <c r="X47" s="1298">
        <v>0</v>
      </c>
      <c r="Y47" s="1298">
        <v>0</v>
      </c>
      <c r="Z47" s="1298">
        <v>0</v>
      </c>
      <c r="AA47" s="1298">
        <v>0</v>
      </c>
      <c r="AB47" s="1298">
        <v>0</v>
      </c>
      <c r="AC47" s="1298">
        <v>0</v>
      </c>
      <c r="AD47" s="1298">
        <v>0</v>
      </c>
      <c r="AE47" s="1298">
        <v>0</v>
      </c>
      <c r="AF47" s="1298">
        <v>1903.6</v>
      </c>
    </row>
    <row r="48" spans="1:32" ht="15" customHeight="1">
      <c r="A48" s="1294">
        <v>115</v>
      </c>
      <c r="B48" s="1294">
        <v>121</v>
      </c>
      <c r="C48" s="1295" t="s">
        <v>859</v>
      </c>
      <c r="D48" s="1296" t="s">
        <v>727</v>
      </c>
      <c r="E48" s="1296" t="s">
        <v>716</v>
      </c>
      <c r="F48" s="1297">
        <v>1000</v>
      </c>
      <c r="G48" s="1295" t="s">
        <v>189</v>
      </c>
      <c r="H48" s="1295" t="s">
        <v>860</v>
      </c>
      <c r="I48" s="1296" t="s">
        <v>861</v>
      </c>
      <c r="J48" s="1296"/>
      <c r="K48" s="1296" t="s">
        <v>862</v>
      </c>
      <c r="L48" s="1296" t="s">
        <v>863</v>
      </c>
      <c r="M48" s="1298">
        <v>2070.6</v>
      </c>
      <c r="N48" s="1298">
        <v>0</v>
      </c>
      <c r="O48" s="1298">
        <v>0</v>
      </c>
      <c r="P48" s="1298">
        <v>46.28</v>
      </c>
      <c r="Q48" s="1298">
        <v>1991</v>
      </c>
      <c r="R48" s="1298">
        <v>1991</v>
      </c>
      <c r="S48" s="1298">
        <v>25</v>
      </c>
      <c r="T48" s="1298">
        <v>12.6</v>
      </c>
      <c r="U48" s="1298">
        <v>20</v>
      </c>
      <c r="V48" s="1298">
        <v>20</v>
      </c>
      <c r="W48" s="1298">
        <v>25</v>
      </c>
      <c r="X48" s="1298">
        <v>35</v>
      </c>
      <c r="Y48" s="1298">
        <v>0</v>
      </c>
      <c r="Z48" s="1298">
        <v>0</v>
      </c>
      <c r="AA48" s="1298">
        <v>0</v>
      </c>
      <c r="AB48" s="1298">
        <v>0</v>
      </c>
      <c r="AC48" s="1298">
        <v>0</v>
      </c>
      <c r="AD48" s="1298">
        <v>0</v>
      </c>
      <c r="AE48" s="1298">
        <v>0</v>
      </c>
      <c r="AF48" s="1298">
        <v>2128.6</v>
      </c>
    </row>
    <row r="49" spans="1:32" ht="15" customHeight="1">
      <c r="A49" s="1294">
        <v>366</v>
      </c>
      <c r="B49" s="1294">
        <v>493</v>
      </c>
      <c r="C49" s="1295" t="s">
        <v>864</v>
      </c>
      <c r="D49" s="1296" t="s">
        <v>2024</v>
      </c>
      <c r="E49" s="1296" t="s">
        <v>716</v>
      </c>
      <c r="F49" s="1297">
        <v>1211</v>
      </c>
      <c r="G49" s="1295" t="s">
        <v>189</v>
      </c>
      <c r="H49" s="1295" t="s">
        <v>1831</v>
      </c>
      <c r="I49" s="1296" t="s">
        <v>1832</v>
      </c>
      <c r="J49" s="1296"/>
      <c r="K49" s="1296" t="s">
        <v>1832</v>
      </c>
      <c r="L49" s="1296" t="s">
        <v>1833</v>
      </c>
      <c r="M49" s="1298">
        <v>2028.6</v>
      </c>
      <c r="N49" s="1298">
        <v>250</v>
      </c>
      <c r="O49" s="1298">
        <v>250</v>
      </c>
      <c r="P49" s="1298">
        <v>14.56</v>
      </c>
      <c r="Q49" s="1298">
        <v>1795</v>
      </c>
      <c r="R49" s="1298">
        <v>1795</v>
      </c>
      <c r="S49" s="1298">
        <v>30</v>
      </c>
      <c r="T49" s="1298">
        <v>12.6</v>
      </c>
      <c r="U49" s="1298">
        <v>22</v>
      </c>
      <c r="V49" s="1298">
        <v>0</v>
      </c>
      <c r="W49" s="1298">
        <v>30</v>
      </c>
      <c r="X49" s="1298">
        <v>0</v>
      </c>
      <c r="Y49" s="1298">
        <v>0</v>
      </c>
      <c r="Z49" s="1298">
        <v>0</v>
      </c>
      <c r="AA49" s="1298">
        <v>0</v>
      </c>
      <c r="AB49" s="1298">
        <v>0</v>
      </c>
      <c r="AC49" s="1298">
        <v>0</v>
      </c>
      <c r="AD49" s="1298">
        <v>0</v>
      </c>
      <c r="AE49" s="1298">
        <v>0</v>
      </c>
      <c r="AF49" s="1298">
        <v>1889.6</v>
      </c>
    </row>
    <row r="50" spans="1:32" ht="15" customHeight="1">
      <c r="A50" s="1294">
        <v>186</v>
      </c>
      <c r="B50" s="1294">
        <v>614</v>
      </c>
      <c r="C50" s="1295" t="s">
        <v>865</v>
      </c>
      <c r="D50" s="1296" t="s">
        <v>744</v>
      </c>
      <c r="E50" s="1296" t="s">
        <v>716</v>
      </c>
      <c r="F50" s="1297">
        <v>908</v>
      </c>
      <c r="G50" s="1295" t="s">
        <v>189</v>
      </c>
      <c r="H50" s="1295" t="s">
        <v>866</v>
      </c>
      <c r="I50" s="1296" t="s">
        <v>867</v>
      </c>
      <c r="J50" s="1296"/>
      <c r="K50" s="1296" t="s">
        <v>2016</v>
      </c>
      <c r="L50" s="1296" t="s">
        <v>787</v>
      </c>
      <c r="M50" s="1298">
        <v>1956.6</v>
      </c>
      <c r="N50" s="1298">
        <v>0</v>
      </c>
      <c r="O50" s="1298">
        <v>0</v>
      </c>
      <c r="P50" s="1298">
        <v>45.04</v>
      </c>
      <c r="Q50" s="1298">
        <v>2030</v>
      </c>
      <c r="R50" s="1298">
        <v>2030</v>
      </c>
      <c r="S50" s="1298">
        <v>0</v>
      </c>
      <c r="T50" s="1298">
        <v>0</v>
      </c>
      <c r="U50" s="1298">
        <v>0</v>
      </c>
      <c r="V50" s="1298">
        <v>20</v>
      </c>
      <c r="W50" s="1298">
        <v>0</v>
      </c>
      <c r="X50" s="1298">
        <v>0</v>
      </c>
      <c r="Y50" s="1298">
        <v>0</v>
      </c>
      <c r="Z50" s="1298">
        <v>0</v>
      </c>
      <c r="AA50" s="1298">
        <v>0</v>
      </c>
      <c r="AB50" s="1298">
        <v>0</v>
      </c>
      <c r="AC50" s="1298">
        <v>0</v>
      </c>
      <c r="AD50" s="1298">
        <v>0</v>
      </c>
      <c r="AE50" s="1298">
        <v>0</v>
      </c>
      <c r="AF50" s="1298">
        <v>2050</v>
      </c>
    </row>
    <row r="51" spans="1:32" ht="15" customHeight="1">
      <c r="A51" s="1294">
        <v>399</v>
      </c>
      <c r="B51" s="1294">
        <v>578</v>
      </c>
      <c r="C51" s="1295" t="s">
        <v>868</v>
      </c>
      <c r="D51" s="1296" t="s">
        <v>2025</v>
      </c>
      <c r="E51" s="1296" t="s">
        <v>716</v>
      </c>
      <c r="F51" s="1297">
        <v>1189</v>
      </c>
      <c r="G51" s="1295" t="s">
        <v>189</v>
      </c>
      <c r="H51" s="1295" t="s">
        <v>2026</v>
      </c>
      <c r="I51" s="1296" t="s">
        <v>1366</v>
      </c>
      <c r="J51" s="1296"/>
      <c r="K51" s="1296" t="s">
        <v>1366</v>
      </c>
      <c r="L51" s="1296" t="s">
        <v>2027</v>
      </c>
      <c r="M51" s="1298">
        <v>1959.6</v>
      </c>
      <c r="N51" s="1298">
        <v>250</v>
      </c>
      <c r="O51" s="1298">
        <v>250</v>
      </c>
      <c r="P51" s="1298">
        <v>0</v>
      </c>
      <c r="Q51" s="1298">
        <v>1825</v>
      </c>
      <c r="R51" s="1298">
        <v>1825</v>
      </c>
      <c r="S51" s="1298">
        <v>30</v>
      </c>
      <c r="T51" s="1298">
        <v>12.6</v>
      </c>
      <c r="U51" s="1298">
        <v>22</v>
      </c>
      <c r="V51" s="1298">
        <v>0</v>
      </c>
      <c r="W51" s="1298">
        <v>0</v>
      </c>
      <c r="X51" s="1298">
        <v>0</v>
      </c>
      <c r="Y51" s="1298">
        <v>0</v>
      </c>
      <c r="Z51" s="1298">
        <v>0</v>
      </c>
      <c r="AA51" s="1298">
        <v>0</v>
      </c>
      <c r="AB51" s="1298">
        <v>0</v>
      </c>
      <c r="AC51" s="1298">
        <v>0</v>
      </c>
      <c r="AD51" s="1298">
        <v>0</v>
      </c>
      <c r="AE51" s="1298">
        <v>0</v>
      </c>
      <c r="AF51" s="1298">
        <v>1889.6</v>
      </c>
    </row>
    <row r="52" spans="1:32" ht="15" customHeight="1">
      <c r="A52" s="1294">
        <v>275</v>
      </c>
      <c r="B52" s="1294">
        <v>585</v>
      </c>
      <c r="C52" s="1295" t="s">
        <v>869</v>
      </c>
      <c r="D52" s="1296" t="s">
        <v>2005</v>
      </c>
      <c r="E52" s="1296" t="s">
        <v>716</v>
      </c>
      <c r="F52" s="1297">
        <v>1102</v>
      </c>
      <c r="G52" s="1295" t="s">
        <v>189</v>
      </c>
      <c r="H52" s="1295" t="s">
        <v>870</v>
      </c>
      <c r="I52" s="1296" t="s">
        <v>871</v>
      </c>
      <c r="J52" s="1296"/>
      <c r="K52" s="1296" t="s">
        <v>2028</v>
      </c>
      <c r="L52" s="1296" t="s">
        <v>2029</v>
      </c>
      <c r="M52" s="1298">
        <v>2128.6</v>
      </c>
      <c r="N52" s="1298">
        <v>0</v>
      </c>
      <c r="O52" s="1298">
        <v>0</v>
      </c>
      <c r="P52" s="1298">
        <v>-1086.8900000000001</v>
      </c>
      <c r="Q52" s="1298">
        <v>2100</v>
      </c>
      <c r="R52" s="1298">
        <v>2100</v>
      </c>
      <c r="S52" s="1298">
        <v>30</v>
      </c>
      <c r="T52" s="1298">
        <v>12.6</v>
      </c>
      <c r="U52" s="1298">
        <v>22</v>
      </c>
      <c r="V52" s="1298">
        <v>20</v>
      </c>
      <c r="W52" s="1298">
        <v>0</v>
      </c>
      <c r="X52" s="1298">
        <v>0</v>
      </c>
      <c r="Y52" s="1298">
        <v>0</v>
      </c>
      <c r="Z52" s="1298">
        <v>0</v>
      </c>
      <c r="AA52" s="1298">
        <v>0</v>
      </c>
      <c r="AB52" s="1298">
        <v>0</v>
      </c>
      <c r="AC52" s="1298">
        <v>0</v>
      </c>
      <c r="AD52" s="1298">
        <v>0</v>
      </c>
      <c r="AE52" s="1298">
        <v>0</v>
      </c>
      <c r="AF52" s="1298">
        <v>2184.6</v>
      </c>
    </row>
    <row r="53" spans="1:32" ht="15" customHeight="1">
      <c r="A53" s="1294">
        <v>218</v>
      </c>
      <c r="B53" s="1294">
        <v>423</v>
      </c>
      <c r="C53" s="1295" t="s">
        <v>872</v>
      </c>
      <c r="D53" s="1296" t="s">
        <v>744</v>
      </c>
      <c r="E53" s="1296" t="s">
        <v>716</v>
      </c>
      <c r="F53" s="1297">
        <v>908</v>
      </c>
      <c r="G53" s="1295" t="s">
        <v>189</v>
      </c>
      <c r="H53" s="1295" t="s">
        <v>873</v>
      </c>
      <c r="I53" s="1296" t="s">
        <v>874</v>
      </c>
      <c r="J53" s="1296"/>
      <c r="K53" s="1296" t="s">
        <v>1834</v>
      </c>
      <c r="L53" s="1296" t="s">
        <v>1826</v>
      </c>
      <c r="M53" s="1298">
        <v>1956.6</v>
      </c>
      <c r="N53" s="1298">
        <v>0</v>
      </c>
      <c r="O53" s="1298">
        <v>0</v>
      </c>
      <c r="P53" s="1298">
        <v>50.9</v>
      </c>
      <c r="Q53" s="1298">
        <v>1665</v>
      </c>
      <c r="R53" s="1298">
        <v>1665</v>
      </c>
      <c r="S53" s="1298">
        <v>25</v>
      </c>
      <c r="T53" s="1298">
        <v>11.5</v>
      </c>
      <c r="U53" s="1298">
        <v>17</v>
      </c>
      <c r="V53" s="1298">
        <v>20</v>
      </c>
      <c r="W53" s="1298">
        <v>50</v>
      </c>
      <c r="X53" s="1298">
        <v>0</v>
      </c>
      <c r="Y53" s="1298">
        <v>0</v>
      </c>
      <c r="Z53" s="1298">
        <v>0</v>
      </c>
      <c r="AA53" s="1298">
        <v>0</v>
      </c>
      <c r="AB53" s="1298">
        <v>0</v>
      </c>
      <c r="AC53" s="1298">
        <v>0</v>
      </c>
      <c r="AD53" s="1298">
        <v>0</v>
      </c>
      <c r="AE53" s="1298">
        <v>0</v>
      </c>
      <c r="AF53" s="1298">
        <v>1788.5</v>
      </c>
    </row>
    <row r="54" spans="1:32" ht="15" customHeight="1">
      <c r="A54" s="1294">
        <v>83</v>
      </c>
      <c r="B54" s="1294">
        <v>498</v>
      </c>
      <c r="C54" s="1295" t="s">
        <v>875</v>
      </c>
      <c r="D54" s="1296" t="s">
        <v>2009</v>
      </c>
      <c r="E54" s="1296" t="s">
        <v>716</v>
      </c>
      <c r="F54" s="1297">
        <v>791</v>
      </c>
      <c r="G54" s="1295" t="s">
        <v>769</v>
      </c>
      <c r="H54" s="1295" t="s">
        <v>876</v>
      </c>
      <c r="I54" s="1296" t="s">
        <v>877</v>
      </c>
      <c r="J54" s="1296" t="s">
        <v>2220</v>
      </c>
      <c r="K54" s="1296" t="s">
        <v>1835</v>
      </c>
      <c r="L54" s="1296" t="s">
        <v>1836</v>
      </c>
      <c r="M54" s="1298">
        <v>2016.6</v>
      </c>
      <c r="N54" s="1298">
        <v>0</v>
      </c>
      <c r="O54" s="1298">
        <v>0</v>
      </c>
      <c r="P54" s="1298">
        <v>87.3</v>
      </c>
      <c r="Q54" s="1298">
        <v>1820</v>
      </c>
      <c r="R54" s="1298">
        <v>1820</v>
      </c>
      <c r="S54" s="1298">
        <v>30</v>
      </c>
      <c r="T54" s="1298">
        <v>12.6</v>
      </c>
      <c r="U54" s="1298">
        <v>22</v>
      </c>
      <c r="V54" s="1298">
        <v>20</v>
      </c>
      <c r="W54" s="1298">
        <v>0</v>
      </c>
      <c r="X54" s="1298">
        <v>35</v>
      </c>
      <c r="Y54" s="1298">
        <v>0</v>
      </c>
      <c r="Z54" s="1298">
        <v>0</v>
      </c>
      <c r="AA54" s="1298">
        <v>350</v>
      </c>
      <c r="AB54" s="1298">
        <v>0</v>
      </c>
      <c r="AC54" s="1298">
        <v>0</v>
      </c>
      <c r="AD54" s="1298">
        <v>0</v>
      </c>
      <c r="AE54" s="1298">
        <v>0</v>
      </c>
      <c r="AF54" s="1298">
        <v>2289.6</v>
      </c>
    </row>
    <row r="55" spans="1:32" ht="15" customHeight="1">
      <c r="A55" s="1294">
        <v>255</v>
      </c>
      <c r="B55" s="1294">
        <v>700</v>
      </c>
      <c r="C55" s="1295" t="s">
        <v>878</v>
      </c>
      <c r="D55" s="1296" t="s">
        <v>2010</v>
      </c>
      <c r="E55" s="1296" t="s">
        <v>716</v>
      </c>
      <c r="F55" s="1297">
        <v>958</v>
      </c>
      <c r="G55" s="1295" t="s">
        <v>189</v>
      </c>
      <c r="H55" s="1295" t="s">
        <v>879</v>
      </c>
      <c r="I55" s="1296" t="s">
        <v>880</v>
      </c>
      <c r="J55" s="1296"/>
      <c r="K55" s="1296" t="s">
        <v>1041</v>
      </c>
      <c r="L55" s="1296" t="s">
        <v>2059</v>
      </c>
      <c r="M55" s="1298">
        <v>1920.6</v>
      </c>
      <c r="N55" s="1298">
        <v>0</v>
      </c>
      <c r="O55" s="1298">
        <v>0</v>
      </c>
      <c r="P55" s="1298">
        <v>48.43</v>
      </c>
      <c r="Q55" s="1298">
        <v>1891</v>
      </c>
      <c r="R55" s="1298">
        <v>1891</v>
      </c>
      <c r="S55" s="1298">
        <v>30</v>
      </c>
      <c r="T55" s="1298">
        <v>12.6</v>
      </c>
      <c r="U55" s="1298">
        <v>22</v>
      </c>
      <c r="V55" s="1298">
        <v>20</v>
      </c>
      <c r="W55" s="1298">
        <v>0</v>
      </c>
      <c r="X55" s="1298">
        <v>0</v>
      </c>
      <c r="Y55" s="1298">
        <v>0</v>
      </c>
      <c r="Z55" s="1298">
        <v>0</v>
      </c>
      <c r="AA55" s="1298">
        <v>0</v>
      </c>
      <c r="AB55" s="1298">
        <v>0</v>
      </c>
      <c r="AC55" s="1298">
        <v>0</v>
      </c>
      <c r="AD55" s="1298">
        <v>0</v>
      </c>
      <c r="AE55" s="1298">
        <v>0</v>
      </c>
      <c r="AF55" s="1298">
        <v>1975.6</v>
      </c>
    </row>
    <row r="56" spans="1:32" ht="15" customHeight="1">
      <c r="A56" s="1294">
        <v>201</v>
      </c>
      <c r="B56" s="1294">
        <v>216</v>
      </c>
      <c r="C56" s="1295" t="s">
        <v>882</v>
      </c>
      <c r="D56" s="1296" t="s">
        <v>753</v>
      </c>
      <c r="E56" s="1296" t="s">
        <v>716</v>
      </c>
      <c r="F56" s="1297">
        <v>609</v>
      </c>
      <c r="G56" s="1295" t="s">
        <v>189</v>
      </c>
      <c r="H56" s="1295" t="s">
        <v>883</v>
      </c>
      <c r="I56" s="1296" t="s">
        <v>884</v>
      </c>
      <c r="J56" s="1296"/>
      <c r="K56" s="1296" t="s">
        <v>885</v>
      </c>
      <c r="L56" s="1296" t="s">
        <v>886</v>
      </c>
      <c r="M56" s="1298">
        <v>1631.6</v>
      </c>
      <c r="N56" s="1298">
        <v>0</v>
      </c>
      <c r="O56" s="1298">
        <v>0</v>
      </c>
      <c r="P56" s="1298">
        <v>29.15</v>
      </c>
      <c r="Q56" s="1298">
        <v>1467</v>
      </c>
      <c r="R56" s="1298">
        <v>1467</v>
      </c>
      <c r="S56" s="1298">
        <v>25</v>
      </c>
      <c r="T56" s="1298">
        <v>12.6</v>
      </c>
      <c r="U56" s="1298">
        <v>21</v>
      </c>
      <c r="V56" s="1298">
        <v>20</v>
      </c>
      <c r="W56" s="1298">
        <v>0</v>
      </c>
      <c r="X56" s="1298">
        <v>0</v>
      </c>
      <c r="Y56" s="1298">
        <v>0</v>
      </c>
      <c r="Z56" s="1298">
        <v>0</v>
      </c>
      <c r="AA56" s="1298">
        <v>0</v>
      </c>
      <c r="AB56" s="1298">
        <v>0</v>
      </c>
      <c r="AC56" s="1298">
        <v>0</v>
      </c>
      <c r="AD56" s="1298">
        <v>0</v>
      </c>
      <c r="AE56" s="1298">
        <v>0</v>
      </c>
      <c r="AF56" s="1298">
        <v>1545.6</v>
      </c>
    </row>
    <row r="57" spans="1:32" ht="15" customHeight="1">
      <c r="A57" s="1294">
        <v>92</v>
      </c>
      <c r="B57" s="1294">
        <v>463</v>
      </c>
      <c r="C57" s="1295" t="s">
        <v>887</v>
      </c>
      <c r="D57" s="1296" t="s">
        <v>759</v>
      </c>
      <c r="E57" s="1296" t="s">
        <v>716</v>
      </c>
      <c r="F57" s="1297">
        <v>813</v>
      </c>
      <c r="G57" s="1295" t="s">
        <v>189</v>
      </c>
      <c r="H57" s="1295" t="s">
        <v>888</v>
      </c>
      <c r="I57" s="1296" t="s">
        <v>842</v>
      </c>
      <c r="J57" s="1296"/>
      <c r="K57" s="1296" t="s">
        <v>1837</v>
      </c>
      <c r="L57" s="1296" t="s">
        <v>1405</v>
      </c>
      <c r="M57" s="1298">
        <v>1651.6</v>
      </c>
      <c r="N57" s="1298">
        <v>1670</v>
      </c>
      <c r="O57" s="1298">
        <v>1670</v>
      </c>
      <c r="P57" s="1298">
        <v>79.03</v>
      </c>
      <c r="Q57" s="1298">
        <v>1731</v>
      </c>
      <c r="R57" s="1298">
        <v>1731</v>
      </c>
      <c r="S57" s="1298">
        <v>25</v>
      </c>
      <c r="T57" s="1298">
        <v>12.6</v>
      </c>
      <c r="U57" s="1298">
        <v>17</v>
      </c>
      <c r="V57" s="1298">
        <v>20</v>
      </c>
      <c r="W57" s="1298">
        <v>0</v>
      </c>
      <c r="X57" s="1298">
        <v>0</v>
      </c>
      <c r="Y57" s="1298">
        <v>0</v>
      </c>
      <c r="Z57" s="1298">
        <v>11.5</v>
      </c>
      <c r="AA57" s="1298">
        <v>0</v>
      </c>
      <c r="AB57" s="1298">
        <v>0</v>
      </c>
      <c r="AC57" s="1298">
        <v>0</v>
      </c>
      <c r="AD57" s="1298">
        <v>0</v>
      </c>
      <c r="AE57" s="1298">
        <v>0</v>
      </c>
      <c r="AF57" s="1298">
        <v>1817.1</v>
      </c>
    </row>
    <row r="58" spans="1:32" ht="15" customHeight="1">
      <c r="A58" s="1294">
        <v>125</v>
      </c>
      <c r="B58" s="1294">
        <v>412</v>
      </c>
      <c r="C58" s="1295" t="s">
        <v>889</v>
      </c>
      <c r="D58" s="1296" t="s">
        <v>890</v>
      </c>
      <c r="E58" s="1296" t="s">
        <v>716</v>
      </c>
      <c r="F58" s="1297">
        <v>1539</v>
      </c>
      <c r="G58" s="1295" t="s">
        <v>769</v>
      </c>
      <c r="H58" s="1295" t="s">
        <v>891</v>
      </c>
      <c r="I58" s="1296" t="s">
        <v>892</v>
      </c>
      <c r="J58" s="1296" t="s">
        <v>1838</v>
      </c>
      <c r="K58" s="1296" t="s">
        <v>1185</v>
      </c>
      <c r="L58" s="1296" t="s">
        <v>1838</v>
      </c>
      <c r="M58" s="1298">
        <v>2993.6</v>
      </c>
      <c r="N58" s="1298">
        <v>0</v>
      </c>
      <c r="O58" s="1298">
        <v>0</v>
      </c>
      <c r="P58" s="1298">
        <v>90.43</v>
      </c>
      <c r="Q58" s="1298">
        <v>2567</v>
      </c>
      <c r="R58" s="1298">
        <v>2567</v>
      </c>
      <c r="S58" s="1298">
        <v>25</v>
      </c>
      <c r="T58" s="1298">
        <v>11.5</v>
      </c>
      <c r="U58" s="1298">
        <v>17</v>
      </c>
      <c r="V58" s="1298">
        <v>20</v>
      </c>
      <c r="W58" s="1298">
        <v>0</v>
      </c>
      <c r="X58" s="1298">
        <v>0</v>
      </c>
      <c r="Y58" s="1298">
        <v>0</v>
      </c>
      <c r="Z58" s="1298">
        <v>0</v>
      </c>
      <c r="AA58" s="1298">
        <v>0</v>
      </c>
      <c r="AB58" s="1298">
        <v>0</v>
      </c>
      <c r="AC58" s="1298">
        <v>0</v>
      </c>
      <c r="AD58" s="1298">
        <v>0</v>
      </c>
      <c r="AE58" s="1298">
        <v>0</v>
      </c>
      <c r="AF58" s="1298">
        <v>2640.5</v>
      </c>
    </row>
    <row r="59" spans="1:32" ht="15" customHeight="1">
      <c r="A59" s="1294">
        <v>323</v>
      </c>
      <c r="B59" s="1294">
        <v>350</v>
      </c>
      <c r="C59" s="1295" t="s">
        <v>894</v>
      </c>
      <c r="D59" s="1296" t="s">
        <v>2030</v>
      </c>
      <c r="E59" s="1296" t="s">
        <v>716</v>
      </c>
      <c r="F59" s="1297">
        <v>1238</v>
      </c>
      <c r="G59" s="1295" t="s">
        <v>769</v>
      </c>
      <c r="H59" s="1295" t="s">
        <v>895</v>
      </c>
      <c r="I59" s="1296" t="s">
        <v>896</v>
      </c>
      <c r="J59" s="1296" t="s">
        <v>897</v>
      </c>
      <c r="K59" s="1296" t="s">
        <v>896</v>
      </c>
      <c r="L59" s="1296" t="s">
        <v>897</v>
      </c>
      <c r="M59" s="1298">
        <v>2663.6</v>
      </c>
      <c r="N59" s="1298">
        <v>0</v>
      </c>
      <c r="O59" s="1298">
        <v>0</v>
      </c>
      <c r="P59" s="1298">
        <v>99.13</v>
      </c>
      <c r="Q59" s="1298">
        <v>2304</v>
      </c>
      <c r="R59" s="1298">
        <v>2304</v>
      </c>
      <c r="S59" s="1298">
        <v>25</v>
      </c>
      <c r="T59" s="1298">
        <v>12.6</v>
      </c>
      <c r="U59" s="1298">
        <v>0</v>
      </c>
      <c r="V59" s="1298">
        <v>0</v>
      </c>
      <c r="W59" s="1298">
        <v>0</v>
      </c>
      <c r="X59" s="1298">
        <v>0</v>
      </c>
      <c r="Y59" s="1298">
        <v>0</v>
      </c>
      <c r="Z59" s="1298">
        <v>0</v>
      </c>
      <c r="AA59" s="1298">
        <v>0</v>
      </c>
      <c r="AB59" s="1298">
        <v>0</v>
      </c>
      <c r="AC59" s="1298">
        <v>0</v>
      </c>
      <c r="AD59" s="1298">
        <v>0</v>
      </c>
      <c r="AE59" s="1298">
        <v>0</v>
      </c>
      <c r="AF59" s="1298">
        <v>2341.6</v>
      </c>
    </row>
    <row r="60" spans="1:32" ht="15" customHeight="1">
      <c r="A60" s="1294">
        <v>0</v>
      </c>
      <c r="B60" s="1294">
        <v>0</v>
      </c>
      <c r="C60" s="1295" t="s">
        <v>898</v>
      </c>
      <c r="D60" s="1296" t="s">
        <v>840</v>
      </c>
      <c r="E60" s="1296" t="s">
        <v>716</v>
      </c>
      <c r="F60" s="1297">
        <v>1235</v>
      </c>
      <c r="G60" s="1295" t="s">
        <v>763</v>
      </c>
      <c r="H60" s="1295" t="s">
        <v>185</v>
      </c>
      <c r="I60" s="1296"/>
      <c r="J60" s="1296"/>
      <c r="K60" s="1296"/>
      <c r="L60" s="1296"/>
      <c r="M60" s="1298">
        <v>2718.6</v>
      </c>
      <c r="N60" s="1298">
        <v>0</v>
      </c>
      <c r="O60" s="1298">
        <v>0</v>
      </c>
      <c r="P60" s="1298">
        <v>0</v>
      </c>
      <c r="Q60" s="1298">
        <v>0</v>
      </c>
      <c r="R60" s="1298">
        <v>0</v>
      </c>
      <c r="S60" s="1298">
        <v>0</v>
      </c>
      <c r="T60" s="1298">
        <v>0</v>
      </c>
      <c r="U60" s="1298">
        <v>0</v>
      </c>
      <c r="V60" s="1298">
        <v>0</v>
      </c>
      <c r="W60" s="1298">
        <v>0</v>
      </c>
      <c r="X60" s="1298">
        <v>0</v>
      </c>
      <c r="Y60" s="1298">
        <v>0</v>
      </c>
      <c r="Z60" s="1298">
        <v>0</v>
      </c>
      <c r="AA60" s="1298">
        <v>0</v>
      </c>
      <c r="AB60" s="1298">
        <v>0</v>
      </c>
      <c r="AC60" s="1298">
        <v>0</v>
      </c>
      <c r="AD60" s="1298">
        <v>0</v>
      </c>
      <c r="AE60" s="1298">
        <v>0</v>
      </c>
      <c r="AF60" s="1298">
        <v>0</v>
      </c>
    </row>
    <row r="61" spans="1:32" ht="15" customHeight="1">
      <c r="A61" s="1294">
        <v>0</v>
      </c>
      <c r="B61" s="1294">
        <v>0</v>
      </c>
      <c r="C61" s="1295" t="s">
        <v>900</v>
      </c>
      <c r="D61" s="1296" t="s">
        <v>2031</v>
      </c>
      <c r="E61" s="1296" t="s">
        <v>716</v>
      </c>
      <c r="F61" s="1297">
        <v>932</v>
      </c>
      <c r="G61" s="1295" t="s">
        <v>763</v>
      </c>
      <c r="H61" s="1295" t="s">
        <v>185</v>
      </c>
      <c r="I61" s="1296"/>
      <c r="J61" s="1296"/>
      <c r="K61" s="1296"/>
      <c r="L61" s="1296"/>
      <c r="M61" s="1298">
        <v>1930.6</v>
      </c>
      <c r="N61" s="1298">
        <v>0</v>
      </c>
      <c r="O61" s="1298">
        <v>0</v>
      </c>
      <c r="P61" s="1298">
        <v>0</v>
      </c>
      <c r="Q61" s="1298">
        <v>0</v>
      </c>
      <c r="R61" s="1298">
        <v>0</v>
      </c>
      <c r="S61" s="1298">
        <v>0</v>
      </c>
      <c r="T61" s="1298">
        <v>0</v>
      </c>
      <c r="U61" s="1298">
        <v>0</v>
      </c>
      <c r="V61" s="1298">
        <v>0</v>
      </c>
      <c r="W61" s="1298">
        <v>0</v>
      </c>
      <c r="X61" s="1298">
        <v>0</v>
      </c>
      <c r="Y61" s="1298">
        <v>0</v>
      </c>
      <c r="Z61" s="1298">
        <v>0</v>
      </c>
      <c r="AA61" s="1298">
        <v>0</v>
      </c>
      <c r="AB61" s="1298">
        <v>0</v>
      </c>
      <c r="AC61" s="1298">
        <v>0</v>
      </c>
      <c r="AD61" s="1298">
        <v>0</v>
      </c>
      <c r="AE61" s="1298">
        <v>0</v>
      </c>
      <c r="AF61" s="1298">
        <v>0</v>
      </c>
    </row>
    <row r="62" spans="1:32" ht="15" customHeight="1">
      <c r="A62" s="1294">
        <v>0</v>
      </c>
      <c r="B62" s="1294">
        <v>0</v>
      </c>
      <c r="C62" s="1295" t="s">
        <v>902</v>
      </c>
      <c r="D62" s="1296" t="s">
        <v>840</v>
      </c>
      <c r="E62" s="1296" t="s">
        <v>716</v>
      </c>
      <c r="F62" s="1297">
        <v>1235</v>
      </c>
      <c r="G62" s="1295" t="s">
        <v>763</v>
      </c>
      <c r="H62" s="1295" t="s">
        <v>185</v>
      </c>
      <c r="I62" s="1296"/>
      <c r="J62" s="1296"/>
      <c r="K62" s="1296"/>
      <c r="L62" s="1296"/>
      <c r="M62" s="1298">
        <v>2718.6</v>
      </c>
      <c r="N62" s="1298">
        <v>0</v>
      </c>
      <c r="O62" s="1298">
        <v>0</v>
      </c>
      <c r="P62" s="1298">
        <v>0</v>
      </c>
      <c r="Q62" s="1298">
        <v>0</v>
      </c>
      <c r="R62" s="1298">
        <v>0</v>
      </c>
      <c r="S62" s="1298">
        <v>0</v>
      </c>
      <c r="T62" s="1298">
        <v>0</v>
      </c>
      <c r="U62" s="1298">
        <v>0</v>
      </c>
      <c r="V62" s="1298">
        <v>0</v>
      </c>
      <c r="W62" s="1298">
        <v>0</v>
      </c>
      <c r="X62" s="1298">
        <v>0</v>
      </c>
      <c r="Y62" s="1298">
        <v>0</v>
      </c>
      <c r="Z62" s="1298">
        <v>0</v>
      </c>
      <c r="AA62" s="1298">
        <v>0</v>
      </c>
      <c r="AB62" s="1298">
        <v>0</v>
      </c>
      <c r="AC62" s="1298">
        <v>0</v>
      </c>
      <c r="AD62" s="1298">
        <v>0</v>
      </c>
      <c r="AE62" s="1298">
        <v>0</v>
      </c>
      <c r="AF62" s="1298">
        <v>0</v>
      </c>
    </row>
    <row r="63" spans="1:32" ht="15" customHeight="1">
      <c r="A63" s="1294">
        <v>0</v>
      </c>
      <c r="B63" s="1294">
        <v>0</v>
      </c>
      <c r="C63" s="1295" t="s">
        <v>905</v>
      </c>
      <c r="D63" s="1296" t="s">
        <v>2012</v>
      </c>
      <c r="E63" s="1296" t="s">
        <v>716</v>
      </c>
      <c r="F63" s="1297">
        <v>1037</v>
      </c>
      <c r="G63" s="1295" t="s">
        <v>763</v>
      </c>
      <c r="H63" s="1295" t="s">
        <v>185</v>
      </c>
      <c r="I63" s="1296"/>
      <c r="J63" s="1296"/>
      <c r="K63" s="1296"/>
      <c r="L63" s="1296"/>
      <c r="M63" s="1298">
        <v>2010.6</v>
      </c>
      <c r="N63" s="1298">
        <v>0</v>
      </c>
      <c r="O63" s="1298">
        <v>0</v>
      </c>
      <c r="P63" s="1298">
        <v>0</v>
      </c>
      <c r="Q63" s="1298">
        <v>0</v>
      </c>
      <c r="R63" s="1298">
        <v>0</v>
      </c>
      <c r="S63" s="1298">
        <v>0</v>
      </c>
      <c r="T63" s="1298">
        <v>0</v>
      </c>
      <c r="U63" s="1298">
        <v>0</v>
      </c>
      <c r="V63" s="1298">
        <v>0</v>
      </c>
      <c r="W63" s="1298">
        <v>0</v>
      </c>
      <c r="X63" s="1298">
        <v>0</v>
      </c>
      <c r="Y63" s="1298">
        <v>0</v>
      </c>
      <c r="Z63" s="1298">
        <v>0</v>
      </c>
      <c r="AA63" s="1298">
        <v>0</v>
      </c>
      <c r="AB63" s="1298">
        <v>0</v>
      </c>
      <c r="AC63" s="1298">
        <v>0</v>
      </c>
      <c r="AD63" s="1298">
        <v>0</v>
      </c>
      <c r="AE63" s="1298">
        <v>0</v>
      </c>
      <c r="AF63" s="1298">
        <v>0</v>
      </c>
    </row>
    <row r="64" spans="1:32" ht="15" customHeight="1">
      <c r="A64" s="1294">
        <v>0</v>
      </c>
      <c r="B64" s="1294">
        <v>0</v>
      </c>
      <c r="C64" s="1295" t="s">
        <v>907</v>
      </c>
      <c r="D64" s="1296" t="s">
        <v>772</v>
      </c>
      <c r="E64" s="1296" t="s">
        <v>716</v>
      </c>
      <c r="F64" s="1297">
        <v>937</v>
      </c>
      <c r="G64" s="1295" t="s">
        <v>763</v>
      </c>
      <c r="H64" s="1295" t="s">
        <v>185</v>
      </c>
      <c r="I64" s="1296"/>
      <c r="J64" s="1296"/>
      <c r="K64" s="1296"/>
      <c r="L64" s="1296"/>
      <c r="M64" s="1298">
        <v>2225.6</v>
      </c>
      <c r="N64" s="1298">
        <v>0</v>
      </c>
      <c r="O64" s="1298">
        <v>0</v>
      </c>
      <c r="P64" s="1298">
        <v>0</v>
      </c>
      <c r="Q64" s="1298">
        <v>0</v>
      </c>
      <c r="R64" s="1298">
        <v>0</v>
      </c>
      <c r="S64" s="1298">
        <v>0</v>
      </c>
      <c r="T64" s="1298">
        <v>0</v>
      </c>
      <c r="U64" s="1298">
        <v>0</v>
      </c>
      <c r="V64" s="1298">
        <v>0</v>
      </c>
      <c r="W64" s="1298">
        <v>0</v>
      </c>
      <c r="X64" s="1298">
        <v>0</v>
      </c>
      <c r="Y64" s="1298">
        <v>0</v>
      </c>
      <c r="Z64" s="1298">
        <v>0</v>
      </c>
      <c r="AA64" s="1298">
        <v>0</v>
      </c>
      <c r="AB64" s="1298">
        <v>0</v>
      </c>
      <c r="AC64" s="1298">
        <v>0</v>
      </c>
      <c r="AD64" s="1298">
        <v>0</v>
      </c>
      <c r="AE64" s="1298">
        <v>0</v>
      </c>
      <c r="AF64" s="1298">
        <v>0</v>
      </c>
    </row>
    <row r="65" spans="1:32" ht="15" customHeight="1">
      <c r="A65" s="1294">
        <v>0</v>
      </c>
      <c r="B65" s="1294">
        <v>0</v>
      </c>
      <c r="C65" s="1295" t="s">
        <v>908</v>
      </c>
      <c r="D65" s="1296" t="s">
        <v>775</v>
      </c>
      <c r="E65" s="1296" t="s">
        <v>716</v>
      </c>
      <c r="F65" s="1297">
        <v>1219</v>
      </c>
      <c r="G65" s="1295" t="s">
        <v>763</v>
      </c>
      <c r="H65" s="1295" t="s">
        <v>185</v>
      </c>
      <c r="I65" s="1296"/>
      <c r="J65" s="1296"/>
      <c r="K65" s="1296"/>
      <c r="L65" s="1296"/>
      <c r="M65" s="1298">
        <v>2203.6</v>
      </c>
      <c r="N65" s="1298">
        <v>0</v>
      </c>
      <c r="O65" s="1298">
        <v>0</v>
      </c>
      <c r="P65" s="1298">
        <v>0</v>
      </c>
      <c r="Q65" s="1298">
        <v>0</v>
      </c>
      <c r="R65" s="1298">
        <v>0</v>
      </c>
      <c r="S65" s="1298">
        <v>0</v>
      </c>
      <c r="T65" s="1298">
        <v>0</v>
      </c>
      <c r="U65" s="1298">
        <v>0</v>
      </c>
      <c r="V65" s="1298">
        <v>0</v>
      </c>
      <c r="W65" s="1298">
        <v>0</v>
      </c>
      <c r="X65" s="1298">
        <v>0</v>
      </c>
      <c r="Y65" s="1298">
        <v>0</v>
      </c>
      <c r="Z65" s="1298">
        <v>0</v>
      </c>
      <c r="AA65" s="1298">
        <v>0</v>
      </c>
      <c r="AB65" s="1298">
        <v>0</v>
      </c>
      <c r="AC65" s="1298">
        <v>0</v>
      </c>
      <c r="AD65" s="1298">
        <v>0</v>
      </c>
      <c r="AE65" s="1298">
        <v>0</v>
      </c>
      <c r="AF65" s="1298">
        <v>0</v>
      </c>
    </row>
    <row r="66" spans="1:32" ht="15" customHeight="1">
      <c r="A66" s="1294">
        <v>0</v>
      </c>
      <c r="B66" s="1294">
        <v>0</v>
      </c>
      <c r="C66" s="1295" t="s">
        <v>909</v>
      </c>
      <c r="D66" s="1296" t="s">
        <v>781</v>
      </c>
      <c r="E66" s="1296" t="s">
        <v>716</v>
      </c>
      <c r="F66" s="1297">
        <v>1429</v>
      </c>
      <c r="G66" s="1295" t="s">
        <v>763</v>
      </c>
      <c r="H66" s="1295" t="s">
        <v>185</v>
      </c>
      <c r="I66" s="1296"/>
      <c r="J66" s="1296"/>
      <c r="K66" s="1296"/>
      <c r="L66" s="1296"/>
      <c r="M66" s="1298">
        <v>2658.6</v>
      </c>
      <c r="N66" s="1298">
        <v>0</v>
      </c>
      <c r="O66" s="1298">
        <v>0</v>
      </c>
      <c r="P66" s="1298">
        <v>0</v>
      </c>
      <c r="Q66" s="1298">
        <v>0</v>
      </c>
      <c r="R66" s="1298">
        <v>0</v>
      </c>
      <c r="S66" s="1298">
        <v>0</v>
      </c>
      <c r="T66" s="1298">
        <v>0</v>
      </c>
      <c r="U66" s="1298">
        <v>0</v>
      </c>
      <c r="V66" s="1298">
        <v>0</v>
      </c>
      <c r="W66" s="1298">
        <v>0</v>
      </c>
      <c r="X66" s="1298">
        <v>0</v>
      </c>
      <c r="Y66" s="1298">
        <v>0</v>
      </c>
      <c r="Z66" s="1298">
        <v>0</v>
      </c>
      <c r="AA66" s="1298">
        <v>0</v>
      </c>
      <c r="AB66" s="1298">
        <v>0</v>
      </c>
      <c r="AC66" s="1298">
        <v>0</v>
      </c>
      <c r="AD66" s="1298">
        <v>0</v>
      </c>
      <c r="AE66" s="1298">
        <v>0</v>
      </c>
      <c r="AF66" s="1298">
        <v>0</v>
      </c>
    </row>
    <row r="67" spans="1:32" ht="15" customHeight="1">
      <c r="A67" s="1294">
        <v>0</v>
      </c>
      <c r="B67" s="1294">
        <v>0</v>
      </c>
      <c r="C67" s="1295" t="s">
        <v>912</v>
      </c>
      <c r="D67" s="1296" t="s">
        <v>2013</v>
      </c>
      <c r="E67" s="1296" t="s">
        <v>716</v>
      </c>
      <c r="F67" s="1297">
        <v>698</v>
      </c>
      <c r="G67" s="1295" t="s">
        <v>763</v>
      </c>
      <c r="H67" s="1295" t="s">
        <v>185</v>
      </c>
      <c r="I67" s="1296"/>
      <c r="J67" s="1296"/>
      <c r="K67" s="1296"/>
      <c r="L67" s="1296"/>
      <c r="M67" s="1298">
        <v>1656.6</v>
      </c>
      <c r="N67" s="1298">
        <v>0</v>
      </c>
      <c r="O67" s="1298">
        <v>0</v>
      </c>
      <c r="P67" s="1298">
        <v>0</v>
      </c>
      <c r="Q67" s="1298">
        <v>0</v>
      </c>
      <c r="R67" s="1298">
        <v>0</v>
      </c>
      <c r="S67" s="1298">
        <v>0</v>
      </c>
      <c r="T67" s="1298">
        <v>0</v>
      </c>
      <c r="U67" s="1298">
        <v>0</v>
      </c>
      <c r="V67" s="1298">
        <v>0</v>
      </c>
      <c r="W67" s="1298">
        <v>0</v>
      </c>
      <c r="X67" s="1298">
        <v>0</v>
      </c>
      <c r="Y67" s="1298">
        <v>0</v>
      </c>
      <c r="Z67" s="1298">
        <v>0</v>
      </c>
      <c r="AA67" s="1298">
        <v>0</v>
      </c>
      <c r="AB67" s="1298">
        <v>0</v>
      </c>
      <c r="AC67" s="1298">
        <v>0</v>
      </c>
      <c r="AD67" s="1298">
        <v>0</v>
      </c>
      <c r="AE67" s="1298">
        <v>0</v>
      </c>
      <c r="AF67" s="1298">
        <v>0</v>
      </c>
    </row>
    <row r="68" spans="1:32" ht="15" customHeight="1">
      <c r="A68" s="1294">
        <v>0</v>
      </c>
      <c r="B68" s="1294">
        <v>0</v>
      </c>
      <c r="C68" s="1295" t="s">
        <v>913</v>
      </c>
      <c r="D68" s="1296" t="s">
        <v>789</v>
      </c>
      <c r="E68" s="1296" t="s">
        <v>716</v>
      </c>
      <c r="F68" s="1297">
        <v>645</v>
      </c>
      <c r="G68" s="1295" t="s">
        <v>763</v>
      </c>
      <c r="H68" s="1295" t="s">
        <v>185</v>
      </c>
      <c r="I68" s="1296"/>
      <c r="J68" s="1296"/>
      <c r="K68" s="1296"/>
      <c r="L68" s="1296"/>
      <c r="M68" s="1298">
        <v>1876.6</v>
      </c>
      <c r="N68" s="1298">
        <v>0</v>
      </c>
      <c r="O68" s="1298">
        <v>0</v>
      </c>
      <c r="P68" s="1298">
        <v>0</v>
      </c>
      <c r="Q68" s="1298">
        <v>0</v>
      </c>
      <c r="R68" s="1298">
        <v>0</v>
      </c>
      <c r="S68" s="1298">
        <v>0</v>
      </c>
      <c r="T68" s="1298">
        <v>0</v>
      </c>
      <c r="U68" s="1298">
        <v>0</v>
      </c>
      <c r="V68" s="1298">
        <v>0</v>
      </c>
      <c r="W68" s="1298">
        <v>0</v>
      </c>
      <c r="X68" s="1298">
        <v>0</v>
      </c>
      <c r="Y68" s="1298">
        <v>0</v>
      </c>
      <c r="Z68" s="1298">
        <v>0</v>
      </c>
      <c r="AA68" s="1298">
        <v>0</v>
      </c>
      <c r="AB68" s="1298">
        <v>0</v>
      </c>
      <c r="AC68" s="1298">
        <v>0</v>
      </c>
      <c r="AD68" s="1298">
        <v>0</v>
      </c>
      <c r="AE68" s="1298">
        <v>0</v>
      </c>
      <c r="AF68" s="1298">
        <v>0</v>
      </c>
    </row>
    <row r="69" spans="1:32" ht="15" customHeight="1">
      <c r="A69" s="1294">
        <v>0</v>
      </c>
      <c r="B69" s="1294">
        <v>0</v>
      </c>
      <c r="C69" s="1295" t="s">
        <v>915</v>
      </c>
      <c r="D69" s="1296" t="s">
        <v>2013</v>
      </c>
      <c r="E69" s="1296" t="s">
        <v>716</v>
      </c>
      <c r="F69" s="1297">
        <v>698</v>
      </c>
      <c r="G69" s="1295" t="s">
        <v>763</v>
      </c>
      <c r="H69" s="1295" t="s">
        <v>185</v>
      </c>
      <c r="I69" s="1296"/>
      <c r="J69" s="1296"/>
      <c r="K69" s="1296"/>
      <c r="L69" s="1296"/>
      <c r="M69" s="1298">
        <v>1656.6</v>
      </c>
      <c r="N69" s="1298">
        <v>0</v>
      </c>
      <c r="O69" s="1298">
        <v>0</v>
      </c>
      <c r="P69" s="1298">
        <v>0</v>
      </c>
      <c r="Q69" s="1298">
        <v>0</v>
      </c>
      <c r="R69" s="1298">
        <v>0</v>
      </c>
      <c r="S69" s="1298">
        <v>0</v>
      </c>
      <c r="T69" s="1298">
        <v>0</v>
      </c>
      <c r="U69" s="1298">
        <v>0</v>
      </c>
      <c r="V69" s="1298">
        <v>0</v>
      </c>
      <c r="W69" s="1298">
        <v>0</v>
      </c>
      <c r="X69" s="1298">
        <v>0</v>
      </c>
      <c r="Y69" s="1298">
        <v>0</v>
      </c>
      <c r="Z69" s="1298">
        <v>0</v>
      </c>
      <c r="AA69" s="1298">
        <v>0</v>
      </c>
      <c r="AB69" s="1298">
        <v>0</v>
      </c>
      <c r="AC69" s="1298">
        <v>0</v>
      </c>
      <c r="AD69" s="1298">
        <v>0</v>
      </c>
      <c r="AE69" s="1298">
        <v>0</v>
      </c>
      <c r="AF69" s="1298">
        <v>0</v>
      </c>
    </row>
    <row r="70" spans="1:32" ht="15" customHeight="1">
      <c r="A70" s="1294">
        <v>0</v>
      </c>
      <c r="B70" s="1294">
        <v>0</v>
      </c>
      <c r="C70" s="1295" t="s">
        <v>917</v>
      </c>
      <c r="D70" s="1296" t="s">
        <v>795</v>
      </c>
      <c r="E70" s="1296" t="s">
        <v>716</v>
      </c>
      <c r="F70" s="1297">
        <v>731</v>
      </c>
      <c r="G70" s="1295" t="s">
        <v>763</v>
      </c>
      <c r="H70" s="1295" t="s">
        <v>185</v>
      </c>
      <c r="I70" s="1296"/>
      <c r="J70" s="1296"/>
      <c r="K70" s="1296"/>
      <c r="L70" s="1296"/>
      <c r="M70" s="1298">
        <v>1771.6</v>
      </c>
      <c r="N70" s="1298">
        <v>0</v>
      </c>
      <c r="O70" s="1298">
        <v>0</v>
      </c>
      <c r="P70" s="1298">
        <v>0</v>
      </c>
      <c r="Q70" s="1298">
        <v>0</v>
      </c>
      <c r="R70" s="1298">
        <v>0</v>
      </c>
      <c r="S70" s="1298">
        <v>0</v>
      </c>
      <c r="T70" s="1298">
        <v>0</v>
      </c>
      <c r="U70" s="1298">
        <v>0</v>
      </c>
      <c r="V70" s="1298">
        <v>0</v>
      </c>
      <c r="W70" s="1298">
        <v>0</v>
      </c>
      <c r="X70" s="1298">
        <v>0</v>
      </c>
      <c r="Y70" s="1298">
        <v>0</v>
      </c>
      <c r="Z70" s="1298">
        <v>0</v>
      </c>
      <c r="AA70" s="1298">
        <v>0</v>
      </c>
      <c r="AB70" s="1298">
        <v>0</v>
      </c>
      <c r="AC70" s="1298">
        <v>0</v>
      </c>
      <c r="AD70" s="1298">
        <v>0</v>
      </c>
      <c r="AE70" s="1298">
        <v>0</v>
      </c>
      <c r="AF70" s="1298">
        <v>0</v>
      </c>
    </row>
    <row r="71" spans="1:32" ht="15" customHeight="1">
      <c r="A71" s="1294">
        <v>424</v>
      </c>
      <c r="B71" s="1294">
        <v>624</v>
      </c>
      <c r="C71" s="1295" t="s">
        <v>921</v>
      </c>
      <c r="D71" s="1296" t="s">
        <v>799</v>
      </c>
      <c r="E71" s="1296" t="s">
        <v>716</v>
      </c>
      <c r="F71" s="1297">
        <v>1399</v>
      </c>
      <c r="G71" s="1295" t="s">
        <v>189</v>
      </c>
      <c r="H71" s="1295" t="s">
        <v>2221</v>
      </c>
      <c r="I71" s="1296" t="s">
        <v>1368</v>
      </c>
      <c r="J71" s="1296"/>
      <c r="K71" s="1296" t="s">
        <v>1368</v>
      </c>
      <c r="L71" s="1296" t="s">
        <v>2222</v>
      </c>
      <c r="M71" s="1298">
        <v>1953.6</v>
      </c>
      <c r="N71" s="1298">
        <v>250</v>
      </c>
      <c r="O71" s="1298">
        <v>200</v>
      </c>
      <c r="P71" s="1298">
        <v>0</v>
      </c>
      <c r="Q71" s="1298">
        <v>1819</v>
      </c>
      <c r="R71" s="1298">
        <v>1819</v>
      </c>
      <c r="S71" s="1298">
        <v>30</v>
      </c>
      <c r="T71" s="1298">
        <v>12.6</v>
      </c>
      <c r="U71" s="1298">
        <v>22</v>
      </c>
      <c r="V71" s="1298">
        <v>0</v>
      </c>
      <c r="W71" s="1298">
        <v>0</v>
      </c>
      <c r="X71" s="1298">
        <v>0</v>
      </c>
      <c r="Y71" s="1298">
        <v>0</v>
      </c>
      <c r="Z71" s="1298">
        <v>0</v>
      </c>
      <c r="AA71" s="1298">
        <v>0</v>
      </c>
      <c r="AB71" s="1298">
        <v>0</v>
      </c>
      <c r="AC71" s="1298">
        <v>0</v>
      </c>
      <c r="AD71" s="1298">
        <v>0</v>
      </c>
      <c r="AE71" s="1298">
        <v>0</v>
      </c>
      <c r="AF71" s="1298">
        <v>1883.6</v>
      </c>
    </row>
    <row r="72" spans="1:32" ht="15" customHeight="1">
      <c r="A72" s="1294">
        <v>0</v>
      </c>
      <c r="B72" s="1294">
        <v>0</v>
      </c>
      <c r="C72" s="1295" t="s">
        <v>923</v>
      </c>
      <c r="D72" s="1296" t="s">
        <v>795</v>
      </c>
      <c r="E72" s="1296" t="s">
        <v>716</v>
      </c>
      <c r="F72" s="1297">
        <v>731</v>
      </c>
      <c r="G72" s="1295" t="s">
        <v>763</v>
      </c>
      <c r="H72" s="1295" t="s">
        <v>185</v>
      </c>
      <c r="I72" s="1296"/>
      <c r="J72" s="1296"/>
      <c r="K72" s="1296"/>
      <c r="L72" s="1296"/>
      <c r="M72" s="1298">
        <v>1771.6</v>
      </c>
      <c r="N72" s="1298">
        <v>0</v>
      </c>
      <c r="O72" s="1298">
        <v>0</v>
      </c>
      <c r="P72" s="1298">
        <v>0</v>
      </c>
      <c r="Q72" s="1298">
        <v>0</v>
      </c>
      <c r="R72" s="1298">
        <v>0</v>
      </c>
      <c r="S72" s="1298">
        <v>0</v>
      </c>
      <c r="T72" s="1298">
        <v>0</v>
      </c>
      <c r="U72" s="1298">
        <v>0</v>
      </c>
      <c r="V72" s="1298">
        <v>0</v>
      </c>
      <c r="W72" s="1298">
        <v>0</v>
      </c>
      <c r="X72" s="1298">
        <v>0</v>
      </c>
      <c r="Y72" s="1298">
        <v>0</v>
      </c>
      <c r="Z72" s="1298">
        <v>0</v>
      </c>
      <c r="AA72" s="1298">
        <v>0</v>
      </c>
      <c r="AB72" s="1298">
        <v>0</v>
      </c>
      <c r="AC72" s="1298">
        <v>0</v>
      </c>
      <c r="AD72" s="1298">
        <v>0</v>
      </c>
      <c r="AE72" s="1298">
        <v>0</v>
      </c>
      <c r="AF72" s="1298">
        <v>0</v>
      </c>
    </row>
    <row r="73" spans="1:32" ht="15" customHeight="1">
      <c r="A73" s="1294">
        <v>0</v>
      </c>
      <c r="B73" s="1294">
        <v>0</v>
      </c>
      <c r="C73" s="1295" t="s">
        <v>925</v>
      </c>
      <c r="D73" s="1296" t="s">
        <v>795</v>
      </c>
      <c r="E73" s="1296" t="s">
        <v>716</v>
      </c>
      <c r="F73" s="1297">
        <v>731</v>
      </c>
      <c r="G73" s="1295" t="s">
        <v>763</v>
      </c>
      <c r="H73" s="1295" t="s">
        <v>185</v>
      </c>
      <c r="I73" s="1296"/>
      <c r="J73" s="1296"/>
      <c r="K73" s="1296"/>
      <c r="L73" s="1296"/>
      <c r="M73" s="1298">
        <v>1771.6</v>
      </c>
      <c r="N73" s="1298">
        <v>0</v>
      </c>
      <c r="O73" s="1298">
        <v>0</v>
      </c>
      <c r="P73" s="1298">
        <v>0</v>
      </c>
      <c r="Q73" s="1298">
        <v>0</v>
      </c>
      <c r="R73" s="1298">
        <v>0</v>
      </c>
      <c r="S73" s="1298">
        <v>0</v>
      </c>
      <c r="T73" s="1298">
        <v>0</v>
      </c>
      <c r="U73" s="1298">
        <v>0</v>
      </c>
      <c r="V73" s="1298">
        <v>0</v>
      </c>
      <c r="W73" s="1298">
        <v>0</v>
      </c>
      <c r="X73" s="1298">
        <v>0</v>
      </c>
      <c r="Y73" s="1298">
        <v>0</v>
      </c>
      <c r="Z73" s="1298">
        <v>0</v>
      </c>
      <c r="AA73" s="1298">
        <v>0</v>
      </c>
      <c r="AB73" s="1298">
        <v>0</v>
      </c>
      <c r="AC73" s="1298">
        <v>0</v>
      </c>
      <c r="AD73" s="1298">
        <v>0</v>
      </c>
      <c r="AE73" s="1298">
        <v>0</v>
      </c>
      <c r="AF73" s="1298">
        <v>0</v>
      </c>
    </row>
    <row r="74" spans="1:32" ht="15" customHeight="1">
      <c r="A74" s="1294">
        <v>29</v>
      </c>
      <c r="B74" s="1294">
        <v>639</v>
      </c>
      <c r="C74" s="1295" t="s">
        <v>927</v>
      </c>
      <c r="D74" s="1296" t="s">
        <v>815</v>
      </c>
      <c r="E74" s="1296" t="s">
        <v>716</v>
      </c>
      <c r="F74" s="1297">
        <v>698</v>
      </c>
      <c r="G74" s="1295" t="s">
        <v>189</v>
      </c>
      <c r="H74" s="1295" t="s">
        <v>928</v>
      </c>
      <c r="I74" s="1296" t="s">
        <v>929</v>
      </c>
      <c r="J74" s="1296"/>
      <c r="K74" s="1296" t="s">
        <v>2218</v>
      </c>
      <c r="L74" s="1296" t="s">
        <v>2219</v>
      </c>
      <c r="M74" s="1298">
        <v>1656.6</v>
      </c>
      <c r="N74" s="1298">
        <v>250</v>
      </c>
      <c r="O74" s="1298">
        <v>250</v>
      </c>
      <c r="P74" s="1298">
        <v>0</v>
      </c>
      <c r="Q74" s="1298">
        <v>1458</v>
      </c>
      <c r="R74" s="1298">
        <v>1458</v>
      </c>
      <c r="S74" s="1298">
        <v>25</v>
      </c>
      <c r="T74" s="1298">
        <v>12.6</v>
      </c>
      <c r="U74" s="1298">
        <v>17</v>
      </c>
      <c r="V74" s="1298">
        <v>20</v>
      </c>
      <c r="W74" s="1298">
        <v>0</v>
      </c>
      <c r="X74" s="1298">
        <v>0</v>
      </c>
      <c r="Y74" s="1298">
        <v>50</v>
      </c>
      <c r="Z74" s="1298">
        <v>0</v>
      </c>
      <c r="AA74" s="1298">
        <v>0</v>
      </c>
      <c r="AB74" s="1298">
        <v>0</v>
      </c>
      <c r="AC74" s="1298">
        <v>0</v>
      </c>
      <c r="AD74" s="1298">
        <v>0</v>
      </c>
      <c r="AE74" s="1298">
        <v>0</v>
      </c>
      <c r="AF74" s="1298">
        <v>1582.6</v>
      </c>
    </row>
    <row r="75" spans="1:32" ht="15" customHeight="1">
      <c r="A75" s="1294">
        <v>246</v>
      </c>
      <c r="B75" s="1294">
        <v>433</v>
      </c>
      <c r="C75" s="1295" t="s">
        <v>931</v>
      </c>
      <c r="D75" s="1296" t="s">
        <v>815</v>
      </c>
      <c r="E75" s="1296" t="s">
        <v>716</v>
      </c>
      <c r="F75" s="1297">
        <v>698</v>
      </c>
      <c r="G75" s="1295" t="s">
        <v>189</v>
      </c>
      <c r="H75" s="1295" t="s">
        <v>932</v>
      </c>
      <c r="I75" s="1296" t="s">
        <v>933</v>
      </c>
      <c r="J75" s="1296"/>
      <c r="K75" s="1296" t="s">
        <v>1842</v>
      </c>
      <c r="L75" s="1296" t="s">
        <v>1845</v>
      </c>
      <c r="M75" s="1298">
        <v>1656.6</v>
      </c>
      <c r="N75" s="1298">
        <v>0</v>
      </c>
      <c r="O75" s="1298">
        <v>0</v>
      </c>
      <c r="P75" s="1298">
        <v>-1717.2</v>
      </c>
      <c r="Q75" s="1298">
        <v>1572</v>
      </c>
      <c r="R75" s="1298">
        <v>1572</v>
      </c>
      <c r="S75" s="1298">
        <v>25</v>
      </c>
      <c r="T75" s="1298">
        <v>11.5</v>
      </c>
      <c r="U75" s="1298">
        <v>17</v>
      </c>
      <c r="V75" s="1298">
        <v>20</v>
      </c>
      <c r="W75" s="1298">
        <v>0</v>
      </c>
      <c r="X75" s="1298">
        <v>0</v>
      </c>
      <c r="Y75" s="1298">
        <v>0</v>
      </c>
      <c r="Z75" s="1298">
        <v>0</v>
      </c>
      <c r="AA75" s="1298">
        <v>0</v>
      </c>
      <c r="AB75" s="1298">
        <v>0</v>
      </c>
      <c r="AC75" s="1298">
        <v>0</v>
      </c>
      <c r="AD75" s="1298">
        <v>0</v>
      </c>
      <c r="AE75" s="1298">
        <v>0</v>
      </c>
      <c r="AF75" s="1298">
        <v>1645.5</v>
      </c>
    </row>
    <row r="76" spans="1:32" ht="15" customHeight="1">
      <c r="A76" s="1294">
        <v>386</v>
      </c>
      <c r="B76" s="1294">
        <v>555</v>
      </c>
      <c r="C76" s="1295" t="s">
        <v>935</v>
      </c>
      <c r="D76" s="1296" t="s">
        <v>727</v>
      </c>
      <c r="E76" s="1296" t="s">
        <v>716</v>
      </c>
      <c r="F76" s="1297">
        <v>1000</v>
      </c>
      <c r="G76" s="1295" t="s">
        <v>189</v>
      </c>
      <c r="H76" s="1295" t="s">
        <v>2032</v>
      </c>
      <c r="I76" s="1296" t="s">
        <v>1332</v>
      </c>
      <c r="J76" s="1296"/>
      <c r="K76" s="1296" t="s">
        <v>1332</v>
      </c>
      <c r="L76" s="1296" t="s">
        <v>1827</v>
      </c>
      <c r="M76" s="1298">
        <v>1779.6</v>
      </c>
      <c r="N76" s="1298">
        <v>250</v>
      </c>
      <c r="O76" s="1298">
        <v>250</v>
      </c>
      <c r="P76" s="1298">
        <v>40.74</v>
      </c>
      <c r="Q76" s="1298">
        <v>1645</v>
      </c>
      <c r="R76" s="1298">
        <v>1645</v>
      </c>
      <c r="S76" s="1298">
        <v>30</v>
      </c>
      <c r="T76" s="1298">
        <v>12.6</v>
      </c>
      <c r="U76" s="1298">
        <v>22</v>
      </c>
      <c r="V76" s="1298">
        <v>0</v>
      </c>
      <c r="W76" s="1298">
        <v>0</v>
      </c>
      <c r="X76" s="1298">
        <v>0</v>
      </c>
      <c r="Y76" s="1298">
        <v>0</v>
      </c>
      <c r="Z76" s="1298">
        <v>0</v>
      </c>
      <c r="AA76" s="1298">
        <v>0</v>
      </c>
      <c r="AB76" s="1298">
        <v>0</v>
      </c>
      <c r="AC76" s="1298">
        <v>0</v>
      </c>
      <c r="AD76" s="1298">
        <v>0</v>
      </c>
      <c r="AE76" s="1298">
        <v>0</v>
      </c>
      <c r="AF76" s="1298">
        <v>1709.6</v>
      </c>
    </row>
    <row r="77" spans="1:32" ht="15" customHeight="1">
      <c r="A77" s="1294">
        <v>32</v>
      </c>
      <c r="B77" s="1294">
        <v>677</v>
      </c>
      <c r="C77" s="1295" t="s">
        <v>936</v>
      </c>
      <c r="D77" s="1296" t="s">
        <v>815</v>
      </c>
      <c r="E77" s="1296" t="s">
        <v>716</v>
      </c>
      <c r="F77" s="1297">
        <v>698</v>
      </c>
      <c r="G77" s="1295" t="s">
        <v>189</v>
      </c>
      <c r="H77" s="1295" t="s">
        <v>937</v>
      </c>
      <c r="I77" s="1296" t="s">
        <v>938</v>
      </c>
      <c r="J77" s="1296"/>
      <c r="K77" s="1296" t="s">
        <v>2103</v>
      </c>
      <c r="L77" s="1296" t="s">
        <v>2088</v>
      </c>
      <c r="M77" s="1298">
        <v>1656.6</v>
      </c>
      <c r="N77" s="1298">
        <v>0</v>
      </c>
      <c r="O77" s="1298">
        <v>0</v>
      </c>
      <c r="P77" s="1298">
        <v>94.41</v>
      </c>
      <c r="Q77" s="1298">
        <v>1712</v>
      </c>
      <c r="R77" s="1298">
        <v>1712</v>
      </c>
      <c r="S77" s="1298">
        <v>30</v>
      </c>
      <c r="T77" s="1298">
        <v>12.6</v>
      </c>
      <c r="U77" s="1298">
        <v>22</v>
      </c>
      <c r="V77" s="1298">
        <v>20</v>
      </c>
      <c r="W77" s="1298">
        <v>0</v>
      </c>
      <c r="X77" s="1298">
        <v>0</v>
      </c>
      <c r="Y77" s="1298">
        <v>50</v>
      </c>
      <c r="Z77" s="1298">
        <v>0</v>
      </c>
      <c r="AA77" s="1298">
        <v>0</v>
      </c>
      <c r="AB77" s="1298">
        <v>0</v>
      </c>
      <c r="AC77" s="1298">
        <v>0</v>
      </c>
      <c r="AD77" s="1298">
        <v>0</v>
      </c>
      <c r="AE77" s="1298">
        <v>0</v>
      </c>
      <c r="AF77" s="1298">
        <v>1846.6</v>
      </c>
    </row>
    <row r="78" spans="1:32" ht="15" customHeight="1">
      <c r="A78" s="1294">
        <v>338</v>
      </c>
      <c r="B78" s="1294">
        <v>397</v>
      </c>
      <c r="C78" s="1295" t="s">
        <v>940</v>
      </c>
      <c r="D78" s="1296" t="s">
        <v>1999</v>
      </c>
      <c r="E78" s="1296" t="s">
        <v>716</v>
      </c>
      <c r="F78" s="1297">
        <v>1036</v>
      </c>
      <c r="G78" s="1295" t="s">
        <v>189</v>
      </c>
      <c r="H78" s="1295" t="s">
        <v>941</v>
      </c>
      <c r="I78" s="1296" t="s">
        <v>1846</v>
      </c>
      <c r="J78" s="1296"/>
      <c r="K78" s="1296" t="s">
        <v>1846</v>
      </c>
      <c r="L78" s="1296" t="s">
        <v>942</v>
      </c>
      <c r="M78" s="1298">
        <v>1995.6</v>
      </c>
      <c r="N78" s="1298">
        <v>0</v>
      </c>
      <c r="O78" s="1298">
        <v>0</v>
      </c>
      <c r="P78" s="1298">
        <v>40.47</v>
      </c>
      <c r="Q78" s="1298">
        <v>1795</v>
      </c>
      <c r="R78" s="1298">
        <v>1795</v>
      </c>
      <c r="S78" s="1298">
        <v>25</v>
      </c>
      <c r="T78" s="1298">
        <v>12.6</v>
      </c>
      <c r="U78" s="1298">
        <v>0</v>
      </c>
      <c r="V78" s="1298">
        <v>0</v>
      </c>
      <c r="W78" s="1298">
        <v>0</v>
      </c>
      <c r="X78" s="1298">
        <v>0</v>
      </c>
      <c r="Y78" s="1298">
        <v>0</v>
      </c>
      <c r="Z78" s="1298">
        <v>0</v>
      </c>
      <c r="AA78" s="1298">
        <v>0</v>
      </c>
      <c r="AB78" s="1298">
        <v>0</v>
      </c>
      <c r="AC78" s="1298">
        <v>0</v>
      </c>
      <c r="AD78" s="1298">
        <v>0</v>
      </c>
      <c r="AE78" s="1298">
        <v>0</v>
      </c>
      <c r="AF78" s="1298">
        <v>1832.6</v>
      </c>
    </row>
    <row r="79" spans="1:32" ht="15" customHeight="1">
      <c r="A79" s="1294">
        <v>434</v>
      </c>
      <c r="B79" s="1294">
        <v>636</v>
      </c>
      <c r="C79" s="1295" t="s">
        <v>943</v>
      </c>
      <c r="D79" s="1296" t="s">
        <v>772</v>
      </c>
      <c r="E79" s="1296" t="s">
        <v>716</v>
      </c>
      <c r="F79" s="1297">
        <v>937</v>
      </c>
      <c r="G79" s="1295" t="s">
        <v>189</v>
      </c>
      <c r="H79" s="1295" t="s">
        <v>2223</v>
      </c>
      <c r="I79" s="1296" t="s">
        <v>1347</v>
      </c>
      <c r="J79" s="1296"/>
      <c r="K79" s="1296" t="s">
        <v>1347</v>
      </c>
      <c r="L79" s="1296" t="s">
        <v>2224</v>
      </c>
      <c r="M79" s="1298">
        <v>1785.6</v>
      </c>
      <c r="N79" s="1298">
        <v>250</v>
      </c>
      <c r="O79" s="1298">
        <v>250</v>
      </c>
      <c r="P79" s="1298">
        <v>0</v>
      </c>
      <c r="Q79" s="1298">
        <v>1651</v>
      </c>
      <c r="R79" s="1298">
        <v>1651</v>
      </c>
      <c r="S79" s="1298">
        <v>30</v>
      </c>
      <c r="T79" s="1298">
        <v>12.6</v>
      </c>
      <c r="U79" s="1298">
        <v>22</v>
      </c>
      <c r="V79" s="1298">
        <v>20</v>
      </c>
      <c r="W79" s="1298">
        <v>30</v>
      </c>
      <c r="X79" s="1298">
        <v>0</v>
      </c>
      <c r="Y79" s="1298">
        <v>50</v>
      </c>
      <c r="Z79" s="1298">
        <v>0</v>
      </c>
      <c r="AA79" s="1298">
        <v>0</v>
      </c>
      <c r="AB79" s="1298">
        <v>0</v>
      </c>
      <c r="AC79" s="1298">
        <v>-825.5</v>
      </c>
      <c r="AD79" s="1298">
        <v>0</v>
      </c>
      <c r="AE79" s="1298">
        <v>0</v>
      </c>
      <c r="AF79" s="1298">
        <v>990.1</v>
      </c>
    </row>
    <row r="80" spans="1:32" ht="15" customHeight="1">
      <c r="A80" s="1294">
        <v>322</v>
      </c>
      <c r="B80" s="1294">
        <v>349</v>
      </c>
      <c r="C80" s="1295" t="s">
        <v>945</v>
      </c>
      <c r="D80" s="1296" t="s">
        <v>840</v>
      </c>
      <c r="E80" s="1296" t="s">
        <v>716</v>
      </c>
      <c r="F80" s="1297">
        <v>1235</v>
      </c>
      <c r="G80" s="1295" t="s">
        <v>189</v>
      </c>
      <c r="H80" s="1295" t="s">
        <v>946</v>
      </c>
      <c r="I80" s="1296" t="s">
        <v>947</v>
      </c>
      <c r="J80" s="1296"/>
      <c r="K80" s="1296" t="s">
        <v>947</v>
      </c>
      <c r="L80" s="1296" t="s">
        <v>948</v>
      </c>
      <c r="M80" s="1298">
        <v>2493.6</v>
      </c>
      <c r="N80" s="1298">
        <v>0</v>
      </c>
      <c r="O80" s="1298">
        <v>0</v>
      </c>
      <c r="P80" s="1298">
        <v>27.22</v>
      </c>
      <c r="Q80" s="1298">
        <v>2259</v>
      </c>
      <c r="R80" s="1298">
        <v>2259</v>
      </c>
      <c r="S80" s="1298">
        <v>25</v>
      </c>
      <c r="T80" s="1298">
        <v>12.6</v>
      </c>
      <c r="U80" s="1298">
        <v>0</v>
      </c>
      <c r="V80" s="1298">
        <v>0</v>
      </c>
      <c r="W80" s="1298">
        <v>0</v>
      </c>
      <c r="X80" s="1298">
        <v>0</v>
      </c>
      <c r="Y80" s="1298">
        <v>0</v>
      </c>
      <c r="Z80" s="1298">
        <v>0</v>
      </c>
      <c r="AA80" s="1298">
        <v>0</v>
      </c>
      <c r="AB80" s="1298">
        <v>0</v>
      </c>
      <c r="AC80" s="1298">
        <v>0</v>
      </c>
      <c r="AD80" s="1298">
        <v>0</v>
      </c>
      <c r="AE80" s="1298">
        <v>0</v>
      </c>
      <c r="AF80" s="1298">
        <v>2296.6</v>
      </c>
    </row>
    <row r="81" spans="1:32" ht="15" customHeight="1">
      <c r="A81" s="1294">
        <v>172</v>
      </c>
      <c r="B81" s="1294">
        <v>473</v>
      </c>
      <c r="C81" s="1295" t="s">
        <v>949</v>
      </c>
      <c r="D81" s="1296" t="s">
        <v>840</v>
      </c>
      <c r="E81" s="1296" t="s">
        <v>716</v>
      </c>
      <c r="F81" s="1297">
        <v>1235</v>
      </c>
      <c r="G81" s="1295" t="s">
        <v>189</v>
      </c>
      <c r="H81" s="1295" t="s">
        <v>950</v>
      </c>
      <c r="I81" s="1296" t="s">
        <v>742</v>
      </c>
      <c r="J81" s="1296"/>
      <c r="K81" s="1296" t="s">
        <v>843</v>
      </c>
      <c r="L81" s="1296" t="s">
        <v>1847</v>
      </c>
      <c r="M81" s="1298">
        <v>2493.6</v>
      </c>
      <c r="N81" s="1298">
        <v>0</v>
      </c>
      <c r="O81" s="1298">
        <v>0</v>
      </c>
      <c r="P81" s="1298">
        <v>99.75</v>
      </c>
      <c r="Q81" s="1298">
        <v>2359</v>
      </c>
      <c r="R81" s="1298">
        <v>2359</v>
      </c>
      <c r="S81" s="1298">
        <v>25</v>
      </c>
      <c r="T81" s="1298">
        <v>11.5</v>
      </c>
      <c r="U81" s="1298">
        <v>17</v>
      </c>
      <c r="V81" s="1298">
        <v>20</v>
      </c>
      <c r="W81" s="1298">
        <v>25</v>
      </c>
      <c r="X81" s="1298">
        <v>0</v>
      </c>
      <c r="Y81" s="1298">
        <v>0</v>
      </c>
      <c r="Z81" s="1298">
        <v>0</v>
      </c>
      <c r="AA81" s="1298">
        <v>0</v>
      </c>
      <c r="AB81" s="1298">
        <v>0</v>
      </c>
      <c r="AC81" s="1298">
        <v>0</v>
      </c>
      <c r="AD81" s="1298">
        <v>0</v>
      </c>
      <c r="AE81" s="1298">
        <v>0</v>
      </c>
      <c r="AF81" s="1298">
        <v>2457.5</v>
      </c>
    </row>
    <row r="82" spans="1:32" ht="15" customHeight="1">
      <c r="A82" s="1294">
        <v>179</v>
      </c>
      <c r="B82" s="1294">
        <v>517</v>
      </c>
      <c r="C82" s="1295" t="s">
        <v>951</v>
      </c>
      <c r="D82" s="1296" t="s">
        <v>772</v>
      </c>
      <c r="E82" s="1296" t="s">
        <v>716</v>
      </c>
      <c r="F82" s="1297">
        <v>937</v>
      </c>
      <c r="G82" s="1295" t="s">
        <v>189</v>
      </c>
      <c r="H82" s="1295" t="s">
        <v>952</v>
      </c>
      <c r="I82" s="1296" t="s">
        <v>953</v>
      </c>
      <c r="J82" s="1296"/>
      <c r="K82" s="1296" t="s">
        <v>2033</v>
      </c>
      <c r="L82" s="1296" t="s">
        <v>2034</v>
      </c>
      <c r="M82" s="1298">
        <v>2000.6</v>
      </c>
      <c r="N82" s="1298">
        <v>0</v>
      </c>
      <c r="O82" s="1298">
        <v>0</v>
      </c>
      <c r="P82" s="1298">
        <v>58.11</v>
      </c>
      <c r="Q82" s="1298">
        <v>1916</v>
      </c>
      <c r="R82" s="1298">
        <v>1916</v>
      </c>
      <c r="S82" s="1298">
        <v>25</v>
      </c>
      <c r="T82" s="1298">
        <v>12.6</v>
      </c>
      <c r="U82" s="1298">
        <v>0</v>
      </c>
      <c r="V82" s="1298">
        <v>0</v>
      </c>
      <c r="W82" s="1298">
        <v>0</v>
      </c>
      <c r="X82" s="1298">
        <v>0</v>
      </c>
      <c r="Y82" s="1298">
        <v>0</v>
      </c>
      <c r="Z82" s="1298">
        <v>0</v>
      </c>
      <c r="AA82" s="1298">
        <v>0</v>
      </c>
      <c r="AB82" s="1298">
        <v>0</v>
      </c>
      <c r="AC82" s="1298">
        <v>0</v>
      </c>
      <c r="AD82" s="1298">
        <v>0</v>
      </c>
      <c r="AE82" s="1298">
        <v>0</v>
      </c>
      <c r="AF82" s="1298">
        <v>1953.6</v>
      </c>
    </row>
    <row r="83" spans="1:32" ht="15" customHeight="1">
      <c r="A83" s="1294">
        <v>417</v>
      </c>
      <c r="B83" s="1294">
        <v>608</v>
      </c>
      <c r="C83" s="1295" t="s">
        <v>955</v>
      </c>
      <c r="D83" s="1296" t="s">
        <v>2062</v>
      </c>
      <c r="E83" s="1296" t="s">
        <v>716</v>
      </c>
      <c r="F83" s="1297">
        <v>784</v>
      </c>
      <c r="G83" s="1295" t="s">
        <v>189</v>
      </c>
      <c r="H83" s="1295" t="s">
        <v>2035</v>
      </c>
      <c r="I83" s="1296" t="s">
        <v>2036</v>
      </c>
      <c r="J83" s="1296"/>
      <c r="K83" s="1296" t="s">
        <v>2036</v>
      </c>
      <c r="L83" s="1296" t="s">
        <v>2037</v>
      </c>
      <c r="M83" s="1298">
        <v>2001.6</v>
      </c>
      <c r="N83" s="1298">
        <v>250</v>
      </c>
      <c r="O83" s="1298">
        <v>250</v>
      </c>
      <c r="P83" s="1298">
        <v>-2.1</v>
      </c>
      <c r="Q83" s="1298">
        <v>1867</v>
      </c>
      <c r="R83" s="1298">
        <v>1867</v>
      </c>
      <c r="S83" s="1298">
        <v>30</v>
      </c>
      <c r="T83" s="1298">
        <v>12.6</v>
      </c>
      <c r="U83" s="1298">
        <v>22</v>
      </c>
      <c r="V83" s="1298">
        <v>0</v>
      </c>
      <c r="W83" s="1298">
        <v>0</v>
      </c>
      <c r="X83" s="1298">
        <v>0</v>
      </c>
      <c r="Y83" s="1298">
        <v>0</v>
      </c>
      <c r="Z83" s="1298">
        <v>0</v>
      </c>
      <c r="AA83" s="1298">
        <v>0</v>
      </c>
      <c r="AB83" s="1298">
        <v>0</v>
      </c>
      <c r="AC83" s="1298">
        <v>-1867</v>
      </c>
      <c r="AD83" s="1298">
        <v>0</v>
      </c>
      <c r="AE83" s="1298">
        <v>0</v>
      </c>
      <c r="AF83" s="1298">
        <v>64.599999999999994</v>
      </c>
    </row>
    <row r="84" spans="1:32" ht="15" customHeight="1">
      <c r="A84" s="1294">
        <v>342</v>
      </c>
      <c r="B84" s="1294">
        <v>401</v>
      </c>
      <c r="C84" s="1295" t="s">
        <v>956</v>
      </c>
      <c r="D84" s="1296" t="s">
        <v>1194</v>
      </c>
      <c r="E84" s="1296" t="s">
        <v>716</v>
      </c>
      <c r="F84" s="1297">
        <v>684</v>
      </c>
      <c r="G84" s="1295" t="s">
        <v>189</v>
      </c>
      <c r="H84" s="1295" t="s">
        <v>957</v>
      </c>
      <c r="I84" s="1296" t="s">
        <v>833</v>
      </c>
      <c r="J84" s="1296"/>
      <c r="K84" s="1296" t="s">
        <v>833</v>
      </c>
      <c r="L84" s="1296" t="s">
        <v>834</v>
      </c>
      <c r="M84" s="1298">
        <v>1621.6</v>
      </c>
      <c r="N84" s="1298">
        <v>250</v>
      </c>
      <c r="O84" s="1298">
        <v>250</v>
      </c>
      <c r="P84" s="1298">
        <v>32.53</v>
      </c>
      <c r="Q84" s="1298">
        <v>1557</v>
      </c>
      <c r="R84" s="1298">
        <v>1557</v>
      </c>
      <c r="S84" s="1298">
        <v>25</v>
      </c>
      <c r="T84" s="1298">
        <v>12.6</v>
      </c>
      <c r="U84" s="1298">
        <v>0</v>
      </c>
      <c r="V84" s="1298">
        <v>0</v>
      </c>
      <c r="W84" s="1298">
        <v>0</v>
      </c>
      <c r="X84" s="1298">
        <v>0</v>
      </c>
      <c r="Y84" s="1298">
        <v>0</v>
      </c>
      <c r="Z84" s="1298">
        <v>0</v>
      </c>
      <c r="AA84" s="1298">
        <v>0</v>
      </c>
      <c r="AB84" s="1298">
        <v>0</v>
      </c>
      <c r="AC84" s="1298">
        <v>0</v>
      </c>
      <c r="AD84" s="1298">
        <v>0</v>
      </c>
      <c r="AE84" s="1298">
        <v>0</v>
      </c>
      <c r="AF84" s="1298">
        <v>1594.6</v>
      </c>
    </row>
    <row r="85" spans="1:32" ht="15" customHeight="1">
      <c r="A85" s="1294">
        <v>222</v>
      </c>
      <c r="B85" s="1294">
        <v>445</v>
      </c>
      <c r="C85" s="1295" t="s">
        <v>958</v>
      </c>
      <c r="D85" s="1296" t="s">
        <v>2063</v>
      </c>
      <c r="E85" s="1296" t="s">
        <v>716</v>
      </c>
      <c r="F85" s="1297">
        <v>833</v>
      </c>
      <c r="G85" s="1295" t="s">
        <v>769</v>
      </c>
      <c r="H85" s="1295" t="s">
        <v>959</v>
      </c>
      <c r="I85" s="1296" t="s">
        <v>960</v>
      </c>
      <c r="J85" s="1296" t="s">
        <v>1848</v>
      </c>
      <c r="K85" s="1296" t="s">
        <v>1396</v>
      </c>
      <c r="L85" s="1296" t="s">
        <v>1848</v>
      </c>
      <c r="M85" s="1298">
        <v>2080.6</v>
      </c>
      <c r="N85" s="1298">
        <v>0</v>
      </c>
      <c r="O85" s="1298">
        <v>0</v>
      </c>
      <c r="P85" s="1298">
        <v>56.05</v>
      </c>
      <c r="Q85" s="1298">
        <v>1528</v>
      </c>
      <c r="R85" s="1298">
        <v>1528</v>
      </c>
      <c r="S85" s="1298">
        <v>25</v>
      </c>
      <c r="T85" s="1298">
        <v>11.5</v>
      </c>
      <c r="U85" s="1298">
        <v>17</v>
      </c>
      <c r="V85" s="1298">
        <v>20</v>
      </c>
      <c r="W85" s="1298">
        <v>0</v>
      </c>
      <c r="X85" s="1298">
        <v>0</v>
      </c>
      <c r="Y85" s="1298">
        <v>0</v>
      </c>
      <c r="Z85" s="1298">
        <v>0</v>
      </c>
      <c r="AA85" s="1298">
        <v>0</v>
      </c>
      <c r="AB85" s="1298">
        <v>0</v>
      </c>
      <c r="AC85" s="1298">
        <v>0</v>
      </c>
      <c r="AD85" s="1298">
        <v>0</v>
      </c>
      <c r="AE85" s="1298">
        <v>0</v>
      </c>
      <c r="AF85" s="1298">
        <v>1601.5</v>
      </c>
    </row>
    <row r="86" spans="1:32" ht="15" customHeight="1">
      <c r="A86" s="1294">
        <v>206</v>
      </c>
      <c r="B86" s="1294">
        <v>459</v>
      </c>
      <c r="C86" s="1295" t="s">
        <v>962</v>
      </c>
      <c r="D86" s="1296" t="s">
        <v>1998</v>
      </c>
      <c r="E86" s="1296" t="s">
        <v>716</v>
      </c>
      <c r="F86" s="1297">
        <v>892</v>
      </c>
      <c r="G86" s="1295" t="s">
        <v>189</v>
      </c>
      <c r="H86" s="1295" t="s">
        <v>1849</v>
      </c>
      <c r="I86" s="1296" t="s">
        <v>1840</v>
      </c>
      <c r="J86" s="1296"/>
      <c r="K86" s="1296" t="s">
        <v>1840</v>
      </c>
      <c r="L86" s="1296" t="s">
        <v>1504</v>
      </c>
      <c r="M86" s="1298">
        <v>1689.6</v>
      </c>
      <c r="N86" s="1298">
        <v>250</v>
      </c>
      <c r="O86" s="1298">
        <v>250</v>
      </c>
      <c r="P86" s="1298">
        <v>42.71</v>
      </c>
      <c r="Q86" s="1298">
        <v>1550</v>
      </c>
      <c r="R86" s="1298">
        <v>1550</v>
      </c>
      <c r="S86" s="1298">
        <v>30</v>
      </c>
      <c r="T86" s="1298">
        <v>12.6</v>
      </c>
      <c r="U86" s="1298">
        <v>22</v>
      </c>
      <c r="V86" s="1298">
        <v>20</v>
      </c>
      <c r="W86" s="1298">
        <v>0</v>
      </c>
      <c r="X86" s="1298">
        <v>0</v>
      </c>
      <c r="Y86" s="1298">
        <v>0</v>
      </c>
      <c r="Z86" s="1298">
        <v>0</v>
      </c>
      <c r="AA86" s="1298">
        <v>0</v>
      </c>
      <c r="AB86" s="1298">
        <v>0</v>
      </c>
      <c r="AC86" s="1298">
        <v>0</v>
      </c>
      <c r="AD86" s="1298">
        <v>0</v>
      </c>
      <c r="AE86" s="1298">
        <v>0</v>
      </c>
      <c r="AF86" s="1298">
        <v>1634.6</v>
      </c>
    </row>
    <row r="87" spans="1:32" ht="15" customHeight="1">
      <c r="A87" s="1294">
        <v>403</v>
      </c>
      <c r="B87" s="1294">
        <v>586</v>
      </c>
      <c r="C87" s="1295" t="s">
        <v>964</v>
      </c>
      <c r="D87" s="1296" t="s">
        <v>1999</v>
      </c>
      <c r="E87" s="1296" t="s">
        <v>716</v>
      </c>
      <c r="F87" s="1297">
        <v>1036</v>
      </c>
      <c r="G87" s="1295" t="s">
        <v>189</v>
      </c>
      <c r="H87" s="1295" t="s">
        <v>2038</v>
      </c>
      <c r="I87" s="1296" t="s">
        <v>1829</v>
      </c>
      <c r="J87" s="1296"/>
      <c r="K87" s="1296" t="s">
        <v>1829</v>
      </c>
      <c r="L87" s="1296" t="s">
        <v>2039</v>
      </c>
      <c r="M87" s="1298">
        <v>1716.6</v>
      </c>
      <c r="N87" s="1298">
        <v>500</v>
      </c>
      <c r="O87" s="1298">
        <v>500</v>
      </c>
      <c r="P87" s="1298">
        <v>1.67</v>
      </c>
      <c r="Q87" s="1298">
        <v>1582</v>
      </c>
      <c r="R87" s="1298">
        <v>1582</v>
      </c>
      <c r="S87" s="1298">
        <v>30</v>
      </c>
      <c r="T87" s="1298">
        <v>12.6</v>
      </c>
      <c r="U87" s="1298">
        <v>22</v>
      </c>
      <c r="V87" s="1298">
        <v>0</v>
      </c>
      <c r="W87" s="1298">
        <v>0</v>
      </c>
      <c r="X87" s="1298">
        <v>0</v>
      </c>
      <c r="Y87" s="1298">
        <v>0</v>
      </c>
      <c r="Z87" s="1298">
        <v>0</v>
      </c>
      <c r="AA87" s="1298">
        <v>0</v>
      </c>
      <c r="AB87" s="1298">
        <v>0</v>
      </c>
      <c r="AC87" s="1298">
        <v>0</v>
      </c>
      <c r="AD87" s="1298">
        <v>0</v>
      </c>
      <c r="AE87" s="1298">
        <v>0</v>
      </c>
      <c r="AF87" s="1298">
        <v>1646.6</v>
      </c>
    </row>
    <row r="88" spans="1:32" ht="15" customHeight="1">
      <c r="A88" s="1294">
        <v>71</v>
      </c>
      <c r="B88" s="1294">
        <v>74</v>
      </c>
      <c r="C88" s="1295" t="s">
        <v>965</v>
      </c>
      <c r="D88" s="1296" t="s">
        <v>723</v>
      </c>
      <c r="E88" s="1296" t="s">
        <v>716</v>
      </c>
      <c r="F88" s="1297">
        <v>1156</v>
      </c>
      <c r="G88" s="1295" t="s">
        <v>189</v>
      </c>
      <c r="H88" s="1295" t="s">
        <v>966</v>
      </c>
      <c r="I88" s="1296" t="s">
        <v>967</v>
      </c>
      <c r="J88" s="1296"/>
      <c r="K88" s="1296" t="s">
        <v>968</v>
      </c>
      <c r="L88" s="1296" t="s">
        <v>969</v>
      </c>
      <c r="M88" s="1298">
        <v>2173.6</v>
      </c>
      <c r="N88" s="1298">
        <v>0</v>
      </c>
      <c r="O88" s="1298">
        <v>0</v>
      </c>
      <c r="P88" s="1298">
        <v>36.61</v>
      </c>
      <c r="Q88" s="1298">
        <v>1893</v>
      </c>
      <c r="R88" s="1298">
        <v>1893</v>
      </c>
      <c r="S88" s="1298">
        <v>25</v>
      </c>
      <c r="T88" s="1298">
        <v>12.6</v>
      </c>
      <c r="U88" s="1298">
        <v>17</v>
      </c>
      <c r="V88" s="1298">
        <v>20</v>
      </c>
      <c r="W88" s="1298">
        <v>0</v>
      </c>
      <c r="X88" s="1298">
        <v>0</v>
      </c>
      <c r="Y88" s="1298">
        <v>0</v>
      </c>
      <c r="Z88" s="1298">
        <v>0</v>
      </c>
      <c r="AA88" s="1298">
        <v>350</v>
      </c>
      <c r="AB88" s="1298">
        <v>0</v>
      </c>
      <c r="AC88" s="1298">
        <v>0</v>
      </c>
      <c r="AD88" s="1298">
        <v>0</v>
      </c>
      <c r="AE88" s="1298">
        <v>0</v>
      </c>
      <c r="AF88" s="1298">
        <v>2317.6</v>
      </c>
    </row>
    <row r="89" spans="1:32" ht="15" customHeight="1">
      <c r="A89" s="1294">
        <v>0</v>
      </c>
      <c r="B89" s="1294">
        <v>0</v>
      </c>
      <c r="C89" s="1295" t="s">
        <v>970</v>
      </c>
      <c r="D89" s="1296" t="s">
        <v>727</v>
      </c>
      <c r="E89" s="1296" t="s">
        <v>716</v>
      </c>
      <c r="F89" s="1297">
        <v>1000</v>
      </c>
      <c r="G89" s="1295" t="s">
        <v>579</v>
      </c>
      <c r="H89" s="1295" t="s">
        <v>185</v>
      </c>
      <c r="I89" s="1296"/>
      <c r="J89" s="1296"/>
      <c r="K89" s="1296"/>
      <c r="L89" s="1296"/>
      <c r="M89" s="1298">
        <v>2295.6</v>
      </c>
      <c r="N89" s="1298">
        <v>0</v>
      </c>
      <c r="O89" s="1298">
        <v>0</v>
      </c>
      <c r="P89" s="1298">
        <v>0</v>
      </c>
      <c r="Q89" s="1298">
        <v>0</v>
      </c>
      <c r="R89" s="1298">
        <v>0</v>
      </c>
      <c r="S89" s="1298">
        <v>0</v>
      </c>
      <c r="T89" s="1298">
        <v>0</v>
      </c>
      <c r="U89" s="1298">
        <v>0</v>
      </c>
      <c r="V89" s="1298">
        <v>0</v>
      </c>
      <c r="W89" s="1298">
        <v>0</v>
      </c>
      <c r="X89" s="1298">
        <v>0</v>
      </c>
      <c r="Y89" s="1298">
        <v>0</v>
      </c>
      <c r="Z89" s="1298">
        <v>0</v>
      </c>
      <c r="AA89" s="1298">
        <v>0</v>
      </c>
      <c r="AB89" s="1298">
        <v>0</v>
      </c>
      <c r="AC89" s="1298">
        <v>0</v>
      </c>
      <c r="AD89" s="1298">
        <v>0</v>
      </c>
      <c r="AE89" s="1298">
        <v>0</v>
      </c>
      <c r="AF89" s="1298">
        <v>0</v>
      </c>
    </row>
    <row r="90" spans="1:32" ht="15" customHeight="1">
      <c r="A90" s="1294">
        <v>211</v>
      </c>
      <c r="B90" s="1294">
        <v>229</v>
      </c>
      <c r="C90" s="1295" t="s">
        <v>971</v>
      </c>
      <c r="D90" s="1296" t="s">
        <v>2024</v>
      </c>
      <c r="E90" s="1296" t="s">
        <v>716</v>
      </c>
      <c r="F90" s="1297">
        <v>1211</v>
      </c>
      <c r="G90" s="1295" t="s">
        <v>189</v>
      </c>
      <c r="H90" s="1295" t="s">
        <v>972</v>
      </c>
      <c r="I90" s="1296" t="s">
        <v>973</v>
      </c>
      <c r="J90" s="1296"/>
      <c r="K90" s="1296" t="s">
        <v>919</v>
      </c>
      <c r="L90" s="1296" t="s">
        <v>920</v>
      </c>
      <c r="M90" s="1298">
        <v>2228.6</v>
      </c>
      <c r="N90" s="1298">
        <v>0</v>
      </c>
      <c r="O90" s="1298">
        <v>0</v>
      </c>
      <c r="P90" s="1298">
        <v>96.41</v>
      </c>
      <c r="Q90" s="1298">
        <v>2138</v>
      </c>
      <c r="R90" s="1298">
        <v>2138</v>
      </c>
      <c r="S90" s="1298">
        <v>25</v>
      </c>
      <c r="T90" s="1298">
        <v>12.6</v>
      </c>
      <c r="U90" s="1298">
        <v>20</v>
      </c>
      <c r="V90" s="1298">
        <v>20</v>
      </c>
      <c r="W90" s="1298">
        <v>0</v>
      </c>
      <c r="X90" s="1298">
        <v>0</v>
      </c>
      <c r="Y90" s="1298">
        <v>0</v>
      </c>
      <c r="Z90" s="1298">
        <v>0</v>
      </c>
      <c r="AA90" s="1298">
        <v>0</v>
      </c>
      <c r="AB90" s="1298">
        <v>0</v>
      </c>
      <c r="AC90" s="1298">
        <v>0</v>
      </c>
      <c r="AD90" s="1298">
        <v>0</v>
      </c>
      <c r="AE90" s="1298">
        <v>0</v>
      </c>
      <c r="AF90" s="1298">
        <v>2215.6</v>
      </c>
    </row>
    <row r="91" spans="1:32" ht="15" customHeight="1">
      <c r="A91" s="1294">
        <v>191</v>
      </c>
      <c r="B91" s="1294">
        <v>205</v>
      </c>
      <c r="C91" s="1295" t="s">
        <v>974</v>
      </c>
      <c r="D91" s="1296" t="s">
        <v>744</v>
      </c>
      <c r="E91" s="1296" t="s">
        <v>716</v>
      </c>
      <c r="F91" s="1297">
        <v>908</v>
      </c>
      <c r="G91" s="1295" t="s">
        <v>189</v>
      </c>
      <c r="H91" s="1295" t="s">
        <v>975</v>
      </c>
      <c r="I91" s="1296" t="s">
        <v>976</v>
      </c>
      <c r="J91" s="1296"/>
      <c r="K91" s="1296" t="s">
        <v>977</v>
      </c>
      <c r="L91" s="1296" t="s">
        <v>978</v>
      </c>
      <c r="M91" s="1298">
        <v>1956.6</v>
      </c>
      <c r="N91" s="1298">
        <v>0</v>
      </c>
      <c r="O91" s="1298">
        <v>0</v>
      </c>
      <c r="P91" s="1298">
        <v>0</v>
      </c>
      <c r="Q91" s="1298">
        <v>1850</v>
      </c>
      <c r="R91" s="1298">
        <v>1850</v>
      </c>
      <c r="S91" s="1298">
        <v>25</v>
      </c>
      <c r="T91" s="1298">
        <v>11.5</v>
      </c>
      <c r="U91" s="1298">
        <v>20</v>
      </c>
      <c r="V91" s="1298">
        <v>20</v>
      </c>
      <c r="W91" s="1298">
        <v>0</v>
      </c>
      <c r="X91" s="1298">
        <v>0</v>
      </c>
      <c r="Y91" s="1298">
        <v>0</v>
      </c>
      <c r="Z91" s="1298">
        <v>0</v>
      </c>
      <c r="AA91" s="1298">
        <v>0</v>
      </c>
      <c r="AB91" s="1298">
        <v>0</v>
      </c>
      <c r="AC91" s="1298">
        <v>0</v>
      </c>
      <c r="AD91" s="1298">
        <v>0</v>
      </c>
      <c r="AE91" s="1298">
        <v>0</v>
      </c>
      <c r="AF91" s="1298">
        <v>1926.5</v>
      </c>
    </row>
    <row r="92" spans="1:32" ht="15" customHeight="1">
      <c r="A92" s="1294">
        <v>138</v>
      </c>
      <c r="B92" s="1294">
        <v>499</v>
      </c>
      <c r="C92" s="1295" t="s">
        <v>979</v>
      </c>
      <c r="D92" s="1296" t="s">
        <v>2025</v>
      </c>
      <c r="E92" s="1296" t="s">
        <v>716</v>
      </c>
      <c r="F92" s="1297">
        <v>1189</v>
      </c>
      <c r="G92" s="1295" t="s">
        <v>189</v>
      </c>
      <c r="H92" s="1295" t="s">
        <v>980</v>
      </c>
      <c r="I92" s="1296" t="s">
        <v>981</v>
      </c>
      <c r="J92" s="1296"/>
      <c r="K92" s="1296" t="s">
        <v>1850</v>
      </c>
      <c r="L92" s="1296" t="s">
        <v>1851</v>
      </c>
      <c r="M92" s="1298">
        <v>2203.6</v>
      </c>
      <c r="N92" s="1298">
        <v>0</v>
      </c>
      <c r="O92" s="1298">
        <v>0</v>
      </c>
      <c r="P92" s="1298">
        <v>0</v>
      </c>
      <c r="Q92" s="1298">
        <v>1976</v>
      </c>
      <c r="R92" s="1298">
        <v>1976</v>
      </c>
      <c r="S92" s="1298">
        <v>25</v>
      </c>
      <c r="T92" s="1298">
        <v>11.5</v>
      </c>
      <c r="U92" s="1298">
        <v>17</v>
      </c>
      <c r="V92" s="1298">
        <v>20</v>
      </c>
      <c r="W92" s="1298">
        <v>0</v>
      </c>
      <c r="X92" s="1298">
        <v>35</v>
      </c>
      <c r="Y92" s="1298">
        <v>0</v>
      </c>
      <c r="Z92" s="1298">
        <v>0</v>
      </c>
      <c r="AA92" s="1298">
        <v>0</v>
      </c>
      <c r="AB92" s="1298">
        <v>0</v>
      </c>
      <c r="AC92" s="1298">
        <v>0</v>
      </c>
      <c r="AD92" s="1298">
        <v>0</v>
      </c>
      <c r="AE92" s="1298">
        <v>0</v>
      </c>
      <c r="AF92" s="1298">
        <v>2084.5</v>
      </c>
    </row>
    <row r="93" spans="1:32" ht="15" customHeight="1">
      <c r="A93" s="1294">
        <v>126</v>
      </c>
      <c r="B93" s="1294">
        <v>419</v>
      </c>
      <c r="C93" s="1295" t="s">
        <v>983</v>
      </c>
      <c r="D93" s="1296" t="s">
        <v>2005</v>
      </c>
      <c r="E93" s="1296" t="s">
        <v>716</v>
      </c>
      <c r="F93" s="1297">
        <v>1102</v>
      </c>
      <c r="G93" s="1295" t="s">
        <v>769</v>
      </c>
      <c r="H93" s="1295" t="s">
        <v>984</v>
      </c>
      <c r="I93" s="1296" t="s">
        <v>985</v>
      </c>
      <c r="J93" s="1296" t="s">
        <v>1555</v>
      </c>
      <c r="K93" s="1296" t="s">
        <v>793</v>
      </c>
      <c r="L93" s="1296" t="s">
        <v>1555</v>
      </c>
      <c r="M93" s="1298">
        <v>2353.6</v>
      </c>
      <c r="N93" s="1298">
        <v>0</v>
      </c>
      <c r="O93" s="1298">
        <v>0</v>
      </c>
      <c r="P93" s="1298">
        <v>61.94</v>
      </c>
      <c r="Q93" s="1298">
        <v>1916</v>
      </c>
      <c r="R93" s="1298">
        <v>1916</v>
      </c>
      <c r="S93" s="1298">
        <v>25</v>
      </c>
      <c r="T93" s="1298">
        <v>11.5</v>
      </c>
      <c r="U93" s="1298">
        <v>17</v>
      </c>
      <c r="V93" s="1298">
        <v>20</v>
      </c>
      <c r="W93" s="1298">
        <v>0</v>
      </c>
      <c r="X93" s="1298">
        <v>0</v>
      </c>
      <c r="Y93" s="1298">
        <v>0</v>
      </c>
      <c r="Z93" s="1298">
        <v>0</v>
      </c>
      <c r="AA93" s="1298">
        <v>0</v>
      </c>
      <c r="AB93" s="1298">
        <v>0</v>
      </c>
      <c r="AC93" s="1298">
        <v>0</v>
      </c>
      <c r="AD93" s="1298">
        <v>0</v>
      </c>
      <c r="AE93" s="1298">
        <v>0</v>
      </c>
      <c r="AF93" s="1298">
        <v>1989.5</v>
      </c>
    </row>
    <row r="94" spans="1:32" ht="15" customHeight="1">
      <c r="A94" s="1294">
        <v>347</v>
      </c>
      <c r="B94" s="1294">
        <v>406</v>
      </c>
      <c r="C94" s="1295" t="s">
        <v>406</v>
      </c>
      <c r="D94" s="1296" t="s">
        <v>744</v>
      </c>
      <c r="E94" s="1296" t="s">
        <v>716</v>
      </c>
      <c r="F94" s="1297">
        <v>908</v>
      </c>
      <c r="G94" s="1295" t="s">
        <v>189</v>
      </c>
      <c r="H94" s="1295" t="s">
        <v>987</v>
      </c>
      <c r="I94" s="1296" t="s">
        <v>812</v>
      </c>
      <c r="J94" s="1296"/>
      <c r="K94" s="1296" t="s">
        <v>812</v>
      </c>
      <c r="L94" s="1296" t="s">
        <v>813</v>
      </c>
      <c r="M94" s="1298">
        <v>1956.6</v>
      </c>
      <c r="N94" s="1298">
        <v>250</v>
      </c>
      <c r="O94" s="1298">
        <v>250</v>
      </c>
      <c r="P94" s="1298">
        <v>45.31</v>
      </c>
      <c r="Q94" s="1298">
        <v>1872</v>
      </c>
      <c r="R94" s="1298">
        <v>1872</v>
      </c>
      <c r="S94" s="1298">
        <v>25</v>
      </c>
      <c r="T94" s="1298">
        <v>12.6</v>
      </c>
      <c r="U94" s="1298">
        <v>0</v>
      </c>
      <c r="V94" s="1298">
        <v>0</v>
      </c>
      <c r="W94" s="1298">
        <v>0</v>
      </c>
      <c r="X94" s="1298">
        <v>0</v>
      </c>
      <c r="Y94" s="1298">
        <v>0</v>
      </c>
      <c r="Z94" s="1298">
        <v>0</v>
      </c>
      <c r="AA94" s="1298">
        <v>0</v>
      </c>
      <c r="AB94" s="1298">
        <v>0</v>
      </c>
      <c r="AC94" s="1298">
        <v>0</v>
      </c>
      <c r="AD94" s="1298">
        <v>0</v>
      </c>
      <c r="AE94" s="1298">
        <v>0</v>
      </c>
      <c r="AF94" s="1298">
        <v>1909.6</v>
      </c>
    </row>
    <row r="95" spans="1:32" ht="15" customHeight="1">
      <c r="A95" s="1294">
        <v>214</v>
      </c>
      <c r="B95" s="1294">
        <v>234</v>
      </c>
      <c r="C95" s="1295" t="s">
        <v>988</v>
      </c>
      <c r="D95" s="1296" t="s">
        <v>2009</v>
      </c>
      <c r="E95" s="1296" t="s">
        <v>716</v>
      </c>
      <c r="F95" s="1297">
        <v>791</v>
      </c>
      <c r="G95" s="1295" t="s">
        <v>769</v>
      </c>
      <c r="H95" s="1295" t="s">
        <v>989</v>
      </c>
      <c r="I95" s="1296" t="s">
        <v>990</v>
      </c>
      <c r="J95" s="1296" t="s">
        <v>991</v>
      </c>
      <c r="K95" s="1296" t="s">
        <v>786</v>
      </c>
      <c r="L95" s="1296" t="s">
        <v>991</v>
      </c>
      <c r="M95" s="1298">
        <v>2016.6</v>
      </c>
      <c r="N95" s="1298">
        <v>0</v>
      </c>
      <c r="O95" s="1298">
        <v>0</v>
      </c>
      <c r="P95" s="1298">
        <v>33.44</v>
      </c>
      <c r="Q95" s="1298">
        <v>1566</v>
      </c>
      <c r="R95" s="1298">
        <v>1566</v>
      </c>
      <c r="S95" s="1298">
        <v>25</v>
      </c>
      <c r="T95" s="1298">
        <v>12.6</v>
      </c>
      <c r="U95" s="1298">
        <v>21</v>
      </c>
      <c r="V95" s="1298">
        <v>20</v>
      </c>
      <c r="W95" s="1298">
        <v>0</v>
      </c>
      <c r="X95" s="1298">
        <v>0</v>
      </c>
      <c r="Y95" s="1298">
        <v>0</v>
      </c>
      <c r="Z95" s="1298">
        <v>0</v>
      </c>
      <c r="AA95" s="1298">
        <v>0</v>
      </c>
      <c r="AB95" s="1298">
        <v>0</v>
      </c>
      <c r="AC95" s="1298">
        <v>0</v>
      </c>
      <c r="AD95" s="1298">
        <v>0</v>
      </c>
      <c r="AE95" s="1298">
        <v>0</v>
      </c>
      <c r="AF95" s="1298">
        <v>1644.6</v>
      </c>
    </row>
    <row r="96" spans="1:32" ht="15" customHeight="1">
      <c r="A96" s="1294">
        <v>159</v>
      </c>
      <c r="B96" s="1294">
        <v>527</v>
      </c>
      <c r="C96" s="1295" t="s">
        <v>992</v>
      </c>
      <c r="D96" s="1296" t="s">
        <v>2010</v>
      </c>
      <c r="E96" s="1296" t="s">
        <v>716</v>
      </c>
      <c r="F96" s="1297">
        <v>958</v>
      </c>
      <c r="G96" s="1295" t="s">
        <v>189</v>
      </c>
      <c r="H96" s="1295" t="s">
        <v>993</v>
      </c>
      <c r="I96" s="1296" t="s">
        <v>994</v>
      </c>
      <c r="J96" s="1296"/>
      <c r="K96" s="1296" t="s">
        <v>828</v>
      </c>
      <c r="L96" s="1296" t="s">
        <v>2020</v>
      </c>
      <c r="M96" s="1298">
        <v>1920.6</v>
      </c>
      <c r="N96" s="1298">
        <v>0</v>
      </c>
      <c r="O96" s="1298">
        <v>0</v>
      </c>
      <c r="P96" s="1298">
        <v>-6.64</v>
      </c>
      <c r="Q96" s="1298">
        <v>1721</v>
      </c>
      <c r="R96" s="1298">
        <v>1721</v>
      </c>
      <c r="S96" s="1298">
        <v>30</v>
      </c>
      <c r="T96" s="1298">
        <v>11.5</v>
      </c>
      <c r="U96" s="1298">
        <v>22</v>
      </c>
      <c r="V96" s="1298">
        <v>20</v>
      </c>
      <c r="W96" s="1298">
        <v>0</v>
      </c>
      <c r="X96" s="1298">
        <v>0</v>
      </c>
      <c r="Y96" s="1298">
        <v>0</v>
      </c>
      <c r="Z96" s="1298">
        <v>0</v>
      </c>
      <c r="AA96" s="1298">
        <v>0</v>
      </c>
      <c r="AB96" s="1298">
        <v>0</v>
      </c>
      <c r="AC96" s="1298">
        <v>0</v>
      </c>
      <c r="AD96" s="1298">
        <v>0</v>
      </c>
      <c r="AE96" s="1298">
        <v>0</v>
      </c>
      <c r="AF96" s="1298">
        <v>1804.5</v>
      </c>
    </row>
    <row r="97" spans="1:32" ht="15" customHeight="1">
      <c r="A97" s="1294">
        <v>54</v>
      </c>
      <c r="B97" s="1294">
        <v>662</v>
      </c>
      <c r="C97" s="1295" t="s">
        <v>995</v>
      </c>
      <c r="D97" s="1296" t="s">
        <v>753</v>
      </c>
      <c r="E97" s="1296" t="s">
        <v>716</v>
      </c>
      <c r="F97" s="1297">
        <v>609</v>
      </c>
      <c r="G97" s="1295" t="s">
        <v>189</v>
      </c>
      <c r="H97" s="1295" t="s">
        <v>1026</v>
      </c>
      <c r="I97" s="1296" t="s">
        <v>2225</v>
      </c>
      <c r="J97" s="1296"/>
      <c r="K97" s="1296" t="s">
        <v>2225</v>
      </c>
      <c r="L97" s="1296" t="s">
        <v>2226</v>
      </c>
      <c r="M97" s="1298">
        <v>1856.6</v>
      </c>
      <c r="N97" s="1298">
        <v>0</v>
      </c>
      <c r="O97" s="1298">
        <v>0</v>
      </c>
      <c r="P97" s="1298">
        <v>-46.97</v>
      </c>
      <c r="Q97" s="1298">
        <v>1500</v>
      </c>
      <c r="R97" s="1298">
        <v>1500</v>
      </c>
      <c r="S97" s="1298">
        <v>30</v>
      </c>
      <c r="T97" s="1298">
        <v>12.6</v>
      </c>
      <c r="U97" s="1298">
        <v>22</v>
      </c>
      <c r="V97" s="1298">
        <v>20</v>
      </c>
      <c r="W97" s="1298">
        <v>0</v>
      </c>
      <c r="X97" s="1298">
        <v>0</v>
      </c>
      <c r="Y97" s="1298">
        <v>0</v>
      </c>
      <c r="Z97" s="1298">
        <v>0</v>
      </c>
      <c r="AA97" s="1298">
        <v>0</v>
      </c>
      <c r="AB97" s="1298">
        <v>-500</v>
      </c>
      <c r="AC97" s="1298">
        <v>0</v>
      </c>
      <c r="AD97" s="1298">
        <v>0</v>
      </c>
      <c r="AE97" s="1298">
        <v>0</v>
      </c>
      <c r="AF97" s="1298">
        <v>1084.5999999999999</v>
      </c>
    </row>
    <row r="98" spans="1:32" ht="15" customHeight="1">
      <c r="A98" s="1294">
        <v>318</v>
      </c>
      <c r="B98" s="1294">
        <v>345</v>
      </c>
      <c r="C98" s="1295" t="s">
        <v>996</v>
      </c>
      <c r="D98" s="1296" t="s">
        <v>759</v>
      </c>
      <c r="E98" s="1296" t="s">
        <v>716</v>
      </c>
      <c r="F98" s="1297">
        <v>813</v>
      </c>
      <c r="G98" s="1295" t="s">
        <v>189</v>
      </c>
      <c r="H98" s="1295" t="s">
        <v>997</v>
      </c>
      <c r="I98" s="1296" t="s">
        <v>820</v>
      </c>
      <c r="J98" s="1296"/>
      <c r="K98" s="1296" t="s">
        <v>820</v>
      </c>
      <c r="L98" s="1296" t="s">
        <v>998</v>
      </c>
      <c r="M98" s="1298">
        <v>1835.6</v>
      </c>
      <c r="N98" s="1298">
        <v>0</v>
      </c>
      <c r="O98" s="1298">
        <v>0</v>
      </c>
      <c r="P98" s="1298">
        <v>30.06</v>
      </c>
      <c r="Q98" s="1298">
        <v>1751</v>
      </c>
      <c r="R98" s="1298">
        <v>1751</v>
      </c>
      <c r="S98" s="1298">
        <v>25</v>
      </c>
      <c r="T98" s="1298">
        <v>12.6</v>
      </c>
      <c r="U98" s="1298">
        <v>21</v>
      </c>
      <c r="V98" s="1298">
        <v>20</v>
      </c>
      <c r="W98" s="1298">
        <v>0</v>
      </c>
      <c r="X98" s="1298">
        <v>0</v>
      </c>
      <c r="Y98" s="1298">
        <v>0</v>
      </c>
      <c r="Z98" s="1298">
        <v>0</v>
      </c>
      <c r="AA98" s="1298">
        <v>0</v>
      </c>
      <c r="AB98" s="1298">
        <v>0</v>
      </c>
      <c r="AC98" s="1298">
        <v>0</v>
      </c>
      <c r="AD98" s="1298">
        <v>5</v>
      </c>
      <c r="AE98" s="1298">
        <v>0</v>
      </c>
      <c r="AF98" s="1298">
        <v>1834.6</v>
      </c>
    </row>
    <row r="99" spans="1:32" ht="15" customHeight="1">
      <c r="A99" s="1294">
        <v>78</v>
      </c>
      <c r="B99" s="1294">
        <v>81</v>
      </c>
      <c r="C99" s="1295" t="s">
        <v>999</v>
      </c>
      <c r="D99" s="1296" t="s">
        <v>890</v>
      </c>
      <c r="E99" s="1296" t="s">
        <v>716</v>
      </c>
      <c r="F99" s="1297">
        <v>1539</v>
      </c>
      <c r="G99" s="1295" t="s">
        <v>189</v>
      </c>
      <c r="H99" s="1295" t="s">
        <v>1000</v>
      </c>
      <c r="I99" s="1296" t="s">
        <v>1001</v>
      </c>
      <c r="J99" s="1296"/>
      <c r="K99" s="1296" t="s">
        <v>1002</v>
      </c>
      <c r="L99" s="1296" t="s">
        <v>1003</v>
      </c>
      <c r="M99" s="1298">
        <v>2768.6</v>
      </c>
      <c r="N99" s="1298">
        <v>2425</v>
      </c>
      <c r="O99" s="1298">
        <v>2425</v>
      </c>
      <c r="P99" s="1298">
        <v>-24.33</v>
      </c>
      <c r="Q99" s="1298">
        <v>2520</v>
      </c>
      <c r="R99" s="1298">
        <v>2520</v>
      </c>
      <c r="S99" s="1298">
        <v>25</v>
      </c>
      <c r="T99" s="1298">
        <v>12.6</v>
      </c>
      <c r="U99" s="1298">
        <v>17</v>
      </c>
      <c r="V99" s="1298">
        <v>20</v>
      </c>
      <c r="W99" s="1298">
        <v>0</v>
      </c>
      <c r="X99" s="1298">
        <v>0</v>
      </c>
      <c r="Y99" s="1298">
        <v>0</v>
      </c>
      <c r="Z99" s="1298">
        <v>0</v>
      </c>
      <c r="AA99" s="1298">
        <v>0</v>
      </c>
      <c r="AB99" s="1298">
        <v>0</v>
      </c>
      <c r="AC99" s="1298">
        <v>0</v>
      </c>
      <c r="AD99" s="1298">
        <v>0</v>
      </c>
      <c r="AE99" s="1298">
        <v>0</v>
      </c>
      <c r="AF99" s="1298">
        <v>2594.6</v>
      </c>
    </row>
    <row r="100" spans="1:32" ht="15" customHeight="1">
      <c r="A100" s="1294">
        <v>252</v>
      </c>
      <c r="B100" s="1294">
        <v>531</v>
      </c>
      <c r="C100" s="1295" t="s">
        <v>1004</v>
      </c>
      <c r="D100" s="1296" t="s">
        <v>2030</v>
      </c>
      <c r="E100" s="1296" t="s">
        <v>716</v>
      </c>
      <c r="F100" s="1297">
        <v>1238</v>
      </c>
      <c r="G100" s="1295" t="s">
        <v>189</v>
      </c>
      <c r="H100" s="1295" t="s">
        <v>1005</v>
      </c>
      <c r="I100" s="1296" t="s">
        <v>1006</v>
      </c>
      <c r="J100" s="1296"/>
      <c r="K100" s="1296" t="s">
        <v>1477</v>
      </c>
      <c r="L100" s="1296" t="s">
        <v>2040</v>
      </c>
      <c r="M100" s="1298">
        <v>2438.6</v>
      </c>
      <c r="N100" s="1298">
        <v>0</v>
      </c>
      <c r="O100" s="1298">
        <v>0</v>
      </c>
      <c r="P100" s="1298">
        <v>-2033.31</v>
      </c>
      <c r="Q100" s="1298">
        <v>2098</v>
      </c>
      <c r="R100" s="1298">
        <v>2098</v>
      </c>
      <c r="S100" s="1298">
        <v>30</v>
      </c>
      <c r="T100" s="1298">
        <v>11.5</v>
      </c>
      <c r="U100" s="1298">
        <v>22</v>
      </c>
      <c r="V100" s="1298">
        <v>20</v>
      </c>
      <c r="W100" s="1298">
        <v>0</v>
      </c>
      <c r="X100" s="1298">
        <v>0</v>
      </c>
      <c r="Y100" s="1298">
        <v>0</v>
      </c>
      <c r="Z100" s="1298">
        <v>0</v>
      </c>
      <c r="AA100" s="1298">
        <v>0</v>
      </c>
      <c r="AB100" s="1298">
        <v>0</v>
      </c>
      <c r="AC100" s="1298">
        <v>0</v>
      </c>
      <c r="AD100" s="1298">
        <v>0</v>
      </c>
      <c r="AE100" s="1298">
        <v>0</v>
      </c>
      <c r="AF100" s="1298">
        <v>2181.5</v>
      </c>
    </row>
    <row r="101" spans="1:32" ht="15" customHeight="1">
      <c r="A101" s="1294">
        <v>0</v>
      </c>
      <c r="B101" s="1294">
        <v>0</v>
      </c>
      <c r="C101" s="1295" t="s">
        <v>1008</v>
      </c>
      <c r="D101" s="1296" t="s">
        <v>1009</v>
      </c>
      <c r="E101" s="1296" t="s">
        <v>716</v>
      </c>
      <c r="F101" s="1297">
        <v>851</v>
      </c>
      <c r="G101" s="1295" t="s">
        <v>763</v>
      </c>
      <c r="H101" s="1295" t="s">
        <v>185</v>
      </c>
      <c r="I101" s="1296"/>
      <c r="J101" s="1296"/>
      <c r="K101" s="1296"/>
      <c r="L101" s="1296"/>
      <c r="M101" s="1298">
        <v>1850.6</v>
      </c>
      <c r="N101" s="1298">
        <v>0</v>
      </c>
      <c r="O101" s="1298">
        <v>0</v>
      </c>
      <c r="P101" s="1298">
        <v>0</v>
      </c>
      <c r="Q101" s="1298">
        <v>0</v>
      </c>
      <c r="R101" s="1298">
        <v>0</v>
      </c>
      <c r="S101" s="1298">
        <v>0</v>
      </c>
      <c r="T101" s="1298">
        <v>0</v>
      </c>
      <c r="U101" s="1298">
        <v>0</v>
      </c>
      <c r="V101" s="1298">
        <v>0</v>
      </c>
      <c r="W101" s="1298">
        <v>0</v>
      </c>
      <c r="X101" s="1298">
        <v>0</v>
      </c>
      <c r="Y101" s="1298">
        <v>0</v>
      </c>
      <c r="Z101" s="1298">
        <v>0</v>
      </c>
      <c r="AA101" s="1298">
        <v>0</v>
      </c>
      <c r="AB101" s="1298">
        <v>0</v>
      </c>
      <c r="AC101" s="1298">
        <v>0</v>
      </c>
      <c r="AD101" s="1298">
        <v>0</v>
      </c>
      <c r="AE101" s="1298">
        <v>0</v>
      </c>
      <c r="AF101" s="1298">
        <v>0</v>
      </c>
    </row>
    <row r="102" spans="1:32" ht="15" customHeight="1">
      <c r="A102" s="1294">
        <v>0</v>
      </c>
      <c r="B102" s="1294">
        <v>0</v>
      </c>
      <c r="C102" s="1295" t="s">
        <v>1010</v>
      </c>
      <c r="D102" s="1296" t="s">
        <v>840</v>
      </c>
      <c r="E102" s="1296" t="s">
        <v>716</v>
      </c>
      <c r="F102" s="1297">
        <v>1235</v>
      </c>
      <c r="G102" s="1295" t="s">
        <v>763</v>
      </c>
      <c r="H102" s="1295" t="s">
        <v>185</v>
      </c>
      <c r="I102" s="1296"/>
      <c r="J102" s="1296"/>
      <c r="K102" s="1296"/>
      <c r="L102" s="1296"/>
      <c r="M102" s="1298">
        <v>2493.6</v>
      </c>
      <c r="N102" s="1298">
        <v>0</v>
      </c>
      <c r="O102" s="1298">
        <v>0</v>
      </c>
      <c r="P102" s="1298">
        <v>0</v>
      </c>
      <c r="Q102" s="1298">
        <v>0</v>
      </c>
      <c r="R102" s="1298">
        <v>0</v>
      </c>
      <c r="S102" s="1298">
        <v>0</v>
      </c>
      <c r="T102" s="1298">
        <v>0</v>
      </c>
      <c r="U102" s="1298">
        <v>0</v>
      </c>
      <c r="V102" s="1298">
        <v>0</v>
      </c>
      <c r="W102" s="1298">
        <v>0</v>
      </c>
      <c r="X102" s="1298">
        <v>0</v>
      </c>
      <c r="Y102" s="1298">
        <v>0</v>
      </c>
      <c r="Z102" s="1298">
        <v>0</v>
      </c>
      <c r="AA102" s="1298">
        <v>0</v>
      </c>
      <c r="AB102" s="1298">
        <v>0</v>
      </c>
      <c r="AC102" s="1298">
        <v>0</v>
      </c>
      <c r="AD102" s="1298">
        <v>0</v>
      </c>
      <c r="AE102" s="1298">
        <v>0</v>
      </c>
      <c r="AF102" s="1298">
        <v>0</v>
      </c>
    </row>
    <row r="103" spans="1:32" ht="15" customHeight="1">
      <c r="A103" s="1294">
        <v>0</v>
      </c>
      <c r="B103" s="1294">
        <v>0</v>
      </c>
      <c r="C103" s="1295" t="s">
        <v>1013</v>
      </c>
      <c r="D103" s="1296" t="s">
        <v>2031</v>
      </c>
      <c r="E103" s="1296" t="s">
        <v>716</v>
      </c>
      <c r="F103" s="1297">
        <v>932</v>
      </c>
      <c r="G103" s="1295" t="s">
        <v>763</v>
      </c>
      <c r="H103" s="1295" t="s">
        <v>185</v>
      </c>
      <c r="I103" s="1296"/>
      <c r="J103" s="1296"/>
      <c r="K103" s="1296"/>
      <c r="L103" s="1296"/>
      <c r="M103" s="1298">
        <v>1930.6</v>
      </c>
      <c r="N103" s="1298">
        <v>0</v>
      </c>
      <c r="O103" s="1298">
        <v>0</v>
      </c>
      <c r="P103" s="1298">
        <v>0</v>
      </c>
      <c r="Q103" s="1298">
        <v>0</v>
      </c>
      <c r="R103" s="1298">
        <v>0</v>
      </c>
      <c r="S103" s="1298">
        <v>0</v>
      </c>
      <c r="T103" s="1298">
        <v>0</v>
      </c>
      <c r="U103" s="1298">
        <v>0</v>
      </c>
      <c r="V103" s="1298">
        <v>0</v>
      </c>
      <c r="W103" s="1298">
        <v>0</v>
      </c>
      <c r="X103" s="1298">
        <v>0</v>
      </c>
      <c r="Y103" s="1298">
        <v>0</v>
      </c>
      <c r="Z103" s="1298">
        <v>0</v>
      </c>
      <c r="AA103" s="1298">
        <v>0</v>
      </c>
      <c r="AB103" s="1298">
        <v>0</v>
      </c>
      <c r="AC103" s="1298">
        <v>0</v>
      </c>
      <c r="AD103" s="1298">
        <v>0</v>
      </c>
      <c r="AE103" s="1298">
        <v>0</v>
      </c>
      <c r="AF103" s="1298">
        <v>0</v>
      </c>
    </row>
    <row r="104" spans="1:32" ht="15" customHeight="1">
      <c r="A104" s="1294">
        <v>0</v>
      </c>
      <c r="B104" s="1294">
        <v>0</v>
      </c>
      <c r="C104" s="1295" t="s">
        <v>1014</v>
      </c>
      <c r="D104" s="1296" t="s">
        <v>840</v>
      </c>
      <c r="E104" s="1296" t="s">
        <v>716</v>
      </c>
      <c r="F104" s="1297">
        <v>1235</v>
      </c>
      <c r="G104" s="1295" t="s">
        <v>763</v>
      </c>
      <c r="H104" s="1295" t="s">
        <v>185</v>
      </c>
      <c r="I104" s="1296"/>
      <c r="J104" s="1296"/>
      <c r="K104" s="1296"/>
      <c r="L104" s="1296"/>
      <c r="M104" s="1298">
        <v>2493.6</v>
      </c>
      <c r="N104" s="1298">
        <v>0</v>
      </c>
      <c r="O104" s="1298">
        <v>0</v>
      </c>
      <c r="P104" s="1298">
        <v>0</v>
      </c>
      <c r="Q104" s="1298">
        <v>0</v>
      </c>
      <c r="R104" s="1298">
        <v>0</v>
      </c>
      <c r="S104" s="1298">
        <v>0</v>
      </c>
      <c r="T104" s="1298">
        <v>0</v>
      </c>
      <c r="U104" s="1298">
        <v>0</v>
      </c>
      <c r="V104" s="1298">
        <v>0</v>
      </c>
      <c r="W104" s="1298">
        <v>0</v>
      </c>
      <c r="X104" s="1298">
        <v>0</v>
      </c>
      <c r="Y104" s="1298">
        <v>0</v>
      </c>
      <c r="Z104" s="1298">
        <v>0</v>
      </c>
      <c r="AA104" s="1298">
        <v>0</v>
      </c>
      <c r="AB104" s="1298">
        <v>0</v>
      </c>
      <c r="AC104" s="1298">
        <v>0</v>
      </c>
      <c r="AD104" s="1298">
        <v>0</v>
      </c>
      <c r="AE104" s="1298">
        <v>0</v>
      </c>
      <c r="AF104" s="1298">
        <v>0</v>
      </c>
    </row>
    <row r="105" spans="1:32" ht="15" customHeight="1">
      <c r="A105" s="1294">
        <v>0</v>
      </c>
      <c r="B105" s="1294">
        <v>0</v>
      </c>
      <c r="C105" s="1295" t="s">
        <v>1016</v>
      </c>
      <c r="D105" s="1296" t="s">
        <v>2012</v>
      </c>
      <c r="E105" s="1296" t="s">
        <v>716</v>
      </c>
      <c r="F105" s="1297">
        <v>1037</v>
      </c>
      <c r="G105" s="1295" t="s">
        <v>763</v>
      </c>
      <c r="H105" s="1295" t="s">
        <v>185</v>
      </c>
      <c r="I105" s="1296"/>
      <c r="J105" s="1296"/>
      <c r="K105" s="1296"/>
      <c r="L105" s="1296"/>
      <c r="M105" s="1298">
        <v>2010.6</v>
      </c>
      <c r="N105" s="1298">
        <v>0</v>
      </c>
      <c r="O105" s="1298">
        <v>0</v>
      </c>
      <c r="P105" s="1298">
        <v>0</v>
      </c>
      <c r="Q105" s="1298">
        <v>0</v>
      </c>
      <c r="R105" s="1298">
        <v>0</v>
      </c>
      <c r="S105" s="1298">
        <v>0</v>
      </c>
      <c r="T105" s="1298">
        <v>0</v>
      </c>
      <c r="U105" s="1298">
        <v>0</v>
      </c>
      <c r="V105" s="1298">
        <v>0</v>
      </c>
      <c r="W105" s="1298">
        <v>0</v>
      </c>
      <c r="X105" s="1298">
        <v>0</v>
      </c>
      <c r="Y105" s="1298">
        <v>0</v>
      </c>
      <c r="Z105" s="1298">
        <v>0</v>
      </c>
      <c r="AA105" s="1298">
        <v>0</v>
      </c>
      <c r="AB105" s="1298">
        <v>0</v>
      </c>
      <c r="AC105" s="1298">
        <v>0</v>
      </c>
      <c r="AD105" s="1298">
        <v>0</v>
      </c>
      <c r="AE105" s="1298">
        <v>0</v>
      </c>
      <c r="AF105" s="1298">
        <v>0</v>
      </c>
    </row>
    <row r="106" spans="1:32" ht="15" customHeight="1">
      <c r="A106" s="1294">
        <v>0</v>
      </c>
      <c r="B106" s="1294">
        <v>0</v>
      </c>
      <c r="C106" s="1295" t="s">
        <v>1017</v>
      </c>
      <c r="D106" s="1296" t="s">
        <v>772</v>
      </c>
      <c r="E106" s="1296" t="s">
        <v>716</v>
      </c>
      <c r="F106" s="1297">
        <v>937</v>
      </c>
      <c r="G106" s="1295" t="s">
        <v>763</v>
      </c>
      <c r="H106" s="1295" t="s">
        <v>185</v>
      </c>
      <c r="I106" s="1296"/>
      <c r="J106" s="1296"/>
      <c r="K106" s="1296"/>
      <c r="L106" s="1296"/>
      <c r="M106" s="1298">
        <v>2000.6</v>
      </c>
      <c r="N106" s="1298">
        <v>0</v>
      </c>
      <c r="O106" s="1298">
        <v>0</v>
      </c>
      <c r="P106" s="1298">
        <v>0</v>
      </c>
      <c r="Q106" s="1298">
        <v>0</v>
      </c>
      <c r="R106" s="1298">
        <v>0</v>
      </c>
      <c r="S106" s="1298">
        <v>0</v>
      </c>
      <c r="T106" s="1298">
        <v>0</v>
      </c>
      <c r="U106" s="1298">
        <v>0</v>
      </c>
      <c r="V106" s="1298">
        <v>0</v>
      </c>
      <c r="W106" s="1298">
        <v>0</v>
      </c>
      <c r="X106" s="1298">
        <v>0</v>
      </c>
      <c r="Y106" s="1298">
        <v>0</v>
      </c>
      <c r="Z106" s="1298">
        <v>0</v>
      </c>
      <c r="AA106" s="1298">
        <v>0</v>
      </c>
      <c r="AB106" s="1298">
        <v>0</v>
      </c>
      <c r="AC106" s="1298">
        <v>0</v>
      </c>
      <c r="AD106" s="1298">
        <v>0</v>
      </c>
      <c r="AE106" s="1298">
        <v>0</v>
      </c>
      <c r="AF106" s="1298">
        <v>0</v>
      </c>
    </row>
    <row r="107" spans="1:32" ht="15" customHeight="1">
      <c r="A107" s="1294">
        <v>0</v>
      </c>
      <c r="B107" s="1294">
        <v>0</v>
      </c>
      <c r="C107" s="1295" t="s">
        <v>1020</v>
      </c>
      <c r="D107" s="1296" t="s">
        <v>775</v>
      </c>
      <c r="E107" s="1296" t="s">
        <v>716</v>
      </c>
      <c r="F107" s="1297">
        <v>1219</v>
      </c>
      <c r="G107" s="1295" t="s">
        <v>763</v>
      </c>
      <c r="H107" s="1295" t="s">
        <v>185</v>
      </c>
      <c r="I107" s="1296"/>
      <c r="J107" s="1296"/>
      <c r="K107" s="1296"/>
      <c r="L107" s="1296"/>
      <c r="M107" s="1298">
        <v>2418.6</v>
      </c>
      <c r="N107" s="1298">
        <v>0</v>
      </c>
      <c r="O107" s="1298">
        <v>0</v>
      </c>
      <c r="P107" s="1298">
        <v>0</v>
      </c>
      <c r="Q107" s="1298">
        <v>0</v>
      </c>
      <c r="R107" s="1298">
        <v>0</v>
      </c>
      <c r="S107" s="1298">
        <v>0</v>
      </c>
      <c r="T107" s="1298">
        <v>0</v>
      </c>
      <c r="U107" s="1298">
        <v>0</v>
      </c>
      <c r="V107" s="1298">
        <v>0</v>
      </c>
      <c r="W107" s="1298">
        <v>0</v>
      </c>
      <c r="X107" s="1298">
        <v>0</v>
      </c>
      <c r="Y107" s="1298">
        <v>0</v>
      </c>
      <c r="Z107" s="1298">
        <v>0</v>
      </c>
      <c r="AA107" s="1298">
        <v>0</v>
      </c>
      <c r="AB107" s="1298">
        <v>0</v>
      </c>
      <c r="AC107" s="1298">
        <v>0</v>
      </c>
      <c r="AD107" s="1298">
        <v>0</v>
      </c>
      <c r="AE107" s="1298">
        <v>0</v>
      </c>
      <c r="AF107" s="1298">
        <v>0</v>
      </c>
    </row>
    <row r="108" spans="1:32" ht="15" customHeight="1">
      <c r="A108" s="1294">
        <v>0</v>
      </c>
      <c r="B108" s="1294">
        <v>0</v>
      </c>
      <c r="C108" s="1295" t="s">
        <v>1023</v>
      </c>
      <c r="D108" s="1296" t="s">
        <v>781</v>
      </c>
      <c r="E108" s="1296" t="s">
        <v>716</v>
      </c>
      <c r="F108" s="1297">
        <v>1429</v>
      </c>
      <c r="G108" s="1295" t="s">
        <v>763</v>
      </c>
      <c r="H108" s="1295" t="s">
        <v>185</v>
      </c>
      <c r="I108" s="1296"/>
      <c r="J108" s="1296"/>
      <c r="K108" s="1296"/>
      <c r="L108" s="1296"/>
      <c r="M108" s="1298">
        <v>2658.6</v>
      </c>
      <c r="N108" s="1298">
        <v>0</v>
      </c>
      <c r="O108" s="1298">
        <v>0</v>
      </c>
      <c r="P108" s="1298">
        <v>0</v>
      </c>
      <c r="Q108" s="1298">
        <v>0</v>
      </c>
      <c r="R108" s="1298">
        <v>0</v>
      </c>
      <c r="S108" s="1298">
        <v>0</v>
      </c>
      <c r="T108" s="1298">
        <v>0</v>
      </c>
      <c r="U108" s="1298">
        <v>0</v>
      </c>
      <c r="V108" s="1298">
        <v>0</v>
      </c>
      <c r="W108" s="1298">
        <v>0</v>
      </c>
      <c r="X108" s="1298">
        <v>0</v>
      </c>
      <c r="Y108" s="1298">
        <v>0</v>
      </c>
      <c r="Z108" s="1298">
        <v>0</v>
      </c>
      <c r="AA108" s="1298">
        <v>0</v>
      </c>
      <c r="AB108" s="1298">
        <v>0</v>
      </c>
      <c r="AC108" s="1298">
        <v>0</v>
      </c>
      <c r="AD108" s="1298">
        <v>0</v>
      </c>
      <c r="AE108" s="1298">
        <v>0</v>
      </c>
      <c r="AF108" s="1298">
        <v>0</v>
      </c>
    </row>
    <row r="109" spans="1:32" ht="15" customHeight="1">
      <c r="A109" s="1294">
        <v>0</v>
      </c>
      <c r="B109" s="1294">
        <v>0</v>
      </c>
      <c r="C109" s="1295" t="s">
        <v>1025</v>
      </c>
      <c r="D109" s="1296" t="s">
        <v>2013</v>
      </c>
      <c r="E109" s="1296" t="s">
        <v>716</v>
      </c>
      <c r="F109" s="1297">
        <v>698</v>
      </c>
      <c r="G109" s="1295" t="s">
        <v>763</v>
      </c>
      <c r="H109" s="1295" t="s">
        <v>185</v>
      </c>
      <c r="I109" s="1296"/>
      <c r="J109" s="1296"/>
      <c r="K109" s="1296"/>
      <c r="L109" s="1296"/>
      <c r="M109" s="1298">
        <v>1656.6</v>
      </c>
      <c r="N109" s="1298">
        <v>0</v>
      </c>
      <c r="O109" s="1298">
        <v>0</v>
      </c>
      <c r="P109" s="1298">
        <v>0</v>
      </c>
      <c r="Q109" s="1298">
        <v>0</v>
      </c>
      <c r="R109" s="1298">
        <v>0</v>
      </c>
      <c r="S109" s="1298">
        <v>0</v>
      </c>
      <c r="T109" s="1298">
        <v>0</v>
      </c>
      <c r="U109" s="1298">
        <v>0</v>
      </c>
      <c r="V109" s="1298">
        <v>0</v>
      </c>
      <c r="W109" s="1298">
        <v>0</v>
      </c>
      <c r="X109" s="1298">
        <v>0</v>
      </c>
      <c r="Y109" s="1298">
        <v>0</v>
      </c>
      <c r="Z109" s="1298">
        <v>0</v>
      </c>
      <c r="AA109" s="1298">
        <v>0</v>
      </c>
      <c r="AB109" s="1298">
        <v>0</v>
      </c>
      <c r="AC109" s="1298">
        <v>0</v>
      </c>
      <c r="AD109" s="1298">
        <v>0</v>
      </c>
      <c r="AE109" s="1298">
        <v>0</v>
      </c>
      <c r="AF109" s="1298">
        <v>0</v>
      </c>
    </row>
    <row r="110" spans="1:32" ht="15" customHeight="1">
      <c r="A110" s="1294">
        <v>0</v>
      </c>
      <c r="B110" s="1294">
        <v>0</v>
      </c>
      <c r="C110" s="1295" t="s">
        <v>1027</v>
      </c>
      <c r="D110" s="1296" t="s">
        <v>789</v>
      </c>
      <c r="E110" s="1296" t="s">
        <v>716</v>
      </c>
      <c r="F110" s="1297">
        <v>645</v>
      </c>
      <c r="G110" s="1295" t="s">
        <v>763</v>
      </c>
      <c r="H110" s="1295" t="s">
        <v>185</v>
      </c>
      <c r="I110" s="1296"/>
      <c r="J110" s="1296"/>
      <c r="K110" s="1296"/>
      <c r="L110" s="1296"/>
      <c r="M110" s="1298">
        <v>1651.6</v>
      </c>
      <c r="N110" s="1298">
        <v>0</v>
      </c>
      <c r="O110" s="1298">
        <v>0</v>
      </c>
      <c r="P110" s="1298">
        <v>0</v>
      </c>
      <c r="Q110" s="1298">
        <v>0</v>
      </c>
      <c r="R110" s="1298">
        <v>0</v>
      </c>
      <c r="S110" s="1298">
        <v>0</v>
      </c>
      <c r="T110" s="1298">
        <v>0</v>
      </c>
      <c r="U110" s="1298">
        <v>0</v>
      </c>
      <c r="V110" s="1298">
        <v>0</v>
      </c>
      <c r="W110" s="1298">
        <v>0</v>
      </c>
      <c r="X110" s="1298">
        <v>0</v>
      </c>
      <c r="Y110" s="1298">
        <v>0</v>
      </c>
      <c r="Z110" s="1298">
        <v>0</v>
      </c>
      <c r="AA110" s="1298">
        <v>0</v>
      </c>
      <c r="AB110" s="1298">
        <v>0</v>
      </c>
      <c r="AC110" s="1298">
        <v>0</v>
      </c>
      <c r="AD110" s="1298">
        <v>0</v>
      </c>
      <c r="AE110" s="1298">
        <v>0</v>
      </c>
      <c r="AF110" s="1298">
        <v>0</v>
      </c>
    </row>
    <row r="111" spans="1:32" ht="15" customHeight="1">
      <c r="A111" s="1294">
        <v>0</v>
      </c>
      <c r="B111" s="1294">
        <v>0</v>
      </c>
      <c r="C111" s="1295" t="s">
        <v>1028</v>
      </c>
      <c r="D111" s="1296" t="s">
        <v>2013</v>
      </c>
      <c r="E111" s="1296" t="s">
        <v>716</v>
      </c>
      <c r="F111" s="1297">
        <v>698</v>
      </c>
      <c r="G111" s="1295" t="s">
        <v>763</v>
      </c>
      <c r="H111" s="1295" t="s">
        <v>185</v>
      </c>
      <c r="I111" s="1296"/>
      <c r="J111" s="1296"/>
      <c r="K111" s="1296"/>
      <c r="L111" s="1296"/>
      <c r="M111" s="1298">
        <v>1656.6</v>
      </c>
      <c r="N111" s="1298">
        <v>0</v>
      </c>
      <c r="O111" s="1298">
        <v>0</v>
      </c>
      <c r="P111" s="1298">
        <v>0</v>
      </c>
      <c r="Q111" s="1298">
        <v>0</v>
      </c>
      <c r="R111" s="1298">
        <v>0</v>
      </c>
      <c r="S111" s="1298">
        <v>0</v>
      </c>
      <c r="T111" s="1298">
        <v>0</v>
      </c>
      <c r="U111" s="1298">
        <v>0</v>
      </c>
      <c r="V111" s="1298">
        <v>0</v>
      </c>
      <c r="W111" s="1298">
        <v>0</v>
      </c>
      <c r="X111" s="1298">
        <v>0</v>
      </c>
      <c r="Y111" s="1298">
        <v>0</v>
      </c>
      <c r="Z111" s="1298">
        <v>0</v>
      </c>
      <c r="AA111" s="1298">
        <v>0</v>
      </c>
      <c r="AB111" s="1298">
        <v>0</v>
      </c>
      <c r="AC111" s="1298">
        <v>0</v>
      </c>
      <c r="AD111" s="1298">
        <v>0</v>
      </c>
      <c r="AE111" s="1298">
        <v>0</v>
      </c>
      <c r="AF111" s="1298">
        <v>0</v>
      </c>
    </row>
    <row r="112" spans="1:32" ht="15" customHeight="1">
      <c r="A112" s="1294">
        <v>0</v>
      </c>
      <c r="B112" s="1294">
        <v>0</v>
      </c>
      <c r="C112" s="1295" t="s">
        <v>1029</v>
      </c>
      <c r="D112" s="1296" t="s">
        <v>795</v>
      </c>
      <c r="E112" s="1296" t="s">
        <v>716</v>
      </c>
      <c r="F112" s="1297">
        <v>731</v>
      </c>
      <c r="G112" s="1295" t="s">
        <v>763</v>
      </c>
      <c r="H112" s="1295" t="s">
        <v>185</v>
      </c>
      <c r="I112" s="1296"/>
      <c r="J112" s="1296"/>
      <c r="K112" s="1296"/>
      <c r="L112" s="1296"/>
      <c r="M112" s="1298">
        <v>1771.6</v>
      </c>
      <c r="N112" s="1298">
        <v>0</v>
      </c>
      <c r="O112" s="1298">
        <v>0</v>
      </c>
      <c r="P112" s="1298">
        <v>0</v>
      </c>
      <c r="Q112" s="1298">
        <v>0</v>
      </c>
      <c r="R112" s="1298">
        <v>0</v>
      </c>
      <c r="S112" s="1298">
        <v>0</v>
      </c>
      <c r="T112" s="1298">
        <v>0</v>
      </c>
      <c r="U112" s="1298">
        <v>0</v>
      </c>
      <c r="V112" s="1298">
        <v>0</v>
      </c>
      <c r="W112" s="1298">
        <v>0</v>
      </c>
      <c r="X112" s="1298">
        <v>0</v>
      </c>
      <c r="Y112" s="1298">
        <v>0</v>
      </c>
      <c r="Z112" s="1298">
        <v>0</v>
      </c>
      <c r="AA112" s="1298">
        <v>0</v>
      </c>
      <c r="AB112" s="1298">
        <v>0</v>
      </c>
      <c r="AC112" s="1298">
        <v>0</v>
      </c>
      <c r="AD112" s="1298">
        <v>0</v>
      </c>
      <c r="AE112" s="1298">
        <v>0</v>
      </c>
      <c r="AF112" s="1298">
        <v>0</v>
      </c>
    </row>
    <row r="113" spans="1:32" ht="15" customHeight="1">
      <c r="A113" s="1294">
        <v>0</v>
      </c>
      <c r="B113" s="1294">
        <v>0</v>
      </c>
      <c r="C113" s="1295" t="s">
        <v>1031</v>
      </c>
      <c r="D113" s="1296" t="s">
        <v>799</v>
      </c>
      <c r="E113" s="1296" t="s">
        <v>716</v>
      </c>
      <c r="F113" s="1297">
        <v>1399</v>
      </c>
      <c r="G113" s="1295" t="s">
        <v>763</v>
      </c>
      <c r="H113" s="1295" t="s">
        <v>185</v>
      </c>
      <c r="I113" s="1296"/>
      <c r="J113" s="1296"/>
      <c r="K113" s="1296"/>
      <c r="L113" s="1296"/>
      <c r="M113" s="1298">
        <v>2578.6</v>
      </c>
      <c r="N113" s="1298">
        <v>0</v>
      </c>
      <c r="O113" s="1298">
        <v>0</v>
      </c>
      <c r="P113" s="1298">
        <v>0</v>
      </c>
      <c r="Q113" s="1298">
        <v>0</v>
      </c>
      <c r="R113" s="1298">
        <v>0</v>
      </c>
      <c r="S113" s="1298">
        <v>0</v>
      </c>
      <c r="T113" s="1298">
        <v>0</v>
      </c>
      <c r="U113" s="1298">
        <v>0</v>
      </c>
      <c r="V113" s="1298">
        <v>0</v>
      </c>
      <c r="W113" s="1298">
        <v>0</v>
      </c>
      <c r="X113" s="1298">
        <v>0</v>
      </c>
      <c r="Y113" s="1298">
        <v>0</v>
      </c>
      <c r="Z113" s="1298">
        <v>0</v>
      </c>
      <c r="AA113" s="1298">
        <v>0</v>
      </c>
      <c r="AB113" s="1298">
        <v>0</v>
      </c>
      <c r="AC113" s="1298">
        <v>0</v>
      </c>
      <c r="AD113" s="1298">
        <v>0</v>
      </c>
      <c r="AE113" s="1298">
        <v>0</v>
      </c>
      <c r="AF113" s="1298">
        <v>0</v>
      </c>
    </row>
    <row r="114" spans="1:32" ht="15" customHeight="1">
      <c r="A114" s="1294">
        <v>0</v>
      </c>
      <c r="B114" s="1294">
        <v>0</v>
      </c>
      <c r="C114" s="1295" t="s">
        <v>1034</v>
      </c>
      <c r="D114" s="1296" t="s">
        <v>795</v>
      </c>
      <c r="E114" s="1296" t="s">
        <v>716</v>
      </c>
      <c r="F114" s="1297">
        <v>731</v>
      </c>
      <c r="G114" s="1295" t="s">
        <v>763</v>
      </c>
      <c r="H114" s="1295" t="s">
        <v>185</v>
      </c>
      <c r="I114" s="1296"/>
      <c r="J114" s="1296"/>
      <c r="K114" s="1296"/>
      <c r="L114" s="1296"/>
      <c r="M114" s="1298">
        <v>1771.6</v>
      </c>
      <c r="N114" s="1298">
        <v>0</v>
      </c>
      <c r="O114" s="1298">
        <v>0</v>
      </c>
      <c r="P114" s="1298">
        <v>0</v>
      </c>
      <c r="Q114" s="1298">
        <v>0</v>
      </c>
      <c r="R114" s="1298">
        <v>0</v>
      </c>
      <c r="S114" s="1298">
        <v>0</v>
      </c>
      <c r="T114" s="1298">
        <v>0</v>
      </c>
      <c r="U114" s="1298">
        <v>0</v>
      </c>
      <c r="V114" s="1298">
        <v>0</v>
      </c>
      <c r="W114" s="1298">
        <v>0</v>
      </c>
      <c r="X114" s="1298">
        <v>0</v>
      </c>
      <c r="Y114" s="1298">
        <v>0</v>
      </c>
      <c r="Z114" s="1298">
        <v>0</v>
      </c>
      <c r="AA114" s="1298">
        <v>0</v>
      </c>
      <c r="AB114" s="1298">
        <v>0</v>
      </c>
      <c r="AC114" s="1298">
        <v>0</v>
      </c>
      <c r="AD114" s="1298">
        <v>0</v>
      </c>
      <c r="AE114" s="1298">
        <v>0</v>
      </c>
      <c r="AF114" s="1298">
        <v>0</v>
      </c>
    </row>
    <row r="115" spans="1:32" ht="15" customHeight="1">
      <c r="A115" s="1294">
        <v>173</v>
      </c>
      <c r="B115" s="1294">
        <v>487</v>
      </c>
      <c r="C115" s="1295" t="s">
        <v>1035</v>
      </c>
      <c r="D115" s="1296" t="s">
        <v>795</v>
      </c>
      <c r="E115" s="1296" t="s">
        <v>716</v>
      </c>
      <c r="F115" s="1297">
        <v>731</v>
      </c>
      <c r="G115" s="1295" t="s">
        <v>189</v>
      </c>
      <c r="H115" s="1295" t="s">
        <v>1036</v>
      </c>
      <c r="I115" s="1296" t="s">
        <v>1037</v>
      </c>
      <c r="J115" s="1296"/>
      <c r="K115" s="1296" t="s">
        <v>1843</v>
      </c>
      <c r="L115" s="1296" t="s">
        <v>1844</v>
      </c>
      <c r="M115" s="1298">
        <v>1771.6</v>
      </c>
      <c r="N115" s="1298">
        <v>0</v>
      </c>
      <c r="O115" s="1298">
        <v>0</v>
      </c>
      <c r="P115" s="1298">
        <v>43.85</v>
      </c>
      <c r="Q115" s="1298">
        <v>1559</v>
      </c>
      <c r="R115" s="1298">
        <v>1559</v>
      </c>
      <c r="S115" s="1298">
        <v>30</v>
      </c>
      <c r="T115" s="1298">
        <v>11.5</v>
      </c>
      <c r="U115" s="1298">
        <v>22</v>
      </c>
      <c r="V115" s="1298">
        <v>20</v>
      </c>
      <c r="W115" s="1298">
        <v>25</v>
      </c>
      <c r="X115" s="1298">
        <v>0</v>
      </c>
      <c r="Y115" s="1298">
        <v>0</v>
      </c>
      <c r="Z115" s="1298">
        <v>0</v>
      </c>
      <c r="AA115" s="1298">
        <v>0</v>
      </c>
      <c r="AB115" s="1298">
        <v>0</v>
      </c>
      <c r="AC115" s="1298">
        <v>0</v>
      </c>
      <c r="AD115" s="1298">
        <v>0</v>
      </c>
      <c r="AE115" s="1298">
        <v>0</v>
      </c>
      <c r="AF115" s="1298">
        <v>1667.5</v>
      </c>
    </row>
    <row r="116" spans="1:32" ht="15" customHeight="1">
      <c r="A116" s="1294">
        <v>187</v>
      </c>
      <c r="B116" s="1294">
        <v>620</v>
      </c>
      <c r="C116" s="1295" t="s">
        <v>1038</v>
      </c>
      <c r="D116" s="1296" t="s">
        <v>815</v>
      </c>
      <c r="E116" s="1296" t="s">
        <v>716</v>
      </c>
      <c r="F116" s="1297">
        <v>698</v>
      </c>
      <c r="G116" s="1295" t="s">
        <v>189</v>
      </c>
      <c r="H116" s="1295" t="s">
        <v>1039</v>
      </c>
      <c r="I116" s="1296" t="s">
        <v>1040</v>
      </c>
      <c r="J116" s="1296"/>
      <c r="K116" s="1296" t="s">
        <v>787</v>
      </c>
      <c r="L116" s="1296" t="s">
        <v>2227</v>
      </c>
      <c r="M116" s="1298">
        <v>1656.6</v>
      </c>
      <c r="N116" s="1298">
        <v>0</v>
      </c>
      <c r="O116" s="1298">
        <v>0</v>
      </c>
      <c r="P116" s="1298">
        <v>-22.6</v>
      </c>
      <c r="Q116" s="1298">
        <v>1546</v>
      </c>
      <c r="R116" s="1298">
        <v>1546</v>
      </c>
      <c r="S116" s="1298">
        <v>30</v>
      </c>
      <c r="T116" s="1298">
        <v>12.6</v>
      </c>
      <c r="U116" s="1298">
        <v>22</v>
      </c>
      <c r="V116" s="1298">
        <v>20</v>
      </c>
      <c r="W116" s="1298">
        <v>0</v>
      </c>
      <c r="X116" s="1298">
        <v>0</v>
      </c>
      <c r="Y116" s="1298">
        <v>0</v>
      </c>
      <c r="Z116" s="1298">
        <v>0</v>
      </c>
      <c r="AA116" s="1298">
        <v>0</v>
      </c>
      <c r="AB116" s="1298">
        <v>0</v>
      </c>
      <c r="AC116" s="1298">
        <v>0</v>
      </c>
      <c r="AD116" s="1298">
        <v>0</v>
      </c>
      <c r="AE116" s="1298">
        <v>0</v>
      </c>
      <c r="AF116" s="1298">
        <v>1630.6</v>
      </c>
    </row>
    <row r="117" spans="1:32" ht="15" customHeight="1">
      <c r="A117" s="1294">
        <v>268</v>
      </c>
      <c r="B117" s="1294">
        <v>512</v>
      </c>
      <c r="C117" s="1295" t="s">
        <v>1042</v>
      </c>
      <c r="D117" s="1296" t="s">
        <v>815</v>
      </c>
      <c r="E117" s="1296" t="s">
        <v>716</v>
      </c>
      <c r="F117" s="1297">
        <v>698</v>
      </c>
      <c r="G117" s="1295" t="s">
        <v>189</v>
      </c>
      <c r="H117" s="1295" t="s">
        <v>1043</v>
      </c>
      <c r="I117" s="1296" t="s">
        <v>724</v>
      </c>
      <c r="J117" s="1296"/>
      <c r="K117" s="1296" t="s">
        <v>1837</v>
      </c>
      <c r="L117" s="1296" t="s">
        <v>1521</v>
      </c>
      <c r="M117" s="1298">
        <v>1656.6</v>
      </c>
      <c r="N117" s="1298">
        <v>0</v>
      </c>
      <c r="O117" s="1298">
        <v>0</v>
      </c>
      <c r="P117" s="1298">
        <v>38.94</v>
      </c>
      <c r="Q117" s="1298">
        <v>1583</v>
      </c>
      <c r="R117" s="1298">
        <v>1583</v>
      </c>
      <c r="S117" s="1298">
        <v>30</v>
      </c>
      <c r="T117" s="1298">
        <v>12.6</v>
      </c>
      <c r="U117" s="1298">
        <v>22</v>
      </c>
      <c r="V117" s="1298">
        <v>20</v>
      </c>
      <c r="W117" s="1298">
        <v>0</v>
      </c>
      <c r="X117" s="1298">
        <v>0</v>
      </c>
      <c r="Y117" s="1298">
        <v>0</v>
      </c>
      <c r="Z117" s="1298">
        <v>0</v>
      </c>
      <c r="AA117" s="1298">
        <v>0</v>
      </c>
      <c r="AB117" s="1298">
        <v>0</v>
      </c>
      <c r="AC117" s="1298">
        <v>0</v>
      </c>
      <c r="AD117" s="1298">
        <v>0</v>
      </c>
      <c r="AE117" s="1298">
        <v>0</v>
      </c>
      <c r="AF117" s="1298">
        <v>1667.6</v>
      </c>
    </row>
    <row r="118" spans="1:32" ht="15" customHeight="1">
      <c r="A118" s="1294">
        <v>49</v>
      </c>
      <c r="B118" s="1294">
        <v>523</v>
      </c>
      <c r="C118" s="1295" t="s">
        <v>1045</v>
      </c>
      <c r="D118" s="1296" t="s">
        <v>727</v>
      </c>
      <c r="E118" s="1296" t="s">
        <v>716</v>
      </c>
      <c r="F118" s="1297">
        <v>1000</v>
      </c>
      <c r="G118" s="1295" t="s">
        <v>189</v>
      </c>
      <c r="H118" s="1295" t="s">
        <v>1046</v>
      </c>
      <c r="I118" s="1296" t="s">
        <v>1047</v>
      </c>
      <c r="J118" s="1296"/>
      <c r="K118" s="1296" t="s">
        <v>1327</v>
      </c>
      <c r="L118" s="1296" t="s">
        <v>1838</v>
      </c>
      <c r="M118" s="1298">
        <v>2070.6</v>
      </c>
      <c r="N118" s="1298">
        <v>0</v>
      </c>
      <c r="O118" s="1298">
        <v>0</v>
      </c>
      <c r="P118" s="1298">
        <v>-45.91</v>
      </c>
      <c r="Q118" s="1298">
        <v>1796</v>
      </c>
      <c r="R118" s="1298">
        <v>1796</v>
      </c>
      <c r="S118" s="1298">
        <v>30</v>
      </c>
      <c r="T118" s="1298">
        <v>12.6</v>
      </c>
      <c r="U118" s="1298">
        <v>0</v>
      </c>
      <c r="V118" s="1298">
        <v>20</v>
      </c>
      <c r="W118" s="1298">
        <v>0</v>
      </c>
      <c r="X118" s="1298">
        <v>0</v>
      </c>
      <c r="Y118" s="1298">
        <v>0</v>
      </c>
      <c r="Z118" s="1298">
        <v>0</v>
      </c>
      <c r="AA118" s="1298">
        <v>0</v>
      </c>
      <c r="AB118" s="1298">
        <v>0</v>
      </c>
      <c r="AC118" s="1298">
        <v>0</v>
      </c>
      <c r="AD118" s="1298">
        <v>0</v>
      </c>
      <c r="AE118" s="1298">
        <v>0</v>
      </c>
      <c r="AF118" s="1298">
        <v>1858.6</v>
      </c>
    </row>
    <row r="119" spans="1:32" ht="15" customHeight="1">
      <c r="A119" s="1294">
        <v>393</v>
      </c>
      <c r="B119" s="1294">
        <v>563</v>
      </c>
      <c r="C119" s="1295" t="s">
        <v>1049</v>
      </c>
      <c r="D119" s="1296" t="s">
        <v>815</v>
      </c>
      <c r="E119" s="1296" t="s">
        <v>716</v>
      </c>
      <c r="F119" s="1297">
        <v>698</v>
      </c>
      <c r="G119" s="1295" t="s">
        <v>189</v>
      </c>
      <c r="H119" s="1295" t="s">
        <v>2042</v>
      </c>
      <c r="I119" s="1296" t="s">
        <v>1048</v>
      </c>
      <c r="J119" s="1296"/>
      <c r="K119" s="1296" t="s">
        <v>1048</v>
      </c>
      <c r="L119" s="1296" t="s">
        <v>2043</v>
      </c>
      <c r="M119" s="1298">
        <v>1506.6</v>
      </c>
      <c r="N119" s="1298">
        <v>250</v>
      </c>
      <c r="O119" s="1298">
        <v>250</v>
      </c>
      <c r="P119" s="1298">
        <v>22.45</v>
      </c>
      <c r="Q119" s="1298">
        <v>1372</v>
      </c>
      <c r="R119" s="1298">
        <v>1372</v>
      </c>
      <c r="S119" s="1298">
        <v>30</v>
      </c>
      <c r="T119" s="1298">
        <v>12.6</v>
      </c>
      <c r="U119" s="1298">
        <v>22</v>
      </c>
      <c r="V119" s="1298">
        <v>0</v>
      </c>
      <c r="W119" s="1298">
        <v>0</v>
      </c>
      <c r="X119" s="1298">
        <v>0</v>
      </c>
      <c r="Y119" s="1298">
        <v>0</v>
      </c>
      <c r="Z119" s="1298">
        <v>0</v>
      </c>
      <c r="AA119" s="1298">
        <v>0</v>
      </c>
      <c r="AB119" s="1298">
        <v>0</v>
      </c>
      <c r="AC119" s="1298">
        <v>0</v>
      </c>
      <c r="AD119" s="1298">
        <v>0</v>
      </c>
      <c r="AE119" s="1298">
        <v>0</v>
      </c>
      <c r="AF119" s="1298">
        <v>1436.6</v>
      </c>
    </row>
    <row r="120" spans="1:32" ht="15" customHeight="1">
      <c r="A120" s="1294">
        <v>100</v>
      </c>
      <c r="B120" s="1294">
        <v>446</v>
      </c>
      <c r="C120" s="1295" t="s">
        <v>1051</v>
      </c>
      <c r="D120" s="1296" t="s">
        <v>1999</v>
      </c>
      <c r="E120" s="1296" t="s">
        <v>716</v>
      </c>
      <c r="F120" s="1297">
        <v>1036</v>
      </c>
      <c r="G120" s="1295" t="s">
        <v>189</v>
      </c>
      <c r="H120" s="1295" t="s">
        <v>1052</v>
      </c>
      <c r="I120" s="1296" t="s">
        <v>1053</v>
      </c>
      <c r="J120" s="1296"/>
      <c r="K120" s="1296" t="s">
        <v>1098</v>
      </c>
      <c r="L120" s="1296" t="s">
        <v>1828</v>
      </c>
      <c r="M120" s="1298">
        <v>1995.6</v>
      </c>
      <c r="N120" s="1298">
        <v>0</v>
      </c>
      <c r="O120" s="1298">
        <v>0</v>
      </c>
      <c r="P120" s="1298">
        <v>94.62</v>
      </c>
      <c r="Q120" s="1298">
        <v>1728</v>
      </c>
      <c r="R120" s="1298">
        <v>1728</v>
      </c>
      <c r="S120" s="1298">
        <v>25</v>
      </c>
      <c r="T120" s="1298">
        <v>11.5</v>
      </c>
      <c r="U120" s="1298">
        <v>17</v>
      </c>
      <c r="V120" s="1298">
        <v>20</v>
      </c>
      <c r="W120" s="1298">
        <v>25</v>
      </c>
      <c r="X120" s="1298">
        <v>0</v>
      </c>
      <c r="Y120" s="1298">
        <v>0</v>
      </c>
      <c r="Z120" s="1298">
        <v>0</v>
      </c>
      <c r="AA120" s="1298">
        <v>0</v>
      </c>
      <c r="AB120" s="1298">
        <v>0</v>
      </c>
      <c r="AC120" s="1298">
        <v>0</v>
      </c>
      <c r="AD120" s="1298">
        <v>0</v>
      </c>
      <c r="AE120" s="1298">
        <v>0</v>
      </c>
      <c r="AF120" s="1298">
        <v>1826.5</v>
      </c>
    </row>
    <row r="121" spans="1:32" ht="15" customHeight="1">
      <c r="A121" s="1294">
        <v>392</v>
      </c>
      <c r="B121" s="1294">
        <v>561</v>
      </c>
      <c r="C121" s="1295" t="s">
        <v>1054</v>
      </c>
      <c r="D121" s="1296" t="s">
        <v>772</v>
      </c>
      <c r="E121" s="1296" t="s">
        <v>716</v>
      </c>
      <c r="F121" s="1297">
        <v>937</v>
      </c>
      <c r="G121" s="1295" t="s">
        <v>189</v>
      </c>
      <c r="H121" s="1295" t="s">
        <v>1232</v>
      </c>
      <c r="I121" s="1296" t="s">
        <v>2044</v>
      </c>
      <c r="J121" s="1296"/>
      <c r="K121" s="1296" t="s">
        <v>2044</v>
      </c>
      <c r="L121" s="1296" t="s">
        <v>2045</v>
      </c>
      <c r="M121" s="1298">
        <v>1850.6</v>
      </c>
      <c r="N121" s="1298">
        <v>250</v>
      </c>
      <c r="O121" s="1298">
        <v>250</v>
      </c>
      <c r="P121" s="1298">
        <v>55.28</v>
      </c>
      <c r="Q121" s="1298">
        <v>1716</v>
      </c>
      <c r="R121" s="1298">
        <v>1716</v>
      </c>
      <c r="S121" s="1298">
        <v>30</v>
      </c>
      <c r="T121" s="1298">
        <v>12.6</v>
      </c>
      <c r="U121" s="1298">
        <v>22</v>
      </c>
      <c r="V121" s="1298">
        <v>0</v>
      </c>
      <c r="W121" s="1298">
        <v>0</v>
      </c>
      <c r="X121" s="1298">
        <v>0</v>
      </c>
      <c r="Y121" s="1298">
        <v>0</v>
      </c>
      <c r="Z121" s="1298">
        <v>0</v>
      </c>
      <c r="AA121" s="1298">
        <v>0</v>
      </c>
      <c r="AB121" s="1298">
        <v>0</v>
      </c>
      <c r="AC121" s="1298">
        <v>0</v>
      </c>
      <c r="AD121" s="1298">
        <v>0</v>
      </c>
      <c r="AE121" s="1298">
        <v>0</v>
      </c>
      <c r="AF121" s="1298">
        <v>1780.6</v>
      </c>
    </row>
    <row r="122" spans="1:32" ht="15" customHeight="1">
      <c r="A122" s="1294">
        <v>0</v>
      </c>
      <c r="B122" s="1294">
        <v>0</v>
      </c>
      <c r="C122" s="1295" t="s">
        <v>1055</v>
      </c>
      <c r="D122" s="1296" t="s">
        <v>840</v>
      </c>
      <c r="E122" s="1296" t="s">
        <v>716</v>
      </c>
      <c r="F122" s="1297">
        <v>1235</v>
      </c>
      <c r="G122" s="1295" t="s">
        <v>579</v>
      </c>
      <c r="H122" s="1295" t="s">
        <v>185</v>
      </c>
      <c r="I122" s="1296"/>
      <c r="J122" s="1296"/>
      <c r="K122" s="1296"/>
      <c r="L122" s="1296"/>
      <c r="M122" s="1298">
        <v>2718.6</v>
      </c>
      <c r="N122" s="1298">
        <v>0</v>
      </c>
      <c r="O122" s="1298">
        <v>0</v>
      </c>
      <c r="P122" s="1298">
        <v>0</v>
      </c>
      <c r="Q122" s="1298">
        <v>0</v>
      </c>
      <c r="R122" s="1298">
        <v>0</v>
      </c>
      <c r="S122" s="1298">
        <v>0</v>
      </c>
      <c r="T122" s="1298">
        <v>0</v>
      </c>
      <c r="U122" s="1298">
        <v>0</v>
      </c>
      <c r="V122" s="1298">
        <v>0</v>
      </c>
      <c r="W122" s="1298">
        <v>0</v>
      </c>
      <c r="X122" s="1298">
        <v>0</v>
      </c>
      <c r="Y122" s="1298">
        <v>0</v>
      </c>
      <c r="Z122" s="1298">
        <v>0</v>
      </c>
      <c r="AA122" s="1298">
        <v>0</v>
      </c>
      <c r="AB122" s="1298">
        <v>0</v>
      </c>
      <c r="AC122" s="1298">
        <v>0</v>
      </c>
      <c r="AD122" s="1298">
        <v>0</v>
      </c>
      <c r="AE122" s="1298">
        <v>0</v>
      </c>
      <c r="AF122" s="1298">
        <v>0</v>
      </c>
    </row>
    <row r="123" spans="1:32" ht="15" customHeight="1">
      <c r="A123" s="1294">
        <v>136</v>
      </c>
      <c r="B123" s="1294">
        <v>537</v>
      </c>
      <c r="C123" s="1295" t="s">
        <v>1056</v>
      </c>
      <c r="D123" s="1296" t="s">
        <v>840</v>
      </c>
      <c r="E123" s="1296" t="s">
        <v>716</v>
      </c>
      <c r="F123" s="1297">
        <v>1235</v>
      </c>
      <c r="G123" s="1295" t="s">
        <v>189</v>
      </c>
      <c r="H123" s="1295" t="s">
        <v>1057</v>
      </c>
      <c r="I123" s="1296" t="s">
        <v>1058</v>
      </c>
      <c r="J123" s="1296"/>
      <c r="K123" s="1296" t="s">
        <v>2046</v>
      </c>
      <c r="L123" s="1296" t="s">
        <v>2047</v>
      </c>
      <c r="M123" s="1298">
        <v>2493.6</v>
      </c>
      <c r="N123" s="1298">
        <v>0</v>
      </c>
      <c r="O123" s="1298">
        <v>0</v>
      </c>
      <c r="P123" s="1298">
        <v>0</v>
      </c>
      <c r="Q123" s="1298">
        <v>2183</v>
      </c>
      <c r="R123" s="1298">
        <v>2183</v>
      </c>
      <c r="S123" s="1298">
        <v>30</v>
      </c>
      <c r="T123" s="1298">
        <v>12.6</v>
      </c>
      <c r="U123" s="1298">
        <v>22</v>
      </c>
      <c r="V123" s="1298">
        <v>20</v>
      </c>
      <c r="W123" s="1298">
        <v>30</v>
      </c>
      <c r="X123" s="1298">
        <v>35</v>
      </c>
      <c r="Y123" s="1298">
        <v>0</v>
      </c>
      <c r="Z123" s="1298">
        <v>0</v>
      </c>
      <c r="AA123" s="1298">
        <v>0</v>
      </c>
      <c r="AB123" s="1298">
        <v>0</v>
      </c>
      <c r="AC123" s="1298">
        <v>0</v>
      </c>
      <c r="AD123" s="1298">
        <v>0</v>
      </c>
      <c r="AE123" s="1298">
        <v>0</v>
      </c>
      <c r="AF123" s="1298">
        <v>2332.6</v>
      </c>
    </row>
    <row r="124" spans="1:32" ht="15" customHeight="1">
      <c r="A124" s="1294">
        <v>219</v>
      </c>
      <c r="B124" s="1294">
        <v>462</v>
      </c>
      <c r="C124" s="1295" t="s">
        <v>1060</v>
      </c>
      <c r="D124" s="1296" t="s">
        <v>772</v>
      </c>
      <c r="E124" s="1296" t="s">
        <v>716</v>
      </c>
      <c r="F124" s="1297">
        <v>937</v>
      </c>
      <c r="G124" s="1295" t="s">
        <v>189</v>
      </c>
      <c r="H124" s="1295" t="s">
        <v>1061</v>
      </c>
      <c r="I124" s="1296" t="s">
        <v>1062</v>
      </c>
      <c r="J124" s="1296"/>
      <c r="K124" s="1296" t="s">
        <v>1171</v>
      </c>
      <c r="L124" s="1296" t="s">
        <v>1828</v>
      </c>
      <c r="M124" s="1298">
        <v>2000.6</v>
      </c>
      <c r="N124" s="1298">
        <v>0</v>
      </c>
      <c r="O124" s="1298">
        <v>0</v>
      </c>
      <c r="P124" s="1298">
        <v>67.87</v>
      </c>
      <c r="Q124" s="1298">
        <v>1719</v>
      </c>
      <c r="R124" s="1298">
        <v>1719</v>
      </c>
      <c r="S124" s="1298">
        <v>25</v>
      </c>
      <c r="T124" s="1298">
        <v>11.5</v>
      </c>
      <c r="U124" s="1298">
        <v>17</v>
      </c>
      <c r="V124" s="1298">
        <v>20</v>
      </c>
      <c r="W124" s="1298">
        <v>25</v>
      </c>
      <c r="X124" s="1298">
        <v>0</v>
      </c>
      <c r="Y124" s="1298">
        <v>0</v>
      </c>
      <c r="Z124" s="1298">
        <v>0</v>
      </c>
      <c r="AA124" s="1298">
        <v>0</v>
      </c>
      <c r="AB124" s="1298">
        <v>0</v>
      </c>
      <c r="AC124" s="1298">
        <v>0</v>
      </c>
      <c r="AD124" s="1298">
        <v>0</v>
      </c>
      <c r="AE124" s="1298">
        <v>0</v>
      </c>
      <c r="AF124" s="1298">
        <v>1817.5</v>
      </c>
    </row>
    <row r="125" spans="1:32" ht="15" customHeight="1">
      <c r="A125" s="1294">
        <v>135</v>
      </c>
      <c r="B125" s="1294">
        <v>145</v>
      </c>
      <c r="C125" s="1295" t="s">
        <v>1063</v>
      </c>
      <c r="D125" s="1296" t="s">
        <v>2062</v>
      </c>
      <c r="E125" s="1296" t="s">
        <v>716</v>
      </c>
      <c r="F125" s="1297">
        <v>784</v>
      </c>
      <c r="G125" s="1295" t="s">
        <v>189</v>
      </c>
      <c r="H125" s="1295" t="s">
        <v>1064</v>
      </c>
      <c r="I125" s="1296" t="s">
        <v>1065</v>
      </c>
      <c r="J125" s="1296"/>
      <c r="K125" s="1296" t="s">
        <v>1066</v>
      </c>
      <c r="L125" s="1296" t="s">
        <v>1067</v>
      </c>
      <c r="M125" s="1298">
        <v>1786.6</v>
      </c>
      <c r="N125" s="1298">
        <v>0</v>
      </c>
      <c r="O125" s="1298">
        <v>0</v>
      </c>
      <c r="P125" s="1298">
        <v>46.01</v>
      </c>
      <c r="Q125" s="1298">
        <v>1690</v>
      </c>
      <c r="R125" s="1298">
        <v>1690</v>
      </c>
      <c r="S125" s="1298">
        <v>25</v>
      </c>
      <c r="T125" s="1298">
        <v>12.6</v>
      </c>
      <c r="U125" s="1298">
        <v>21</v>
      </c>
      <c r="V125" s="1298">
        <v>20</v>
      </c>
      <c r="W125" s="1298">
        <v>0</v>
      </c>
      <c r="X125" s="1298">
        <v>0</v>
      </c>
      <c r="Y125" s="1298">
        <v>0</v>
      </c>
      <c r="Z125" s="1298">
        <v>0</v>
      </c>
      <c r="AA125" s="1298">
        <v>0</v>
      </c>
      <c r="AB125" s="1298">
        <v>0</v>
      </c>
      <c r="AC125" s="1298">
        <v>0</v>
      </c>
      <c r="AD125" s="1298">
        <v>0</v>
      </c>
      <c r="AE125" s="1298">
        <v>0</v>
      </c>
      <c r="AF125" s="1298">
        <v>1768.6</v>
      </c>
    </row>
    <row r="126" spans="1:32" ht="15" customHeight="1">
      <c r="A126" s="1294">
        <v>397</v>
      </c>
      <c r="B126" s="1294">
        <v>567</v>
      </c>
      <c r="C126" s="1295" t="s">
        <v>1068</v>
      </c>
      <c r="D126" s="1296" t="s">
        <v>1194</v>
      </c>
      <c r="E126" s="1296" t="s">
        <v>716</v>
      </c>
      <c r="F126" s="1297">
        <v>684</v>
      </c>
      <c r="G126" s="1295" t="s">
        <v>189</v>
      </c>
      <c r="H126" s="1295" t="s">
        <v>2048</v>
      </c>
      <c r="I126" s="1296" t="s">
        <v>1588</v>
      </c>
      <c r="J126" s="1296"/>
      <c r="K126" s="1296" t="s">
        <v>1588</v>
      </c>
      <c r="L126" s="1296" t="s">
        <v>2049</v>
      </c>
      <c r="M126" s="1298">
        <v>1606.6</v>
      </c>
      <c r="N126" s="1298">
        <v>250</v>
      </c>
      <c r="O126" s="1298">
        <v>250</v>
      </c>
      <c r="P126" s="1298">
        <v>0</v>
      </c>
      <c r="Q126" s="1298">
        <v>1472</v>
      </c>
      <c r="R126" s="1298">
        <v>1472</v>
      </c>
      <c r="S126" s="1298">
        <v>30</v>
      </c>
      <c r="T126" s="1298">
        <v>12.6</v>
      </c>
      <c r="U126" s="1298">
        <v>22</v>
      </c>
      <c r="V126" s="1298">
        <v>0</v>
      </c>
      <c r="W126" s="1298">
        <v>0</v>
      </c>
      <c r="X126" s="1298">
        <v>0</v>
      </c>
      <c r="Y126" s="1298">
        <v>0</v>
      </c>
      <c r="Z126" s="1298">
        <v>0</v>
      </c>
      <c r="AA126" s="1298">
        <v>0</v>
      </c>
      <c r="AB126" s="1298">
        <v>0</v>
      </c>
      <c r="AC126" s="1298">
        <v>0</v>
      </c>
      <c r="AD126" s="1298">
        <v>0</v>
      </c>
      <c r="AE126" s="1298">
        <v>0</v>
      </c>
      <c r="AF126" s="1298">
        <v>1536.6</v>
      </c>
    </row>
    <row r="127" spans="1:32" ht="15" customHeight="1">
      <c r="A127" s="1294">
        <v>200</v>
      </c>
      <c r="B127" s="1294">
        <v>214</v>
      </c>
      <c r="C127" s="1295" t="s">
        <v>1068</v>
      </c>
      <c r="D127" s="1296" t="s">
        <v>1194</v>
      </c>
      <c r="E127" s="1296" t="s">
        <v>716</v>
      </c>
      <c r="F127" s="1297">
        <v>684</v>
      </c>
      <c r="G127" s="1295" t="s">
        <v>2135</v>
      </c>
      <c r="H127" s="1295" t="s">
        <v>2228</v>
      </c>
      <c r="I127" s="1296" t="s">
        <v>2229</v>
      </c>
      <c r="J127" s="1296" t="s">
        <v>2230</v>
      </c>
      <c r="K127" s="1296" t="s">
        <v>1069</v>
      </c>
      <c r="L127" s="1296" t="s">
        <v>2231</v>
      </c>
      <c r="M127" s="1298">
        <v>0</v>
      </c>
      <c r="N127" s="1298">
        <v>0</v>
      </c>
      <c r="O127" s="1298">
        <v>0</v>
      </c>
      <c r="P127" s="1298">
        <v>-116.76</v>
      </c>
      <c r="Q127" s="1298">
        <v>1443</v>
      </c>
      <c r="R127" s="1298">
        <v>1443</v>
      </c>
      <c r="S127" s="1298">
        <v>25</v>
      </c>
      <c r="T127" s="1298">
        <v>12.6</v>
      </c>
      <c r="U127" s="1298">
        <v>20</v>
      </c>
      <c r="V127" s="1298">
        <v>20</v>
      </c>
      <c r="W127" s="1298">
        <v>0</v>
      </c>
      <c r="X127" s="1298">
        <v>0</v>
      </c>
      <c r="Y127" s="1298">
        <v>0</v>
      </c>
      <c r="Z127" s="1298">
        <v>0</v>
      </c>
      <c r="AA127" s="1298">
        <v>0</v>
      </c>
      <c r="AB127" s="1298">
        <v>0</v>
      </c>
      <c r="AC127" s="1298">
        <v>0</v>
      </c>
      <c r="AD127" s="1298">
        <v>0</v>
      </c>
      <c r="AE127" s="1298">
        <v>0</v>
      </c>
      <c r="AF127" s="1298">
        <v>1520.6</v>
      </c>
    </row>
    <row r="128" spans="1:32" ht="15" customHeight="1">
      <c r="A128" s="1294">
        <v>0</v>
      </c>
      <c r="B128" s="1294">
        <v>0</v>
      </c>
      <c r="C128" s="1295" t="s">
        <v>1070</v>
      </c>
      <c r="D128" s="1296" t="s">
        <v>2063</v>
      </c>
      <c r="E128" s="1296" t="s">
        <v>716</v>
      </c>
      <c r="F128" s="1297">
        <v>833</v>
      </c>
      <c r="G128" s="1295" t="s">
        <v>731</v>
      </c>
      <c r="H128" s="1295" t="s">
        <v>185</v>
      </c>
      <c r="I128" s="1296"/>
      <c r="J128" s="1296"/>
      <c r="K128" s="1296"/>
      <c r="L128" s="1296"/>
      <c r="M128" s="1298">
        <v>2090.6</v>
      </c>
      <c r="N128" s="1298">
        <v>0</v>
      </c>
      <c r="O128" s="1298">
        <v>0</v>
      </c>
      <c r="P128" s="1298">
        <v>0</v>
      </c>
      <c r="Q128" s="1298">
        <v>0</v>
      </c>
      <c r="R128" s="1298">
        <v>0</v>
      </c>
      <c r="S128" s="1298">
        <v>0</v>
      </c>
      <c r="T128" s="1298">
        <v>0</v>
      </c>
      <c r="U128" s="1298">
        <v>0</v>
      </c>
      <c r="V128" s="1298">
        <v>0</v>
      </c>
      <c r="W128" s="1298">
        <v>0</v>
      </c>
      <c r="X128" s="1298">
        <v>0</v>
      </c>
      <c r="Y128" s="1298">
        <v>0</v>
      </c>
      <c r="Z128" s="1298">
        <v>0</v>
      </c>
      <c r="AA128" s="1298">
        <v>0</v>
      </c>
      <c r="AB128" s="1298">
        <v>0</v>
      </c>
      <c r="AC128" s="1298">
        <v>0</v>
      </c>
      <c r="AD128" s="1298">
        <v>0</v>
      </c>
      <c r="AE128" s="1298">
        <v>0</v>
      </c>
      <c r="AF128" s="1298">
        <v>0</v>
      </c>
    </row>
    <row r="129" spans="1:32" ht="15" customHeight="1">
      <c r="A129" s="1294">
        <v>442</v>
      </c>
      <c r="B129" s="1294">
        <v>699</v>
      </c>
      <c r="C129" s="1295" t="s">
        <v>1070</v>
      </c>
      <c r="D129" s="1296" t="s">
        <v>2063</v>
      </c>
      <c r="E129" s="1296" t="s">
        <v>716</v>
      </c>
      <c r="F129" s="1297">
        <v>833</v>
      </c>
      <c r="G129" s="1295" t="s">
        <v>732</v>
      </c>
      <c r="H129" s="1295" t="s">
        <v>2232</v>
      </c>
      <c r="I129" s="1296" t="s">
        <v>991</v>
      </c>
      <c r="J129" s="1296"/>
      <c r="K129" s="1296" t="s">
        <v>991</v>
      </c>
      <c r="L129" s="1296" t="s">
        <v>2071</v>
      </c>
      <c r="M129" s="1298">
        <v>0</v>
      </c>
      <c r="N129" s="1298">
        <v>250</v>
      </c>
      <c r="O129" s="1298">
        <v>0</v>
      </c>
      <c r="P129" s="1298">
        <v>0</v>
      </c>
      <c r="Q129" s="1298">
        <v>1956</v>
      </c>
      <c r="R129" s="1298">
        <v>1956</v>
      </c>
      <c r="S129" s="1298">
        <v>30</v>
      </c>
      <c r="T129" s="1298">
        <v>12.6</v>
      </c>
      <c r="U129" s="1298">
        <v>22</v>
      </c>
      <c r="V129" s="1298">
        <v>20</v>
      </c>
      <c r="W129" s="1298">
        <v>0</v>
      </c>
      <c r="X129" s="1298">
        <v>0</v>
      </c>
      <c r="Y129" s="1298">
        <v>50</v>
      </c>
      <c r="Z129" s="1298">
        <v>0</v>
      </c>
      <c r="AA129" s="1298">
        <v>0</v>
      </c>
      <c r="AB129" s="1298">
        <v>0</v>
      </c>
      <c r="AC129" s="1298">
        <v>0</v>
      </c>
      <c r="AD129" s="1298">
        <v>0</v>
      </c>
      <c r="AE129" s="1298">
        <v>0</v>
      </c>
      <c r="AF129" s="1298">
        <v>2090.6</v>
      </c>
    </row>
    <row r="130" spans="1:32" ht="15" customHeight="1">
      <c r="A130" s="1294">
        <v>407</v>
      </c>
      <c r="B130" s="1294">
        <v>592</v>
      </c>
      <c r="C130" s="1295" t="s">
        <v>1073</v>
      </c>
      <c r="D130" s="1296" t="s">
        <v>1998</v>
      </c>
      <c r="E130" s="1296" t="s">
        <v>716</v>
      </c>
      <c r="F130" s="1297">
        <v>892</v>
      </c>
      <c r="G130" s="1295" t="s">
        <v>189</v>
      </c>
      <c r="H130" s="1295" t="s">
        <v>2050</v>
      </c>
      <c r="I130" s="1296" t="s">
        <v>845</v>
      </c>
      <c r="J130" s="1296"/>
      <c r="K130" s="1296" t="s">
        <v>845</v>
      </c>
      <c r="L130" s="1296" t="s">
        <v>2051</v>
      </c>
      <c r="M130" s="1298">
        <v>1960.6</v>
      </c>
      <c r="N130" s="1298">
        <v>500</v>
      </c>
      <c r="O130" s="1298">
        <v>500</v>
      </c>
      <c r="P130" s="1298">
        <v>0</v>
      </c>
      <c r="Q130" s="1298">
        <v>1826</v>
      </c>
      <c r="R130" s="1298">
        <v>1826</v>
      </c>
      <c r="S130" s="1298">
        <v>30</v>
      </c>
      <c r="T130" s="1298">
        <v>12.6</v>
      </c>
      <c r="U130" s="1298">
        <v>22</v>
      </c>
      <c r="V130" s="1298">
        <v>0</v>
      </c>
      <c r="W130" s="1298">
        <v>30</v>
      </c>
      <c r="X130" s="1298">
        <v>0</v>
      </c>
      <c r="Y130" s="1298">
        <v>0</v>
      </c>
      <c r="Z130" s="1298">
        <v>0</v>
      </c>
      <c r="AA130" s="1298">
        <v>0</v>
      </c>
      <c r="AB130" s="1298">
        <v>0</v>
      </c>
      <c r="AC130" s="1298">
        <v>0</v>
      </c>
      <c r="AD130" s="1298">
        <v>0</v>
      </c>
      <c r="AE130" s="1298">
        <v>0</v>
      </c>
      <c r="AF130" s="1298">
        <v>1920.6</v>
      </c>
    </row>
    <row r="131" spans="1:32" ht="15" customHeight="1">
      <c r="A131" s="1294">
        <v>110</v>
      </c>
      <c r="B131" s="1294">
        <v>116</v>
      </c>
      <c r="C131" s="1295" t="s">
        <v>1074</v>
      </c>
      <c r="D131" s="1296" t="s">
        <v>1999</v>
      </c>
      <c r="E131" s="1296" t="s">
        <v>716</v>
      </c>
      <c r="F131" s="1297">
        <v>1036</v>
      </c>
      <c r="G131" s="1295" t="s">
        <v>189</v>
      </c>
      <c r="H131" s="1295" t="s">
        <v>1075</v>
      </c>
      <c r="I131" s="1296" t="s">
        <v>777</v>
      </c>
      <c r="J131" s="1296"/>
      <c r="K131" s="1296" t="s">
        <v>778</v>
      </c>
      <c r="L131" s="1296" t="s">
        <v>779</v>
      </c>
      <c r="M131" s="1298">
        <v>2020.6</v>
      </c>
      <c r="N131" s="1298">
        <v>0</v>
      </c>
      <c r="O131" s="1298">
        <v>0</v>
      </c>
      <c r="P131" s="1298">
        <v>-1325.67</v>
      </c>
      <c r="Q131" s="1298">
        <v>1898</v>
      </c>
      <c r="R131" s="1298">
        <v>1898</v>
      </c>
      <c r="S131" s="1298">
        <v>25</v>
      </c>
      <c r="T131" s="1298">
        <v>12.6</v>
      </c>
      <c r="U131" s="1298">
        <v>17</v>
      </c>
      <c r="V131" s="1298">
        <v>20</v>
      </c>
      <c r="W131" s="1298">
        <v>0</v>
      </c>
      <c r="X131" s="1298">
        <v>0</v>
      </c>
      <c r="Y131" s="1298">
        <v>0</v>
      </c>
      <c r="Z131" s="1298">
        <v>0</v>
      </c>
      <c r="AA131" s="1298">
        <v>0</v>
      </c>
      <c r="AB131" s="1298">
        <v>0</v>
      </c>
      <c r="AC131" s="1298">
        <v>0</v>
      </c>
      <c r="AD131" s="1298">
        <v>0</v>
      </c>
      <c r="AE131" s="1298">
        <v>0</v>
      </c>
      <c r="AF131" s="1298">
        <v>1972.6</v>
      </c>
    </row>
    <row r="132" spans="1:32" ht="15" customHeight="1">
      <c r="A132" s="1294">
        <v>188</v>
      </c>
      <c r="B132" s="1294">
        <v>202</v>
      </c>
      <c r="C132" s="1295" t="s">
        <v>1076</v>
      </c>
      <c r="D132" s="1296" t="s">
        <v>723</v>
      </c>
      <c r="E132" s="1296" t="s">
        <v>716</v>
      </c>
      <c r="F132" s="1297">
        <v>1156</v>
      </c>
      <c r="G132" s="1295" t="s">
        <v>189</v>
      </c>
      <c r="H132" s="1295" t="s">
        <v>1077</v>
      </c>
      <c r="I132" s="1296" t="s">
        <v>1078</v>
      </c>
      <c r="J132" s="1296"/>
      <c r="K132" s="1296" t="s">
        <v>1079</v>
      </c>
      <c r="L132" s="1296" t="s">
        <v>1080</v>
      </c>
      <c r="M132" s="1298">
        <v>2258.6</v>
      </c>
      <c r="N132" s="1298">
        <v>0</v>
      </c>
      <c r="O132" s="1298">
        <v>0</v>
      </c>
      <c r="P132" s="1298">
        <v>59.13</v>
      </c>
      <c r="Q132" s="1298">
        <v>2068</v>
      </c>
      <c r="R132" s="1298">
        <v>2068</v>
      </c>
      <c r="S132" s="1298">
        <v>25</v>
      </c>
      <c r="T132" s="1298">
        <v>12.6</v>
      </c>
      <c r="U132" s="1298">
        <v>20</v>
      </c>
      <c r="V132" s="1298">
        <v>20</v>
      </c>
      <c r="W132" s="1298">
        <v>0</v>
      </c>
      <c r="X132" s="1298">
        <v>0</v>
      </c>
      <c r="Y132" s="1298">
        <v>0</v>
      </c>
      <c r="Z132" s="1298">
        <v>0</v>
      </c>
      <c r="AA132" s="1298">
        <v>0</v>
      </c>
      <c r="AB132" s="1298">
        <v>0</v>
      </c>
      <c r="AC132" s="1298">
        <v>0</v>
      </c>
      <c r="AD132" s="1298">
        <v>0</v>
      </c>
      <c r="AE132" s="1298">
        <v>0</v>
      </c>
      <c r="AF132" s="1298">
        <v>2145.6</v>
      </c>
    </row>
    <row r="133" spans="1:32" ht="15" customHeight="1">
      <c r="A133" s="1294">
        <v>404</v>
      </c>
      <c r="B133" s="1294">
        <v>587</v>
      </c>
      <c r="C133" s="1295" t="s">
        <v>1081</v>
      </c>
      <c r="D133" s="1296" t="s">
        <v>727</v>
      </c>
      <c r="E133" s="1296" t="s">
        <v>716</v>
      </c>
      <c r="F133" s="1297">
        <v>1000</v>
      </c>
      <c r="G133" s="1295" t="s">
        <v>2233</v>
      </c>
      <c r="H133" s="1295" t="s">
        <v>2052</v>
      </c>
      <c r="I133" s="1296" t="s">
        <v>1430</v>
      </c>
      <c r="J133" s="1296" t="s">
        <v>1449</v>
      </c>
      <c r="K133" s="1296" t="s">
        <v>1430</v>
      </c>
      <c r="L133" s="1296" t="s">
        <v>2053</v>
      </c>
      <c r="M133" s="1298">
        <v>1960.6</v>
      </c>
      <c r="N133" s="1298">
        <v>250</v>
      </c>
      <c r="O133" s="1298">
        <v>250</v>
      </c>
      <c r="P133" s="1298">
        <v>0</v>
      </c>
      <c r="Q133" s="1298">
        <v>1601</v>
      </c>
      <c r="R133" s="1298">
        <v>1601</v>
      </c>
      <c r="S133" s="1298">
        <v>30</v>
      </c>
      <c r="T133" s="1298">
        <v>12.6</v>
      </c>
      <c r="U133" s="1298">
        <v>22</v>
      </c>
      <c r="V133" s="1298">
        <v>0</v>
      </c>
      <c r="W133" s="1298">
        <v>0</v>
      </c>
      <c r="X133" s="1298">
        <v>0</v>
      </c>
      <c r="Y133" s="1298">
        <v>0</v>
      </c>
      <c r="Z133" s="1298">
        <v>0</v>
      </c>
      <c r="AA133" s="1298">
        <v>0</v>
      </c>
      <c r="AB133" s="1298">
        <v>0</v>
      </c>
      <c r="AC133" s="1298">
        <v>0</v>
      </c>
      <c r="AD133" s="1298">
        <v>0</v>
      </c>
      <c r="AE133" s="1298">
        <v>0</v>
      </c>
      <c r="AF133" s="1298">
        <v>1665.6</v>
      </c>
    </row>
    <row r="134" spans="1:32" ht="15" customHeight="1">
      <c r="A134" s="1294">
        <v>439</v>
      </c>
      <c r="B134" s="1294">
        <v>688</v>
      </c>
      <c r="C134" s="1295" t="s">
        <v>1081</v>
      </c>
      <c r="D134" s="1296" t="s">
        <v>727</v>
      </c>
      <c r="E134" s="1296" t="s">
        <v>716</v>
      </c>
      <c r="F134" s="1297">
        <v>1000</v>
      </c>
      <c r="G134" s="1295" t="s">
        <v>732</v>
      </c>
      <c r="H134" s="1295" t="s">
        <v>2234</v>
      </c>
      <c r="I134" s="1296" t="s">
        <v>2235</v>
      </c>
      <c r="J134" s="1296"/>
      <c r="K134" s="1296" t="s">
        <v>2235</v>
      </c>
      <c r="L134" s="1296" t="s">
        <v>2236</v>
      </c>
      <c r="M134" s="1298">
        <v>0</v>
      </c>
      <c r="N134" s="1298">
        <v>250</v>
      </c>
      <c r="O134" s="1298">
        <v>0</v>
      </c>
      <c r="P134" s="1298">
        <v>75</v>
      </c>
      <c r="Q134" s="1298">
        <v>1826</v>
      </c>
      <c r="R134" s="1298">
        <v>1826</v>
      </c>
      <c r="S134" s="1298">
        <v>30</v>
      </c>
      <c r="T134" s="1298">
        <v>12.6</v>
      </c>
      <c r="U134" s="1298">
        <v>22</v>
      </c>
      <c r="V134" s="1298">
        <v>20</v>
      </c>
      <c r="W134" s="1298">
        <v>0</v>
      </c>
      <c r="X134" s="1298">
        <v>0</v>
      </c>
      <c r="Y134" s="1298">
        <v>50</v>
      </c>
      <c r="Z134" s="1298">
        <v>0</v>
      </c>
      <c r="AA134" s="1298">
        <v>0</v>
      </c>
      <c r="AB134" s="1298">
        <v>0</v>
      </c>
      <c r="AC134" s="1298">
        <v>0</v>
      </c>
      <c r="AD134" s="1298">
        <v>0</v>
      </c>
      <c r="AE134" s="1298">
        <v>0</v>
      </c>
      <c r="AF134" s="1298">
        <v>1960.6</v>
      </c>
    </row>
    <row r="135" spans="1:32" ht="15" customHeight="1">
      <c r="A135" s="1294">
        <v>109</v>
      </c>
      <c r="B135" s="1294">
        <v>664</v>
      </c>
      <c r="C135" s="1295" t="s">
        <v>1082</v>
      </c>
      <c r="D135" s="1296" t="s">
        <v>2024</v>
      </c>
      <c r="E135" s="1296" t="s">
        <v>716</v>
      </c>
      <c r="F135" s="1297">
        <v>1211</v>
      </c>
      <c r="G135" s="1295" t="s">
        <v>189</v>
      </c>
      <c r="H135" s="1295" t="s">
        <v>776</v>
      </c>
      <c r="I135" s="1296" t="s">
        <v>1237</v>
      </c>
      <c r="J135" s="1296"/>
      <c r="K135" s="1296" t="s">
        <v>1237</v>
      </c>
      <c r="L135" s="1296" t="s">
        <v>2237</v>
      </c>
      <c r="M135" s="1298">
        <v>2463.6</v>
      </c>
      <c r="N135" s="1298">
        <v>0</v>
      </c>
      <c r="O135" s="1298">
        <v>0</v>
      </c>
      <c r="P135" s="1298">
        <v>-2660.86</v>
      </c>
      <c r="Q135" s="1298">
        <v>2129</v>
      </c>
      <c r="R135" s="1298">
        <v>2129</v>
      </c>
      <c r="S135" s="1298">
        <v>30</v>
      </c>
      <c r="T135" s="1298">
        <v>12.6</v>
      </c>
      <c r="U135" s="1298">
        <v>22</v>
      </c>
      <c r="V135" s="1298">
        <v>20</v>
      </c>
      <c r="W135" s="1298">
        <v>0</v>
      </c>
      <c r="X135" s="1298">
        <v>0</v>
      </c>
      <c r="Y135" s="1298">
        <v>50</v>
      </c>
      <c r="Z135" s="1298">
        <v>0</v>
      </c>
      <c r="AA135" s="1298">
        <v>0</v>
      </c>
      <c r="AB135" s="1298">
        <v>0</v>
      </c>
      <c r="AC135" s="1298">
        <v>0</v>
      </c>
      <c r="AD135" s="1298">
        <v>0</v>
      </c>
      <c r="AE135" s="1298">
        <v>0</v>
      </c>
      <c r="AF135" s="1298">
        <v>2263.6</v>
      </c>
    </row>
    <row r="136" spans="1:32" ht="15" customHeight="1">
      <c r="A136" s="1294">
        <v>276</v>
      </c>
      <c r="B136" s="1294">
        <v>572</v>
      </c>
      <c r="C136" s="1295" t="s">
        <v>1084</v>
      </c>
      <c r="D136" s="1296" t="s">
        <v>744</v>
      </c>
      <c r="E136" s="1296" t="s">
        <v>716</v>
      </c>
      <c r="F136" s="1297">
        <v>908</v>
      </c>
      <c r="G136" s="1295" t="s">
        <v>189</v>
      </c>
      <c r="H136" s="1295" t="s">
        <v>1085</v>
      </c>
      <c r="I136" s="1296" t="s">
        <v>1086</v>
      </c>
      <c r="J136" s="1296"/>
      <c r="K136" s="1296" t="s">
        <v>1408</v>
      </c>
      <c r="L136" s="1296" t="s">
        <v>2238</v>
      </c>
      <c r="M136" s="1298">
        <v>1966.6</v>
      </c>
      <c r="N136" s="1298">
        <v>0</v>
      </c>
      <c r="O136" s="1298">
        <v>0</v>
      </c>
      <c r="P136" s="1298">
        <v>75.38</v>
      </c>
      <c r="Q136" s="1298">
        <v>1910</v>
      </c>
      <c r="R136" s="1298">
        <v>1910</v>
      </c>
      <c r="S136" s="1298">
        <v>30</v>
      </c>
      <c r="T136" s="1298">
        <v>12.6</v>
      </c>
      <c r="U136" s="1298">
        <v>22</v>
      </c>
      <c r="V136" s="1298">
        <v>20</v>
      </c>
      <c r="W136" s="1298">
        <v>30</v>
      </c>
      <c r="X136" s="1298">
        <v>35</v>
      </c>
      <c r="Y136" s="1298">
        <v>0</v>
      </c>
      <c r="Z136" s="1298">
        <v>0</v>
      </c>
      <c r="AA136" s="1298">
        <v>0</v>
      </c>
      <c r="AB136" s="1298">
        <v>0</v>
      </c>
      <c r="AC136" s="1298">
        <v>0</v>
      </c>
      <c r="AD136" s="1298">
        <v>0</v>
      </c>
      <c r="AE136" s="1298">
        <v>0</v>
      </c>
      <c r="AF136" s="1298">
        <v>2059.6</v>
      </c>
    </row>
    <row r="137" spans="1:32" ht="15" customHeight="1">
      <c r="A137" s="1294">
        <v>212</v>
      </c>
      <c r="B137" s="1294">
        <v>231</v>
      </c>
      <c r="C137" s="1295" t="s">
        <v>1087</v>
      </c>
      <c r="D137" s="1296" t="s">
        <v>2025</v>
      </c>
      <c r="E137" s="1296" t="s">
        <v>716</v>
      </c>
      <c r="F137" s="1297">
        <v>1189</v>
      </c>
      <c r="G137" s="1295" t="s">
        <v>189</v>
      </c>
      <c r="H137" s="1295" t="s">
        <v>1088</v>
      </c>
      <c r="I137" s="1296" t="s">
        <v>1089</v>
      </c>
      <c r="J137" s="1296"/>
      <c r="K137" s="1296" t="s">
        <v>1090</v>
      </c>
      <c r="L137" s="1296" t="s">
        <v>1091</v>
      </c>
      <c r="M137" s="1298">
        <v>2203.6</v>
      </c>
      <c r="N137" s="1298">
        <v>0</v>
      </c>
      <c r="O137" s="1298">
        <v>0</v>
      </c>
      <c r="P137" s="1298">
        <v>60.81</v>
      </c>
      <c r="Q137" s="1298">
        <v>2157</v>
      </c>
      <c r="R137" s="1298">
        <v>2157</v>
      </c>
      <c r="S137" s="1298">
        <v>25</v>
      </c>
      <c r="T137" s="1298">
        <v>12.6</v>
      </c>
      <c r="U137" s="1298">
        <v>21</v>
      </c>
      <c r="V137" s="1298">
        <v>20</v>
      </c>
      <c r="W137" s="1298">
        <v>0</v>
      </c>
      <c r="X137" s="1298">
        <v>0</v>
      </c>
      <c r="Y137" s="1298">
        <v>0</v>
      </c>
      <c r="Z137" s="1298">
        <v>0</v>
      </c>
      <c r="AA137" s="1298">
        <v>0</v>
      </c>
      <c r="AB137" s="1298">
        <v>0</v>
      </c>
      <c r="AC137" s="1298">
        <v>0</v>
      </c>
      <c r="AD137" s="1298">
        <v>0</v>
      </c>
      <c r="AE137" s="1298">
        <v>0</v>
      </c>
      <c r="AF137" s="1298">
        <v>2235.6</v>
      </c>
    </row>
    <row r="138" spans="1:32" ht="15" customHeight="1">
      <c r="A138" s="1294">
        <v>128</v>
      </c>
      <c r="B138" s="1294">
        <v>500</v>
      </c>
      <c r="C138" s="1295" t="s">
        <v>1092</v>
      </c>
      <c r="D138" s="1296" t="s">
        <v>2005</v>
      </c>
      <c r="E138" s="1296" t="s">
        <v>716</v>
      </c>
      <c r="F138" s="1297">
        <v>1102</v>
      </c>
      <c r="G138" s="1295" t="s">
        <v>189</v>
      </c>
      <c r="H138" s="1295" t="s">
        <v>1093</v>
      </c>
      <c r="I138" s="1296" t="s">
        <v>1094</v>
      </c>
      <c r="J138" s="1296"/>
      <c r="K138" s="1296" t="s">
        <v>904</v>
      </c>
      <c r="L138" s="1296" t="s">
        <v>1853</v>
      </c>
      <c r="M138" s="1298">
        <v>2138.6</v>
      </c>
      <c r="N138" s="1298">
        <v>0</v>
      </c>
      <c r="O138" s="1298">
        <v>0</v>
      </c>
      <c r="P138" s="1298">
        <v>86.82</v>
      </c>
      <c r="Q138" s="1298">
        <v>1658</v>
      </c>
      <c r="R138" s="1298">
        <v>1658</v>
      </c>
      <c r="S138" s="1298">
        <v>30</v>
      </c>
      <c r="T138" s="1298">
        <v>12.6</v>
      </c>
      <c r="U138" s="1298">
        <v>22</v>
      </c>
      <c r="V138" s="1298">
        <v>20</v>
      </c>
      <c r="W138" s="1298">
        <v>0</v>
      </c>
      <c r="X138" s="1298">
        <v>50</v>
      </c>
      <c r="Y138" s="1298">
        <v>0</v>
      </c>
      <c r="Z138" s="1298">
        <v>11.5</v>
      </c>
      <c r="AA138" s="1298">
        <v>0</v>
      </c>
      <c r="AB138" s="1298">
        <v>0</v>
      </c>
      <c r="AC138" s="1298">
        <v>0</v>
      </c>
      <c r="AD138" s="1298">
        <v>0</v>
      </c>
      <c r="AE138" s="1298">
        <v>0</v>
      </c>
      <c r="AF138" s="1298">
        <v>1804.1</v>
      </c>
    </row>
    <row r="139" spans="1:32" ht="15" customHeight="1">
      <c r="A139" s="1294">
        <v>251</v>
      </c>
      <c r="B139" s="1294">
        <v>422</v>
      </c>
      <c r="C139" s="1295" t="s">
        <v>1096</v>
      </c>
      <c r="D139" s="1296" t="s">
        <v>744</v>
      </c>
      <c r="E139" s="1296" t="s">
        <v>716</v>
      </c>
      <c r="F139" s="1297">
        <v>908</v>
      </c>
      <c r="G139" s="1295" t="s">
        <v>189</v>
      </c>
      <c r="H139" s="1295" t="s">
        <v>1097</v>
      </c>
      <c r="I139" s="1296" t="s">
        <v>827</v>
      </c>
      <c r="J139" s="1296"/>
      <c r="K139" s="1296" t="s">
        <v>881</v>
      </c>
      <c r="L139" s="1296" t="s">
        <v>1854</v>
      </c>
      <c r="M139" s="1298">
        <v>1956.6</v>
      </c>
      <c r="N139" s="1298">
        <v>0</v>
      </c>
      <c r="O139" s="1298">
        <v>0</v>
      </c>
      <c r="P139" s="1298">
        <v>58.2</v>
      </c>
      <c r="Q139" s="1298">
        <v>1935</v>
      </c>
      <c r="R139" s="1298">
        <v>1935</v>
      </c>
      <c r="S139" s="1298">
        <v>25</v>
      </c>
      <c r="T139" s="1298">
        <v>12.6</v>
      </c>
      <c r="U139" s="1298">
        <v>17</v>
      </c>
      <c r="V139" s="1298">
        <v>20</v>
      </c>
      <c r="W139" s="1298">
        <v>25</v>
      </c>
      <c r="X139" s="1298">
        <v>0</v>
      </c>
      <c r="Y139" s="1298">
        <v>0</v>
      </c>
      <c r="Z139" s="1298">
        <v>11.5</v>
      </c>
      <c r="AA139" s="1298">
        <v>0</v>
      </c>
      <c r="AB139" s="1298">
        <v>0</v>
      </c>
      <c r="AC139" s="1298">
        <v>0</v>
      </c>
      <c r="AD139" s="1298">
        <v>0</v>
      </c>
      <c r="AE139" s="1298">
        <v>0</v>
      </c>
      <c r="AF139" s="1298">
        <v>2046.1</v>
      </c>
    </row>
    <row r="140" spans="1:32" ht="15" customHeight="1">
      <c r="A140" s="1294">
        <v>389</v>
      </c>
      <c r="B140" s="1294">
        <v>558</v>
      </c>
      <c r="C140" s="1295" t="s">
        <v>1099</v>
      </c>
      <c r="D140" s="1296" t="s">
        <v>2009</v>
      </c>
      <c r="E140" s="1296" t="s">
        <v>716</v>
      </c>
      <c r="F140" s="1297">
        <v>791</v>
      </c>
      <c r="G140" s="1295" t="s">
        <v>189</v>
      </c>
      <c r="H140" s="1295" t="s">
        <v>2054</v>
      </c>
      <c r="I140" s="1296" t="s">
        <v>1270</v>
      </c>
      <c r="J140" s="1296"/>
      <c r="K140" s="1296" t="s">
        <v>1270</v>
      </c>
      <c r="L140" s="1296" t="s">
        <v>2055</v>
      </c>
      <c r="M140" s="1298">
        <v>1601.6</v>
      </c>
      <c r="N140" s="1298">
        <v>500</v>
      </c>
      <c r="O140" s="1298">
        <v>500</v>
      </c>
      <c r="P140" s="1298">
        <v>5.45</v>
      </c>
      <c r="Q140" s="1298">
        <v>1407</v>
      </c>
      <c r="R140" s="1298">
        <v>1407</v>
      </c>
      <c r="S140" s="1298">
        <v>30</v>
      </c>
      <c r="T140" s="1298">
        <v>12.6</v>
      </c>
      <c r="U140" s="1298">
        <v>22</v>
      </c>
      <c r="V140" s="1298">
        <v>0</v>
      </c>
      <c r="W140" s="1298">
        <v>0</v>
      </c>
      <c r="X140" s="1298">
        <v>0</v>
      </c>
      <c r="Y140" s="1298">
        <v>0</v>
      </c>
      <c r="Z140" s="1298">
        <v>0</v>
      </c>
      <c r="AA140" s="1298">
        <v>0</v>
      </c>
      <c r="AB140" s="1298">
        <v>0</v>
      </c>
      <c r="AC140" s="1298">
        <v>0</v>
      </c>
      <c r="AD140" s="1298">
        <v>0</v>
      </c>
      <c r="AE140" s="1298">
        <v>0</v>
      </c>
      <c r="AF140" s="1298">
        <v>1471.6</v>
      </c>
    </row>
    <row r="141" spans="1:32" ht="15" customHeight="1">
      <c r="A141" s="1294">
        <v>244</v>
      </c>
      <c r="B141" s="1294">
        <v>464</v>
      </c>
      <c r="C141" s="1295" t="s">
        <v>1100</v>
      </c>
      <c r="D141" s="1296" t="s">
        <v>2010</v>
      </c>
      <c r="E141" s="1296" t="s">
        <v>716</v>
      </c>
      <c r="F141" s="1297">
        <v>958</v>
      </c>
      <c r="G141" s="1295" t="s">
        <v>189</v>
      </c>
      <c r="H141" s="1295" t="s">
        <v>1101</v>
      </c>
      <c r="I141" s="1296" t="s">
        <v>792</v>
      </c>
      <c r="J141" s="1296"/>
      <c r="K141" s="1296" t="s">
        <v>1855</v>
      </c>
      <c r="L141" s="1296" t="s">
        <v>1856</v>
      </c>
      <c r="M141" s="1298">
        <v>1930.6</v>
      </c>
      <c r="N141" s="1298">
        <v>0</v>
      </c>
      <c r="O141" s="1298">
        <v>0</v>
      </c>
      <c r="P141" s="1298">
        <v>56.49</v>
      </c>
      <c r="Q141" s="1298">
        <v>1846</v>
      </c>
      <c r="R141" s="1298">
        <v>1846</v>
      </c>
      <c r="S141" s="1298">
        <v>25</v>
      </c>
      <c r="T141" s="1298">
        <v>12.6</v>
      </c>
      <c r="U141" s="1298">
        <v>17</v>
      </c>
      <c r="V141" s="1298">
        <v>20</v>
      </c>
      <c r="W141" s="1298">
        <v>0</v>
      </c>
      <c r="X141" s="1298">
        <v>0</v>
      </c>
      <c r="Y141" s="1298">
        <v>0</v>
      </c>
      <c r="Z141" s="1298">
        <v>11.5</v>
      </c>
      <c r="AA141" s="1298">
        <v>0</v>
      </c>
      <c r="AB141" s="1298">
        <v>0</v>
      </c>
      <c r="AC141" s="1298">
        <v>0</v>
      </c>
      <c r="AD141" s="1298">
        <v>0</v>
      </c>
      <c r="AE141" s="1298">
        <v>0</v>
      </c>
      <c r="AF141" s="1298">
        <v>1932.1</v>
      </c>
    </row>
    <row r="142" spans="1:32" ht="15" customHeight="1">
      <c r="A142" s="1294">
        <v>53</v>
      </c>
      <c r="B142" s="1294">
        <v>55</v>
      </c>
      <c r="C142" s="1295" t="s">
        <v>1103</v>
      </c>
      <c r="D142" s="1296" t="s">
        <v>753</v>
      </c>
      <c r="E142" s="1296" t="s">
        <v>716</v>
      </c>
      <c r="F142" s="1297">
        <v>609</v>
      </c>
      <c r="G142" s="1295" t="s">
        <v>769</v>
      </c>
      <c r="H142" s="1295" t="s">
        <v>1104</v>
      </c>
      <c r="I142" s="1296" t="s">
        <v>1105</v>
      </c>
      <c r="J142" s="1296" t="s">
        <v>1107</v>
      </c>
      <c r="K142" s="1296" t="s">
        <v>1106</v>
      </c>
      <c r="L142" s="1296" t="s">
        <v>1107</v>
      </c>
      <c r="M142" s="1298">
        <v>1641.6</v>
      </c>
      <c r="N142" s="1298">
        <v>0</v>
      </c>
      <c r="O142" s="1298">
        <v>0</v>
      </c>
      <c r="P142" s="1298">
        <v>43.73</v>
      </c>
      <c r="Q142" s="1298">
        <v>1326</v>
      </c>
      <c r="R142" s="1298">
        <v>1326</v>
      </c>
      <c r="S142" s="1298">
        <v>25</v>
      </c>
      <c r="T142" s="1298">
        <v>11.5</v>
      </c>
      <c r="U142" s="1298">
        <v>17</v>
      </c>
      <c r="V142" s="1298">
        <v>20</v>
      </c>
      <c r="W142" s="1298">
        <v>0</v>
      </c>
      <c r="X142" s="1298">
        <v>0</v>
      </c>
      <c r="Y142" s="1298">
        <v>0</v>
      </c>
      <c r="Z142" s="1298">
        <v>0</v>
      </c>
      <c r="AA142" s="1298">
        <v>0</v>
      </c>
      <c r="AB142" s="1298">
        <v>0</v>
      </c>
      <c r="AC142" s="1298">
        <v>0</v>
      </c>
      <c r="AD142" s="1298">
        <v>0</v>
      </c>
      <c r="AE142" s="1298">
        <v>0</v>
      </c>
      <c r="AF142" s="1298">
        <v>1399.5</v>
      </c>
    </row>
    <row r="143" spans="1:32" ht="15" customHeight="1">
      <c r="A143" s="1294">
        <v>15</v>
      </c>
      <c r="B143" s="1294">
        <v>545</v>
      </c>
      <c r="C143" s="1295" t="s">
        <v>1108</v>
      </c>
      <c r="D143" s="1296" t="s">
        <v>759</v>
      </c>
      <c r="E143" s="1296" t="s">
        <v>716</v>
      </c>
      <c r="F143" s="1297">
        <v>813</v>
      </c>
      <c r="G143" s="1295" t="s">
        <v>189</v>
      </c>
      <c r="H143" s="1295" t="s">
        <v>1109</v>
      </c>
      <c r="I143" s="1296" t="s">
        <v>1110</v>
      </c>
      <c r="J143" s="1296"/>
      <c r="K143" s="1296" t="s">
        <v>1327</v>
      </c>
      <c r="L143" s="1296" t="s">
        <v>2056</v>
      </c>
      <c r="M143" s="1298">
        <v>1835.6</v>
      </c>
      <c r="N143" s="1298">
        <v>250</v>
      </c>
      <c r="O143" s="1298">
        <v>250</v>
      </c>
      <c r="P143" s="1298">
        <v>14.56</v>
      </c>
      <c r="Q143" s="1298">
        <v>1745</v>
      </c>
      <c r="R143" s="1298">
        <v>1745</v>
      </c>
      <c r="S143" s="1298">
        <v>30</v>
      </c>
      <c r="T143" s="1298">
        <v>12.6</v>
      </c>
      <c r="U143" s="1298">
        <v>22</v>
      </c>
      <c r="V143" s="1298">
        <v>20</v>
      </c>
      <c r="W143" s="1298">
        <v>0</v>
      </c>
      <c r="X143" s="1298">
        <v>0</v>
      </c>
      <c r="Y143" s="1298">
        <v>0</v>
      </c>
      <c r="Z143" s="1298">
        <v>0</v>
      </c>
      <c r="AA143" s="1298">
        <v>0</v>
      </c>
      <c r="AB143" s="1298">
        <v>0</v>
      </c>
      <c r="AC143" s="1298">
        <v>0</v>
      </c>
      <c r="AD143" s="1298">
        <v>0</v>
      </c>
      <c r="AE143" s="1298">
        <v>0</v>
      </c>
      <c r="AF143" s="1298">
        <v>1829.6</v>
      </c>
    </row>
    <row r="144" spans="1:32" ht="15" customHeight="1">
      <c r="A144" s="1294">
        <v>292</v>
      </c>
      <c r="B144" s="1294">
        <v>665</v>
      </c>
      <c r="C144" s="1295" t="s">
        <v>1111</v>
      </c>
      <c r="D144" s="1296" t="s">
        <v>890</v>
      </c>
      <c r="E144" s="1296" t="s">
        <v>716</v>
      </c>
      <c r="F144" s="1297">
        <v>1539</v>
      </c>
      <c r="G144" s="1295" t="s">
        <v>189</v>
      </c>
      <c r="H144" s="1295" t="s">
        <v>1024</v>
      </c>
      <c r="I144" s="1296" t="s">
        <v>767</v>
      </c>
      <c r="J144" s="1296"/>
      <c r="K144" s="1296" t="s">
        <v>767</v>
      </c>
      <c r="L144" s="1296" t="s">
        <v>2239</v>
      </c>
      <c r="M144" s="1298">
        <v>3078.6</v>
      </c>
      <c r="N144" s="1298">
        <v>0</v>
      </c>
      <c r="O144" s="1298">
        <v>0</v>
      </c>
      <c r="P144" s="1298">
        <v>-2548</v>
      </c>
      <c r="Q144" s="1298">
        <v>2744</v>
      </c>
      <c r="R144" s="1298">
        <v>2744</v>
      </c>
      <c r="S144" s="1298">
        <v>30</v>
      </c>
      <c r="T144" s="1298">
        <v>12.6</v>
      </c>
      <c r="U144" s="1298">
        <v>22</v>
      </c>
      <c r="V144" s="1298">
        <v>20</v>
      </c>
      <c r="W144" s="1298">
        <v>0</v>
      </c>
      <c r="X144" s="1298">
        <v>0</v>
      </c>
      <c r="Y144" s="1298">
        <v>0</v>
      </c>
      <c r="Z144" s="1298">
        <v>0</v>
      </c>
      <c r="AA144" s="1298">
        <v>0</v>
      </c>
      <c r="AB144" s="1298">
        <v>0</v>
      </c>
      <c r="AC144" s="1298">
        <v>0</v>
      </c>
      <c r="AD144" s="1298">
        <v>0</v>
      </c>
      <c r="AE144" s="1298">
        <v>0</v>
      </c>
      <c r="AF144" s="1298">
        <v>2828.6</v>
      </c>
    </row>
    <row r="145" spans="1:32" ht="15" customHeight="1">
      <c r="A145" s="1294">
        <v>47</v>
      </c>
      <c r="B145" s="1294">
        <v>413</v>
      </c>
      <c r="C145" s="1295" t="s">
        <v>1112</v>
      </c>
      <c r="D145" s="1296" t="s">
        <v>2030</v>
      </c>
      <c r="E145" s="1296" t="s">
        <v>716</v>
      </c>
      <c r="F145" s="1297">
        <v>1238</v>
      </c>
      <c r="G145" s="1295" t="s">
        <v>189</v>
      </c>
      <c r="H145" s="1295" t="s">
        <v>1113</v>
      </c>
      <c r="I145" s="1296" t="s">
        <v>1114</v>
      </c>
      <c r="J145" s="1296"/>
      <c r="K145" s="1296" t="s">
        <v>1840</v>
      </c>
      <c r="L145" s="1296" t="s">
        <v>1841</v>
      </c>
      <c r="M145" s="1298">
        <v>2513.6</v>
      </c>
      <c r="N145" s="1298">
        <v>0</v>
      </c>
      <c r="O145" s="1298">
        <v>0</v>
      </c>
      <c r="P145" s="1298">
        <v>21.16</v>
      </c>
      <c r="Q145" s="1298">
        <v>2025</v>
      </c>
      <c r="R145" s="1298">
        <v>2025</v>
      </c>
      <c r="S145" s="1298">
        <v>25</v>
      </c>
      <c r="T145" s="1298">
        <v>12.6</v>
      </c>
      <c r="U145" s="1298">
        <v>17</v>
      </c>
      <c r="V145" s="1298">
        <v>20</v>
      </c>
      <c r="W145" s="1298">
        <v>0</v>
      </c>
      <c r="X145" s="1298">
        <v>0</v>
      </c>
      <c r="Y145" s="1298">
        <v>0</v>
      </c>
      <c r="Z145" s="1298">
        <v>11.5</v>
      </c>
      <c r="AA145" s="1298">
        <v>0</v>
      </c>
      <c r="AB145" s="1298">
        <v>0</v>
      </c>
      <c r="AC145" s="1298">
        <v>0</v>
      </c>
      <c r="AD145" s="1298">
        <v>0</v>
      </c>
      <c r="AE145" s="1298">
        <v>0</v>
      </c>
      <c r="AF145" s="1298">
        <v>2111.1</v>
      </c>
    </row>
    <row r="146" spans="1:32" ht="15" customHeight="1">
      <c r="A146" s="1294">
        <v>143</v>
      </c>
      <c r="B146" s="1294">
        <v>156</v>
      </c>
      <c r="C146" s="1295" t="s">
        <v>1115</v>
      </c>
      <c r="D146" s="1296" t="s">
        <v>1009</v>
      </c>
      <c r="E146" s="1296" t="s">
        <v>716</v>
      </c>
      <c r="F146" s="1297">
        <v>851</v>
      </c>
      <c r="G146" s="1295" t="s">
        <v>189</v>
      </c>
      <c r="H146" s="1295" t="s">
        <v>1116</v>
      </c>
      <c r="I146" s="1296" t="s">
        <v>1117</v>
      </c>
      <c r="J146" s="1296"/>
      <c r="K146" s="1296" t="s">
        <v>1118</v>
      </c>
      <c r="L146" s="1296" t="s">
        <v>1119</v>
      </c>
      <c r="M146" s="1298">
        <v>2010.6</v>
      </c>
      <c r="N146" s="1298">
        <v>0</v>
      </c>
      <c r="O146" s="1298">
        <v>0</v>
      </c>
      <c r="P146" s="1298">
        <v>51.77</v>
      </c>
      <c r="Q146" s="1298">
        <v>1912</v>
      </c>
      <c r="R146" s="1298">
        <v>1912</v>
      </c>
      <c r="S146" s="1298">
        <v>25</v>
      </c>
      <c r="T146" s="1298">
        <v>12.6</v>
      </c>
      <c r="U146" s="1298">
        <v>20</v>
      </c>
      <c r="V146" s="1298">
        <v>20</v>
      </c>
      <c r="W146" s="1298">
        <v>0</v>
      </c>
      <c r="X146" s="1298">
        <v>0</v>
      </c>
      <c r="Y146" s="1298">
        <v>0</v>
      </c>
      <c r="Z146" s="1298">
        <v>0</v>
      </c>
      <c r="AA146" s="1298">
        <v>0</v>
      </c>
      <c r="AB146" s="1298">
        <v>0</v>
      </c>
      <c r="AC146" s="1298">
        <v>0</v>
      </c>
      <c r="AD146" s="1298">
        <v>0</v>
      </c>
      <c r="AE146" s="1298">
        <v>0</v>
      </c>
      <c r="AF146" s="1298">
        <v>1989.6</v>
      </c>
    </row>
    <row r="147" spans="1:32" ht="15" customHeight="1">
      <c r="A147" s="1294">
        <v>350</v>
      </c>
      <c r="B147" s="1294">
        <v>435</v>
      </c>
      <c r="C147" s="1295" t="s">
        <v>1120</v>
      </c>
      <c r="D147" s="1296" t="s">
        <v>840</v>
      </c>
      <c r="E147" s="1296" t="s">
        <v>716</v>
      </c>
      <c r="F147" s="1297">
        <v>1235</v>
      </c>
      <c r="G147" s="1295" t="s">
        <v>189</v>
      </c>
      <c r="H147" s="1295" t="s">
        <v>1857</v>
      </c>
      <c r="I147" s="1296" t="s">
        <v>793</v>
      </c>
      <c r="J147" s="1296"/>
      <c r="K147" s="1296" t="s">
        <v>793</v>
      </c>
      <c r="L147" s="1296" t="s">
        <v>821</v>
      </c>
      <c r="M147" s="1298">
        <v>2503.6</v>
      </c>
      <c r="N147" s="1298">
        <v>0</v>
      </c>
      <c r="O147" s="1298">
        <v>0</v>
      </c>
      <c r="P147" s="1298">
        <v>91.96</v>
      </c>
      <c r="Q147" s="1298">
        <v>2269</v>
      </c>
      <c r="R147" s="1298">
        <v>2269</v>
      </c>
      <c r="S147" s="1298">
        <v>25</v>
      </c>
      <c r="T147" s="1298">
        <v>12.6</v>
      </c>
      <c r="U147" s="1298">
        <v>0</v>
      </c>
      <c r="V147" s="1298">
        <v>0</v>
      </c>
      <c r="W147" s="1298">
        <v>30</v>
      </c>
      <c r="X147" s="1298">
        <v>0</v>
      </c>
      <c r="Y147" s="1298">
        <v>0</v>
      </c>
      <c r="Z147" s="1298">
        <v>0</v>
      </c>
      <c r="AA147" s="1298">
        <v>0</v>
      </c>
      <c r="AB147" s="1298">
        <v>0</v>
      </c>
      <c r="AC147" s="1298">
        <v>0</v>
      </c>
      <c r="AD147" s="1298">
        <v>0</v>
      </c>
      <c r="AE147" s="1298">
        <v>0</v>
      </c>
      <c r="AF147" s="1298">
        <v>2336.6</v>
      </c>
    </row>
    <row r="148" spans="1:32" ht="15" customHeight="1">
      <c r="A148" s="1294">
        <v>270</v>
      </c>
      <c r="B148" s="1294">
        <v>507</v>
      </c>
      <c r="C148" s="1295" t="s">
        <v>1121</v>
      </c>
      <c r="D148" s="1296" t="s">
        <v>2031</v>
      </c>
      <c r="E148" s="1296" t="s">
        <v>716</v>
      </c>
      <c r="F148" s="1297">
        <v>932</v>
      </c>
      <c r="G148" s="1295" t="s">
        <v>189</v>
      </c>
      <c r="H148" s="1295" t="s">
        <v>1122</v>
      </c>
      <c r="I148" s="1296" t="s">
        <v>1123</v>
      </c>
      <c r="J148" s="1296"/>
      <c r="K148" s="1296" t="s">
        <v>1858</v>
      </c>
      <c r="L148" s="1296" t="s">
        <v>1859</v>
      </c>
      <c r="M148" s="1298">
        <v>2015.6</v>
      </c>
      <c r="N148" s="1298">
        <v>0</v>
      </c>
      <c r="O148" s="1298">
        <v>0</v>
      </c>
      <c r="P148" s="1298">
        <v>34.03</v>
      </c>
      <c r="Q148" s="1298">
        <v>1931</v>
      </c>
      <c r="R148" s="1298">
        <v>1931</v>
      </c>
      <c r="S148" s="1298">
        <v>30</v>
      </c>
      <c r="T148" s="1298">
        <v>12.6</v>
      </c>
      <c r="U148" s="1298">
        <v>22</v>
      </c>
      <c r="V148" s="1298">
        <v>20</v>
      </c>
      <c r="W148" s="1298">
        <v>0</v>
      </c>
      <c r="X148" s="1298">
        <v>0</v>
      </c>
      <c r="Y148" s="1298">
        <v>0</v>
      </c>
      <c r="Z148" s="1298">
        <v>0</v>
      </c>
      <c r="AA148" s="1298">
        <v>0</v>
      </c>
      <c r="AB148" s="1298">
        <v>0</v>
      </c>
      <c r="AC148" s="1298">
        <v>0</v>
      </c>
      <c r="AD148" s="1298">
        <v>0</v>
      </c>
      <c r="AE148" s="1298">
        <v>0</v>
      </c>
      <c r="AF148" s="1298">
        <v>2015.6</v>
      </c>
    </row>
    <row r="149" spans="1:32" ht="15" customHeight="1">
      <c r="A149" s="1294">
        <v>405</v>
      </c>
      <c r="B149" s="1294">
        <v>589</v>
      </c>
      <c r="C149" s="1295" t="s">
        <v>1124</v>
      </c>
      <c r="D149" s="1296" t="s">
        <v>840</v>
      </c>
      <c r="E149" s="1296" t="s">
        <v>716</v>
      </c>
      <c r="F149" s="1297">
        <v>1235</v>
      </c>
      <c r="G149" s="1295" t="s">
        <v>189</v>
      </c>
      <c r="H149" s="1295" t="s">
        <v>2057</v>
      </c>
      <c r="I149" s="1296" t="s">
        <v>845</v>
      </c>
      <c r="J149" s="1296"/>
      <c r="K149" s="1296" t="s">
        <v>845</v>
      </c>
      <c r="L149" s="1296" t="s">
        <v>2004</v>
      </c>
      <c r="M149" s="1298">
        <v>2159.6</v>
      </c>
      <c r="N149" s="1298">
        <v>250</v>
      </c>
      <c r="O149" s="1298">
        <v>250</v>
      </c>
      <c r="P149" s="1298">
        <v>0</v>
      </c>
      <c r="Q149" s="1298">
        <v>2025</v>
      </c>
      <c r="R149" s="1298">
        <v>2025</v>
      </c>
      <c r="S149" s="1298">
        <v>30</v>
      </c>
      <c r="T149" s="1298">
        <v>12.6</v>
      </c>
      <c r="U149" s="1298">
        <v>22</v>
      </c>
      <c r="V149" s="1298">
        <v>0</v>
      </c>
      <c r="W149" s="1298">
        <v>30</v>
      </c>
      <c r="X149" s="1298">
        <v>0</v>
      </c>
      <c r="Y149" s="1298">
        <v>0</v>
      </c>
      <c r="Z149" s="1298">
        <v>0</v>
      </c>
      <c r="AA149" s="1298">
        <v>0</v>
      </c>
      <c r="AB149" s="1298">
        <v>0</v>
      </c>
      <c r="AC149" s="1298">
        <v>0</v>
      </c>
      <c r="AD149" s="1298">
        <v>0</v>
      </c>
      <c r="AE149" s="1298">
        <v>0</v>
      </c>
      <c r="AF149" s="1298">
        <v>2119.6</v>
      </c>
    </row>
    <row r="150" spans="1:32" ht="15" customHeight="1">
      <c r="A150" s="1294">
        <v>0</v>
      </c>
      <c r="B150" s="1294">
        <v>0</v>
      </c>
      <c r="C150" s="1295" t="s">
        <v>1125</v>
      </c>
      <c r="D150" s="1296" t="s">
        <v>2012</v>
      </c>
      <c r="E150" s="1296" t="s">
        <v>716</v>
      </c>
      <c r="F150" s="1297">
        <v>1037</v>
      </c>
      <c r="G150" s="1295" t="s">
        <v>731</v>
      </c>
      <c r="H150" s="1295" t="s">
        <v>185</v>
      </c>
      <c r="I150" s="1296"/>
      <c r="J150" s="1296"/>
      <c r="K150" s="1296"/>
      <c r="L150" s="1296"/>
      <c r="M150" s="1298">
        <v>2320.6</v>
      </c>
      <c r="N150" s="1298">
        <v>0</v>
      </c>
      <c r="O150" s="1298">
        <v>0</v>
      </c>
      <c r="P150" s="1298">
        <v>0</v>
      </c>
      <c r="Q150" s="1298">
        <v>0</v>
      </c>
      <c r="R150" s="1298">
        <v>0</v>
      </c>
      <c r="S150" s="1298">
        <v>0</v>
      </c>
      <c r="T150" s="1298">
        <v>0</v>
      </c>
      <c r="U150" s="1298">
        <v>0</v>
      </c>
      <c r="V150" s="1298">
        <v>0</v>
      </c>
      <c r="W150" s="1298">
        <v>0</v>
      </c>
      <c r="X150" s="1298">
        <v>0</v>
      </c>
      <c r="Y150" s="1298">
        <v>0</v>
      </c>
      <c r="Z150" s="1298">
        <v>0</v>
      </c>
      <c r="AA150" s="1298">
        <v>0</v>
      </c>
      <c r="AB150" s="1298">
        <v>0</v>
      </c>
      <c r="AC150" s="1298">
        <v>0</v>
      </c>
      <c r="AD150" s="1298">
        <v>0</v>
      </c>
      <c r="AE150" s="1298">
        <v>0</v>
      </c>
      <c r="AF150" s="1298">
        <v>0</v>
      </c>
    </row>
    <row r="151" spans="1:32" ht="15" customHeight="1">
      <c r="A151" s="1294">
        <v>440</v>
      </c>
      <c r="B151" s="1294">
        <v>689</v>
      </c>
      <c r="C151" s="1295" t="s">
        <v>1125</v>
      </c>
      <c r="D151" s="1296" t="s">
        <v>2012</v>
      </c>
      <c r="E151" s="1296" t="s">
        <v>716</v>
      </c>
      <c r="F151" s="1297">
        <v>1037</v>
      </c>
      <c r="G151" s="1295" t="s">
        <v>732</v>
      </c>
      <c r="H151" s="1295" t="s">
        <v>2240</v>
      </c>
      <c r="I151" s="1296" t="s">
        <v>2241</v>
      </c>
      <c r="J151" s="1296"/>
      <c r="K151" s="1296" t="s">
        <v>2241</v>
      </c>
      <c r="L151" s="1296" t="s">
        <v>2015</v>
      </c>
      <c r="M151" s="1298">
        <v>0</v>
      </c>
      <c r="N151" s="1298">
        <v>250</v>
      </c>
      <c r="O151" s="1298">
        <v>0</v>
      </c>
      <c r="P151" s="1298">
        <v>-250</v>
      </c>
      <c r="Q151" s="1298">
        <v>2186</v>
      </c>
      <c r="R151" s="1298">
        <v>2186</v>
      </c>
      <c r="S151" s="1298">
        <v>30</v>
      </c>
      <c r="T151" s="1298">
        <v>12.6</v>
      </c>
      <c r="U151" s="1298">
        <v>22</v>
      </c>
      <c r="V151" s="1298">
        <v>20</v>
      </c>
      <c r="W151" s="1298">
        <v>0</v>
      </c>
      <c r="X151" s="1298">
        <v>0</v>
      </c>
      <c r="Y151" s="1298">
        <v>50</v>
      </c>
      <c r="Z151" s="1298">
        <v>0</v>
      </c>
      <c r="AA151" s="1298">
        <v>0</v>
      </c>
      <c r="AB151" s="1298">
        <v>0</v>
      </c>
      <c r="AC151" s="1298">
        <v>0</v>
      </c>
      <c r="AD151" s="1298">
        <v>0</v>
      </c>
      <c r="AE151" s="1298">
        <v>0</v>
      </c>
      <c r="AF151" s="1298">
        <v>2320.6</v>
      </c>
    </row>
    <row r="152" spans="1:32" ht="15" customHeight="1">
      <c r="A152" s="1294">
        <v>174</v>
      </c>
      <c r="B152" s="1294">
        <v>520</v>
      </c>
      <c r="C152" s="1295" t="s">
        <v>1126</v>
      </c>
      <c r="D152" s="1296" t="s">
        <v>772</v>
      </c>
      <c r="E152" s="1296" t="s">
        <v>716</v>
      </c>
      <c r="F152" s="1297">
        <v>937</v>
      </c>
      <c r="G152" s="1295" t="s">
        <v>189</v>
      </c>
      <c r="H152" s="1295" t="s">
        <v>1127</v>
      </c>
      <c r="I152" s="1296" t="s">
        <v>1037</v>
      </c>
      <c r="J152" s="1296"/>
      <c r="K152" s="1296" t="s">
        <v>1843</v>
      </c>
      <c r="L152" s="1296" t="s">
        <v>1844</v>
      </c>
      <c r="M152" s="1298">
        <v>2010.6</v>
      </c>
      <c r="N152" s="1298">
        <v>0</v>
      </c>
      <c r="O152" s="1298">
        <v>0</v>
      </c>
      <c r="P152" s="1298">
        <v>91.03</v>
      </c>
      <c r="Q152" s="1298">
        <v>1894</v>
      </c>
      <c r="R152" s="1298">
        <v>1894</v>
      </c>
      <c r="S152" s="1298">
        <v>30</v>
      </c>
      <c r="T152" s="1298">
        <v>12.6</v>
      </c>
      <c r="U152" s="1298">
        <v>22</v>
      </c>
      <c r="V152" s="1298">
        <v>20</v>
      </c>
      <c r="W152" s="1298">
        <v>0</v>
      </c>
      <c r="X152" s="1298">
        <v>0</v>
      </c>
      <c r="Y152" s="1298">
        <v>0</v>
      </c>
      <c r="Z152" s="1298">
        <v>0</v>
      </c>
      <c r="AA152" s="1298">
        <v>0</v>
      </c>
      <c r="AB152" s="1298">
        <v>0</v>
      </c>
      <c r="AC152" s="1298">
        <v>0</v>
      </c>
      <c r="AD152" s="1298">
        <v>0</v>
      </c>
      <c r="AE152" s="1298">
        <v>0</v>
      </c>
      <c r="AF152" s="1298">
        <v>1978.6</v>
      </c>
    </row>
    <row r="153" spans="1:32" ht="15" customHeight="1">
      <c r="A153" s="1294">
        <v>25</v>
      </c>
      <c r="B153" s="1294">
        <v>673</v>
      </c>
      <c r="C153" s="1295" t="s">
        <v>1128</v>
      </c>
      <c r="D153" s="1296" t="s">
        <v>775</v>
      </c>
      <c r="E153" s="1296" t="s">
        <v>716</v>
      </c>
      <c r="F153" s="1297">
        <v>1219</v>
      </c>
      <c r="G153" s="1295" t="s">
        <v>189</v>
      </c>
      <c r="H153" s="1295" t="s">
        <v>910</v>
      </c>
      <c r="I153" s="1296" t="s">
        <v>2242</v>
      </c>
      <c r="J153" s="1296"/>
      <c r="K153" s="1296" t="s">
        <v>2242</v>
      </c>
      <c r="L153" s="1296" t="s">
        <v>2008</v>
      </c>
      <c r="M153" s="1298">
        <v>2718.6</v>
      </c>
      <c r="N153" s="1298">
        <v>0</v>
      </c>
      <c r="O153" s="1298">
        <v>0</v>
      </c>
      <c r="P153" s="1298">
        <v>-2534.4299999999998</v>
      </c>
      <c r="Q153" s="1298">
        <v>2584</v>
      </c>
      <c r="R153" s="1298">
        <v>2584</v>
      </c>
      <c r="S153" s="1298">
        <v>30</v>
      </c>
      <c r="T153" s="1298">
        <v>12.6</v>
      </c>
      <c r="U153" s="1298">
        <v>22</v>
      </c>
      <c r="V153" s="1298">
        <v>20</v>
      </c>
      <c r="W153" s="1298">
        <v>0</v>
      </c>
      <c r="X153" s="1298">
        <v>0</v>
      </c>
      <c r="Y153" s="1298">
        <v>0</v>
      </c>
      <c r="Z153" s="1298">
        <v>0</v>
      </c>
      <c r="AA153" s="1298">
        <v>0</v>
      </c>
      <c r="AB153" s="1298">
        <v>-4105</v>
      </c>
      <c r="AC153" s="1298">
        <v>0</v>
      </c>
      <c r="AD153" s="1298">
        <v>0</v>
      </c>
      <c r="AE153" s="1298">
        <v>0</v>
      </c>
      <c r="AF153" s="1298">
        <v>-1436.4</v>
      </c>
    </row>
    <row r="154" spans="1:32" ht="15" customHeight="1">
      <c r="A154" s="1294">
        <v>177</v>
      </c>
      <c r="B154" s="1294">
        <v>522</v>
      </c>
      <c r="C154" s="1295" t="s">
        <v>1129</v>
      </c>
      <c r="D154" s="1296" t="s">
        <v>781</v>
      </c>
      <c r="E154" s="1296" t="s">
        <v>716</v>
      </c>
      <c r="F154" s="1297">
        <v>1429</v>
      </c>
      <c r="G154" s="1295" t="s">
        <v>189</v>
      </c>
      <c r="H154" s="1295" t="s">
        <v>1130</v>
      </c>
      <c r="I154" s="1296" t="s">
        <v>1131</v>
      </c>
      <c r="J154" s="1296"/>
      <c r="K154" s="1296" t="s">
        <v>1596</v>
      </c>
      <c r="L154" s="1296" t="s">
        <v>2058</v>
      </c>
      <c r="M154" s="1298">
        <v>2743.6</v>
      </c>
      <c r="N154" s="1298">
        <v>0</v>
      </c>
      <c r="O154" s="1298">
        <v>0</v>
      </c>
      <c r="P154" s="1298">
        <v>77.69</v>
      </c>
      <c r="Q154" s="1298">
        <v>2619</v>
      </c>
      <c r="R154" s="1298">
        <v>2619</v>
      </c>
      <c r="S154" s="1298">
        <v>30</v>
      </c>
      <c r="T154" s="1298">
        <v>12.6</v>
      </c>
      <c r="U154" s="1298">
        <v>22</v>
      </c>
      <c r="V154" s="1298">
        <v>20</v>
      </c>
      <c r="W154" s="1298">
        <v>0</v>
      </c>
      <c r="X154" s="1298">
        <v>0</v>
      </c>
      <c r="Y154" s="1298">
        <v>0</v>
      </c>
      <c r="Z154" s="1298">
        <v>0</v>
      </c>
      <c r="AA154" s="1298">
        <v>0</v>
      </c>
      <c r="AB154" s="1298">
        <v>0</v>
      </c>
      <c r="AC154" s="1298">
        <v>0</v>
      </c>
      <c r="AD154" s="1298">
        <v>0</v>
      </c>
      <c r="AE154" s="1298">
        <v>0</v>
      </c>
      <c r="AF154" s="1298">
        <v>2703.6</v>
      </c>
    </row>
    <row r="155" spans="1:32" ht="15" customHeight="1">
      <c r="A155" s="1294">
        <v>306</v>
      </c>
      <c r="B155" s="1294">
        <v>333</v>
      </c>
      <c r="C155" s="1295" t="s">
        <v>1133</v>
      </c>
      <c r="D155" s="1296" t="s">
        <v>2013</v>
      </c>
      <c r="E155" s="1296" t="s">
        <v>716</v>
      </c>
      <c r="F155" s="1297">
        <v>698</v>
      </c>
      <c r="G155" s="1295" t="s">
        <v>769</v>
      </c>
      <c r="H155" s="1295" t="s">
        <v>1134</v>
      </c>
      <c r="I155" s="1296" t="s">
        <v>1106</v>
      </c>
      <c r="J155" s="1296" t="s">
        <v>787</v>
      </c>
      <c r="K155" s="1296" t="s">
        <v>1106</v>
      </c>
      <c r="L155" s="1296" t="s">
        <v>939</v>
      </c>
      <c r="M155" s="1298">
        <v>1881.6</v>
      </c>
      <c r="N155" s="1298">
        <v>0</v>
      </c>
      <c r="O155" s="1298">
        <v>0</v>
      </c>
      <c r="P155" s="1298">
        <v>3164.32</v>
      </c>
      <c r="Q155" s="1298">
        <v>1522</v>
      </c>
      <c r="R155" s="1298">
        <v>1522</v>
      </c>
      <c r="S155" s="1298">
        <v>0</v>
      </c>
      <c r="T155" s="1298">
        <v>0</v>
      </c>
      <c r="U155" s="1298">
        <v>0</v>
      </c>
      <c r="V155" s="1298">
        <v>0</v>
      </c>
      <c r="W155" s="1298">
        <v>0</v>
      </c>
      <c r="X155" s="1298">
        <v>0</v>
      </c>
      <c r="Y155" s="1298">
        <v>0</v>
      </c>
      <c r="Z155" s="1298">
        <v>0</v>
      </c>
      <c r="AA155" s="1298">
        <v>0</v>
      </c>
      <c r="AB155" s="1298">
        <v>0</v>
      </c>
      <c r="AC155" s="1298">
        <v>0</v>
      </c>
      <c r="AD155" s="1298">
        <v>0</v>
      </c>
      <c r="AE155" s="1298">
        <v>0</v>
      </c>
      <c r="AF155" s="1298">
        <v>1522</v>
      </c>
    </row>
    <row r="156" spans="1:32" ht="15" customHeight="1">
      <c r="A156" s="1294">
        <v>137</v>
      </c>
      <c r="B156" s="1294">
        <v>148</v>
      </c>
      <c r="C156" s="1295" t="s">
        <v>1135</v>
      </c>
      <c r="D156" s="1296" t="s">
        <v>789</v>
      </c>
      <c r="E156" s="1296" t="s">
        <v>716</v>
      </c>
      <c r="F156" s="1297">
        <v>645</v>
      </c>
      <c r="G156" s="1295" t="s">
        <v>189</v>
      </c>
      <c r="H156" s="1295" t="s">
        <v>1136</v>
      </c>
      <c r="I156" s="1296" t="s">
        <v>1137</v>
      </c>
      <c r="J156" s="1296"/>
      <c r="K156" s="1296" t="s">
        <v>833</v>
      </c>
      <c r="L156" s="1296" t="s">
        <v>834</v>
      </c>
      <c r="M156" s="1298">
        <v>1651.6</v>
      </c>
      <c r="N156" s="1298">
        <v>0</v>
      </c>
      <c r="O156" s="1298">
        <v>0</v>
      </c>
      <c r="P156" s="1298">
        <v>25.59</v>
      </c>
      <c r="Q156" s="1298">
        <v>1517</v>
      </c>
      <c r="R156" s="1298">
        <v>1517</v>
      </c>
      <c r="S156" s="1298">
        <v>25</v>
      </c>
      <c r="T156" s="1298">
        <v>12.6</v>
      </c>
      <c r="U156" s="1298">
        <v>21</v>
      </c>
      <c r="V156" s="1298">
        <v>20</v>
      </c>
      <c r="W156" s="1298">
        <v>25</v>
      </c>
      <c r="X156" s="1298">
        <v>0</v>
      </c>
      <c r="Y156" s="1298">
        <v>0</v>
      </c>
      <c r="Z156" s="1298">
        <v>0</v>
      </c>
      <c r="AA156" s="1298">
        <v>0</v>
      </c>
      <c r="AB156" s="1298">
        <v>0</v>
      </c>
      <c r="AC156" s="1298">
        <v>0</v>
      </c>
      <c r="AD156" s="1298">
        <v>0</v>
      </c>
      <c r="AE156" s="1298">
        <v>0</v>
      </c>
      <c r="AF156" s="1298">
        <v>1620.6</v>
      </c>
    </row>
    <row r="157" spans="1:32" ht="15" customHeight="1">
      <c r="A157" s="1294">
        <v>97</v>
      </c>
      <c r="B157" s="1294">
        <v>584</v>
      </c>
      <c r="C157" s="1295" t="s">
        <v>1138</v>
      </c>
      <c r="D157" s="1296" t="s">
        <v>2013</v>
      </c>
      <c r="E157" s="1296" t="s">
        <v>716</v>
      </c>
      <c r="F157" s="1297">
        <v>698</v>
      </c>
      <c r="G157" s="1295" t="s">
        <v>189</v>
      </c>
      <c r="H157" s="1295" t="s">
        <v>1139</v>
      </c>
      <c r="I157" s="1296" t="s">
        <v>1140</v>
      </c>
      <c r="J157" s="1296"/>
      <c r="K157" s="1296" t="s">
        <v>1291</v>
      </c>
      <c r="L157" s="1296" t="s">
        <v>2059</v>
      </c>
      <c r="M157" s="1298">
        <v>1656.6</v>
      </c>
      <c r="N157" s="1298">
        <v>0</v>
      </c>
      <c r="O157" s="1298">
        <v>0</v>
      </c>
      <c r="P157" s="1298">
        <v>65.92</v>
      </c>
      <c r="Q157" s="1298">
        <v>1453</v>
      </c>
      <c r="R157" s="1298">
        <v>1453</v>
      </c>
      <c r="S157" s="1298">
        <v>30</v>
      </c>
      <c r="T157" s="1298">
        <v>12.6</v>
      </c>
      <c r="U157" s="1298">
        <v>22</v>
      </c>
      <c r="V157" s="1298">
        <v>20</v>
      </c>
      <c r="W157" s="1298">
        <v>0</v>
      </c>
      <c r="X157" s="1298">
        <v>0</v>
      </c>
      <c r="Y157" s="1298">
        <v>0</v>
      </c>
      <c r="Z157" s="1298">
        <v>0</v>
      </c>
      <c r="AA157" s="1298">
        <v>0</v>
      </c>
      <c r="AB157" s="1298">
        <v>0</v>
      </c>
      <c r="AC157" s="1298">
        <v>0</v>
      </c>
      <c r="AD157" s="1298">
        <v>0</v>
      </c>
      <c r="AE157" s="1298">
        <v>0</v>
      </c>
      <c r="AF157" s="1298">
        <v>1537.6</v>
      </c>
    </row>
    <row r="158" spans="1:32" ht="15" customHeight="1">
      <c r="A158" s="1294">
        <v>62</v>
      </c>
      <c r="B158" s="1294">
        <v>544</v>
      </c>
      <c r="C158" s="1295" t="s">
        <v>1142</v>
      </c>
      <c r="D158" s="1296" t="s">
        <v>795</v>
      </c>
      <c r="E158" s="1296" t="s">
        <v>716</v>
      </c>
      <c r="F158" s="1297">
        <v>731</v>
      </c>
      <c r="G158" s="1295" t="s">
        <v>189</v>
      </c>
      <c r="H158" s="1295" t="s">
        <v>1143</v>
      </c>
      <c r="I158" s="1296" t="s">
        <v>1144</v>
      </c>
      <c r="J158" s="1296"/>
      <c r="K158" s="1296" t="s">
        <v>2041</v>
      </c>
      <c r="L158" s="1296" t="s">
        <v>2060</v>
      </c>
      <c r="M158" s="1298">
        <v>1771.6</v>
      </c>
      <c r="N158" s="1298">
        <v>0</v>
      </c>
      <c r="O158" s="1298">
        <v>0</v>
      </c>
      <c r="P158" s="1298">
        <v>43.24</v>
      </c>
      <c r="Q158" s="1298">
        <v>1629</v>
      </c>
      <c r="R158" s="1298">
        <v>1629</v>
      </c>
      <c r="S158" s="1298">
        <v>30</v>
      </c>
      <c r="T158" s="1298">
        <v>12.6</v>
      </c>
      <c r="U158" s="1298">
        <v>22</v>
      </c>
      <c r="V158" s="1298">
        <v>20</v>
      </c>
      <c r="W158" s="1298">
        <v>0</v>
      </c>
      <c r="X158" s="1298">
        <v>0</v>
      </c>
      <c r="Y158" s="1298">
        <v>0</v>
      </c>
      <c r="Z158" s="1298">
        <v>0</v>
      </c>
      <c r="AA158" s="1298">
        <v>0</v>
      </c>
      <c r="AB158" s="1298">
        <v>0</v>
      </c>
      <c r="AC158" s="1298">
        <v>0</v>
      </c>
      <c r="AD158" s="1298">
        <v>0</v>
      </c>
      <c r="AE158" s="1298">
        <v>0</v>
      </c>
      <c r="AF158" s="1298">
        <v>1713.6</v>
      </c>
    </row>
    <row r="159" spans="1:32" ht="15" customHeight="1">
      <c r="A159" s="1294">
        <v>194</v>
      </c>
      <c r="B159" s="1294">
        <v>208</v>
      </c>
      <c r="C159" s="1295" t="s">
        <v>1145</v>
      </c>
      <c r="D159" s="1296" t="s">
        <v>799</v>
      </c>
      <c r="E159" s="1296" t="s">
        <v>716</v>
      </c>
      <c r="F159" s="1297">
        <v>1399</v>
      </c>
      <c r="G159" s="1295" t="s">
        <v>189</v>
      </c>
      <c r="H159" s="1295" t="s">
        <v>1146</v>
      </c>
      <c r="I159" s="1296" t="s">
        <v>737</v>
      </c>
      <c r="J159" s="1296"/>
      <c r="K159" s="1296" t="s">
        <v>1147</v>
      </c>
      <c r="L159" s="1296" t="s">
        <v>1148</v>
      </c>
      <c r="M159" s="1298">
        <v>2588.6</v>
      </c>
      <c r="N159" s="1298">
        <v>0</v>
      </c>
      <c r="O159" s="1298">
        <v>0</v>
      </c>
      <c r="P159" s="1298">
        <v>93.23</v>
      </c>
      <c r="Q159" s="1298">
        <v>2409</v>
      </c>
      <c r="R159" s="1298">
        <v>2409</v>
      </c>
      <c r="S159" s="1298">
        <v>25</v>
      </c>
      <c r="T159" s="1298">
        <v>12.6</v>
      </c>
      <c r="U159" s="1298">
        <v>20</v>
      </c>
      <c r="V159" s="1298">
        <v>20</v>
      </c>
      <c r="W159" s="1298">
        <v>0</v>
      </c>
      <c r="X159" s="1298">
        <v>0</v>
      </c>
      <c r="Y159" s="1298">
        <v>0</v>
      </c>
      <c r="Z159" s="1298">
        <v>0</v>
      </c>
      <c r="AA159" s="1298">
        <v>0</v>
      </c>
      <c r="AB159" s="1298">
        <v>0</v>
      </c>
      <c r="AC159" s="1298">
        <v>0</v>
      </c>
      <c r="AD159" s="1298">
        <v>0</v>
      </c>
      <c r="AE159" s="1298">
        <v>0</v>
      </c>
      <c r="AF159" s="1298">
        <v>2486.6</v>
      </c>
    </row>
    <row r="160" spans="1:32" ht="15" customHeight="1">
      <c r="A160" s="1294">
        <v>243</v>
      </c>
      <c r="B160" s="1294">
        <v>454</v>
      </c>
      <c r="C160" s="1295" t="s">
        <v>1149</v>
      </c>
      <c r="D160" s="1296" t="s">
        <v>795</v>
      </c>
      <c r="E160" s="1296" t="s">
        <v>716</v>
      </c>
      <c r="F160" s="1297">
        <v>731</v>
      </c>
      <c r="G160" s="1295" t="s">
        <v>189</v>
      </c>
      <c r="H160" s="1295" t="s">
        <v>791</v>
      </c>
      <c r="I160" s="1296" t="s">
        <v>1474</v>
      </c>
      <c r="J160" s="1296"/>
      <c r="K160" s="1296" t="s">
        <v>1474</v>
      </c>
      <c r="L160" s="1296" t="s">
        <v>1602</v>
      </c>
      <c r="M160" s="1298">
        <v>1781.6</v>
      </c>
      <c r="N160" s="1298">
        <v>250</v>
      </c>
      <c r="O160" s="1298">
        <v>250</v>
      </c>
      <c r="P160" s="1298">
        <v>36.549999999999997</v>
      </c>
      <c r="Q160" s="1298">
        <v>1677</v>
      </c>
      <c r="R160" s="1298">
        <v>1677</v>
      </c>
      <c r="S160" s="1298">
        <v>30</v>
      </c>
      <c r="T160" s="1298">
        <v>12.6</v>
      </c>
      <c r="U160" s="1298">
        <v>22</v>
      </c>
      <c r="V160" s="1298">
        <v>20</v>
      </c>
      <c r="W160" s="1298">
        <v>0</v>
      </c>
      <c r="X160" s="1298">
        <v>0</v>
      </c>
      <c r="Y160" s="1298">
        <v>0</v>
      </c>
      <c r="Z160" s="1298">
        <v>0</v>
      </c>
      <c r="AA160" s="1298">
        <v>0</v>
      </c>
      <c r="AB160" s="1298">
        <v>0</v>
      </c>
      <c r="AC160" s="1298">
        <v>0</v>
      </c>
      <c r="AD160" s="1298">
        <v>0</v>
      </c>
      <c r="AE160" s="1298">
        <v>0</v>
      </c>
      <c r="AF160" s="1298">
        <v>1761.6</v>
      </c>
    </row>
    <row r="161" spans="1:32" ht="15" customHeight="1">
      <c r="A161" s="1294">
        <v>118</v>
      </c>
      <c r="B161" s="1294">
        <v>125</v>
      </c>
      <c r="C161" s="1295" t="s">
        <v>1152</v>
      </c>
      <c r="D161" s="1296" t="s">
        <v>795</v>
      </c>
      <c r="E161" s="1296" t="s">
        <v>716</v>
      </c>
      <c r="F161" s="1297">
        <v>731</v>
      </c>
      <c r="G161" s="1295" t="s">
        <v>769</v>
      </c>
      <c r="H161" s="1295" t="s">
        <v>1153</v>
      </c>
      <c r="I161" s="1296" t="s">
        <v>1154</v>
      </c>
      <c r="J161" s="1296" t="s">
        <v>1569</v>
      </c>
      <c r="K161" s="1296" t="s">
        <v>1155</v>
      </c>
      <c r="L161" s="1296" t="s">
        <v>1156</v>
      </c>
      <c r="M161" s="1298">
        <v>2006.6</v>
      </c>
      <c r="N161" s="1298">
        <v>0</v>
      </c>
      <c r="O161" s="1298">
        <v>0</v>
      </c>
      <c r="P161" s="1298">
        <v>51.19</v>
      </c>
      <c r="Q161" s="1298">
        <v>1706</v>
      </c>
      <c r="R161" s="1298">
        <v>1706</v>
      </c>
      <c r="S161" s="1298">
        <v>25</v>
      </c>
      <c r="T161" s="1298">
        <v>12.6</v>
      </c>
      <c r="U161" s="1298">
        <v>21</v>
      </c>
      <c r="V161" s="1298">
        <v>20</v>
      </c>
      <c r="W161" s="1298">
        <v>0</v>
      </c>
      <c r="X161" s="1298">
        <v>0</v>
      </c>
      <c r="Y161" s="1298">
        <v>0</v>
      </c>
      <c r="Z161" s="1298">
        <v>11.5</v>
      </c>
      <c r="AA161" s="1298">
        <v>0</v>
      </c>
      <c r="AB161" s="1298">
        <v>0</v>
      </c>
      <c r="AC161" s="1298">
        <v>0</v>
      </c>
      <c r="AD161" s="1298">
        <v>0</v>
      </c>
      <c r="AE161" s="1298">
        <v>0</v>
      </c>
      <c r="AF161" s="1298">
        <v>1796.1</v>
      </c>
    </row>
    <row r="162" spans="1:32" ht="15" customHeight="1">
      <c r="A162" s="1294">
        <v>99</v>
      </c>
      <c r="B162" s="1294">
        <v>465</v>
      </c>
      <c r="C162" s="1295" t="s">
        <v>1157</v>
      </c>
      <c r="D162" s="1296" t="s">
        <v>815</v>
      </c>
      <c r="E162" s="1296" t="s">
        <v>716</v>
      </c>
      <c r="F162" s="1297">
        <v>698</v>
      </c>
      <c r="G162" s="1295" t="s">
        <v>769</v>
      </c>
      <c r="H162" s="1295" t="s">
        <v>1158</v>
      </c>
      <c r="I162" s="1296" t="s">
        <v>1159</v>
      </c>
      <c r="J162" s="1296" t="s">
        <v>1414</v>
      </c>
      <c r="K162" s="1296" t="s">
        <v>1314</v>
      </c>
      <c r="L162" s="1296" t="s">
        <v>1414</v>
      </c>
      <c r="M162" s="1298">
        <v>1891.6</v>
      </c>
      <c r="N162" s="1298">
        <v>1560</v>
      </c>
      <c r="O162" s="1298">
        <v>1560</v>
      </c>
      <c r="P162" s="1298">
        <v>70.290000000000006</v>
      </c>
      <c r="Q162" s="1298">
        <v>1638</v>
      </c>
      <c r="R162" s="1298">
        <v>1638</v>
      </c>
      <c r="S162" s="1298">
        <v>25</v>
      </c>
      <c r="T162" s="1298">
        <v>12.6</v>
      </c>
      <c r="U162" s="1298">
        <v>17</v>
      </c>
      <c r="V162" s="1298">
        <v>20</v>
      </c>
      <c r="W162" s="1298">
        <v>25</v>
      </c>
      <c r="X162" s="1298">
        <v>0</v>
      </c>
      <c r="Y162" s="1298">
        <v>0</v>
      </c>
      <c r="Z162" s="1298">
        <v>11.5</v>
      </c>
      <c r="AA162" s="1298">
        <v>0</v>
      </c>
      <c r="AB162" s="1298">
        <v>0</v>
      </c>
      <c r="AC162" s="1298">
        <v>0</v>
      </c>
      <c r="AD162" s="1298">
        <v>0</v>
      </c>
      <c r="AE162" s="1298">
        <v>0</v>
      </c>
      <c r="AF162" s="1298">
        <v>1749.1</v>
      </c>
    </row>
    <row r="163" spans="1:32" ht="15" customHeight="1">
      <c r="A163" s="1294">
        <v>61</v>
      </c>
      <c r="B163" s="1294">
        <v>541</v>
      </c>
      <c r="C163" s="1295" t="s">
        <v>1160</v>
      </c>
      <c r="D163" s="1296" t="s">
        <v>815</v>
      </c>
      <c r="E163" s="1296" t="s">
        <v>716</v>
      </c>
      <c r="F163" s="1297">
        <v>698</v>
      </c>
      <c r="G163" s="1295" t="s">
        <v>189</v>
      </c>
      <c r="H163" s="1295" t="s">
        <v>1161</v>
      </c>
      <c r="I163" s="1296" t="s">
        <v>1162</v>
      </c>
      <c r="J163" s="1296"/>
      <c r="K163" s="1296" t="s">
        <v>2061</v>
      </c>
      <c r="L163" s="1296" t="s">
        <v>1868</v>
      </c>
      <c r="M163" s="1298">
        <v>1666.6</v>
      </c>
      <c r="N163" s="1298">
        <v>0</v>
      </c>
      <c r="O163" s="1298">
        <v>0</v>
      </c>
      <c r="P163" s="1298">
        <v>66.900000000000006</v>
      </c>
      <c r="Q163" s="1298">
        <v>1396</v>
      </c>
      <c r="R163" s="1298">
        <v>1396</v>
      </c>
      <c r="S163" s="1298">
        <v>30</v>
      </c>
      <c r="T163" s="1298">
        <v>11.5</v>
      </c>
      <c r="U163" s="1298">
        <v>22</v>
      </c>
      <c r="V163" s="1298">
        <v>20</v>
      </c>
      <c r="W163" s="1298">
        <v>0</v>
      </c>
      <c r="X163" s="1298">
        <v>0</v>
      </c>
      <c r="Y163" s="1298">
        <v>0</v>
      </c>
      <c r="Z163" s="1298">
        <v>0</v>
      </c>
      <c r="AA163" s="1298">
        <v>0</v>
      </c>
      <c r="AB163" s="1298">
        <v>0</v>
      </c>
      <c r="AC163" s="1298">
        <v>0</v>
      </c>
      <c r="AD163" s="1298">
        <v>0</v>
      </c>
      <c r="AE163" s="1298">
        <v>0</v>
      </c>
      <c r="AF163" s="1298">
        <v>1479.5</v>
      </c>
    </row>
    <row r="164" spans="1:32" ht="15" customHeight="1">
      <c r="A164" s="1294">
        <v>205</v>
      </c>
      <c r="B164" s="1294">
        <v>222</v>
      </c>
      <c r="C164" s="1295" t="s">
        <v>1163</v>
      </c>
      <c r="D164" s="1296" t="s">
        <v>727</v>
      </c>
      <c r="E164" s="1296" t="s">
        <v>716</v>
      </c>
      <c r="F164" s="1297">
        <v>1000</v>
      </c>
      <c r="G164" s="1295" t="s">
        <v>189</v>
      </c>
      <c r="H164" s="1295" t="s">
        <v>1164</v>
      </c>
      <c r="I164" s="1296" t="s">
        <v>1165</v>
      </c>
      <c r="J164" s="1296"/>
      <c r="K164" s="1296" t="s">
        <v>1166</v>
      </c>
      <c r="L164" s="1296" t="s">
        <v>1167</v>
      </c>
      <c r="M164" s="1298">
        <v>2080.6</v>
      </c>
      <c r="N164" s="1298">
        <v>0</v>
      </c>
      <c r="O164" s="1298">
        <v>0</v>
      </c>
      <c r="P164" s="1298">
        <v>70.290000000000006</v>
      </c>
      <c r="Q164" s="1298">
        <v>1882</v>
      </c>
      <c r="R164" s="1298">
        <v>1882</v>
      </c>
      <c r="S164" s="1298">
        <v>25</v>
      </c>
      <c r="T164" s="1298">
        <v>12.6</v>
      </c>
      <c r="U164" s="1298">
        <v>17</v>
      </c>
      <c r="V164" s="1298">
        <v>20</v>
      </c>
      <c r="W164" s="1298">
        <v>25</v>
      </c>
      <c r="X164" s="1298">
        <v>0</v>
      </c>
      <c r="Y164" s="1298">
        <v>0</v>
      </c>
      <c r="Z164" s="1298">
        <v>0</v>
      </c>
      <c r="AA164" s="1298">
        <v>0</v>
      </c>
      <c r="AB164" s="1298">
        <v>0</v>
      </c>
      <c r="AC164" s="1298">
        <v>0</v>
      </c>
      <c r="AD164" s="1298">
        <v>0</v>
      </c>
      <c r="AE164" s="1298">
        <v>0</v>
      </c>
      <c r="AF164" s="1298">
        <v>1981.6</v>
      </c>
    </row>
    <row r="165" spans="1:32" ht="15" customHeight="1">
      <c r="A165" s="1294">
        <v>113</v>
      </c>
      <c r="B165" s="1294">
        <v>431</v>
      </c>
      <c r="C165" s="1295" t="s">
        <v>1168</v>
      </c>
      <c r="D165" s="1296" t="s">
        <v>815</v>
      </c>
      <c r="E165" s="1296" t="s">
        <v>716</v>
      </c>
      <c r="F165" s="1297">
        <v>698</v>
      </c>
      <c r="G165" s="1295" t="s">
        <v>189</v>
      </c>
      <c r="H165" s="1295" t="s">
        <v>1169</v>
      </c>
      <c r="I165" s="1296" t="s">
        <v>1170</v>
      </c>
      <c r="J165" s="1296"/>
      <c r="K165" s="1296" t="s">
        <v>1860</v>
      </c>
      <c r="L165" s="1296" t="s">
        <v>1861</v>
      </c>
      <c r="M165" s="1298">
        <v>1666.6</v>
      </c>
      <c r="N165" s="1298">
        <v>0</v>
      </c>
      <c r="O165" s="1298">
        <v>0</v>
      </c>
      <c r="P165" s="1298">
        <v>42.67</v>
      </c>
      <c r="Q165" s="1298">
        <v>1562</v>
      </c>
      <c r="R165" s="1298">
        <v>1562</v>
      </c>
      <c r="S165" s="1298">
        <v>25</v>
      </c>
      <c r="T165" s="1298">
        <v>12.6</v>
      </c>
      <c r="U165" s="1298">
        <v>17</v>
      </c>
      <c r="V165" s="1298">
        <v>20</v>
      </c>
      <c r="W165" s="1298">
        <v>0</v>
      </c>
      <c r="X165" s="1298">
        <v>0</v>
      </c>
      <c r="Y165" s="1298">
        <v>0</v>
      </c>
      <c r="Z165" s="1298">
        <v>0</v>
      </c>
      <c r="AA165" s="1298">
        <v>0</v>
      </c>
      <c r="AB165" s="1298">
        <v>0</v>
      </c>
      <c r="AC165" s="1298">
        <v>0</v>
      </c>
      <c r="AD165" s="1298">
        <v>0</v>
      </c>
      <c r="AE165" s="1298">
        <v>0</v>
      </c>
      <c r="AF165" s="1298">
        <v>1636.6</v>
      </c>
    </row>
    <row r="166" spans="1:32" ht="15" customHeight="1">
      <c r="A166" s="1294">
        <v>348</v>
      </c>
      <c r="B166" s="1294">
        <v>407</v>
      </c>
      <c r="C166" s="1295" t="s">
        <v>1172</v>
      </c>
      <c r="D166" s="1296" t="s">
        <v>1999</v>
      </c>
      <c r="E166" s="1296" t="s">
        <v>716</v>
      </c>
      <c r="F166" s="1297">
        <v>1036</v>
      </c>
      <c r="G166" s="1295" t="s">
        <v>189</v>
      </c>
      <c r="H166" s="1295" t="s">
        <v>1173</v>
      </c>
      <c r="I166" s="1296" t="s">
        <v>1174</v>
      </c>
      <c r="J166" s="1296"/>
      <c r="K166" s="1296" t="s">
        <v>1174</v>
      </c>
      <c r="L166" s="1296" t="s">
        <v>1175</v>
      </c>
      <c r="M166" s="1298">
        <v>2005.6</v>
      </c>
      <c r="N166" s="1298">
        <v>250</v>
      </c>
      <c r="O166" s="1298">
        <v>250</v>
      </c>
      <c r="P166" s="1298">
        <v>-164.44</v>
      </c>
      <c r="Q166" s="1298">
        <v>1841</v>
      </c>
      <c r="R166" s="1298">
        <v>1841</v>
      </c>
      <c r="S166" s="1298">
        <v>25</v>
      </c>
      <c r="T166" s="1298">
        <v>12.6</v>
      </c>
      <c r="U166" s="1298">
        <v>0</v>
      </c>
      <c r="V166" s="1298">
        <v>0</v>
      </c>
      <c r="W166" s="1298">
        <v>0</v>
      </c>
      <c r="X166" s="1298">
        <v>0</v>
      </c>
      <c r="Y166" s="1298">
        <v>0</v>
      </c>
      <c r="Z166" s="1298">
        <v>0</v>
      </c>
      <c r="AA166" s="1298">
        <v>0</v>
      </c>
      <c r="AB166" s="1298">
        <v>0</v>
      </c>
      <c r="AC166" s="1298">
        <v>0</v>
      </c>
      <c r="AD166" s="1298">
        <v>0</v>
      </c>
      <c r="AE166" s="1298">
        <v>0</v>
      </c>
      <c r="AF166" s="1298">
        <v>1878.6</v>
      </c>
    </row>
    <row r="167" spans="1:32" ht="15" customHeight="1">
      <c r="A167" s="1294">
        <v>76</v>
      </c>
      <c r="B167" s="1294">
        <v>79</v>
      </c>
      <c r="C167" s="1295" t="s">
        <v>1176</v>
      </c>
      <c r="D167" s="1296" t="s">
        <v>772</v>
      </c>
      <c r="E167" s="1296" t="s">
        <v>716</v>
      </c>
      <c r="F167" s="1297">
        <v>937</v>
      </c>
      <c r="G167" s="1295" t="s">
        <v>189</v>
      </c>
      <c r="H167" s="1295" t="s">
        <v>1177</v>
      </c>
      <c r="I167" s="1296" t="s">
        <v>1178</v>
      </c>
      <c r="J167" s="1296"/>
      <c r="K167" s="1296" t="s">
        <v>1179</v>
      </c>
      <c r="L167" s="1296" t="s">
        <v>1180</v>
      </c>
      <c r="M167" s="1298">
        <v>2010.6</v>
      </c>
      <c r="N167" s="1298">
        <v>1630</v>
      </c>
      <c r="O167" s="1298">
        <v>1630</v>
      </c>
      <c r="P167" s="1298">
        <v>61.56</v>
      </c>
      <c r="Q167" s="1298">
        <v>1813</v>
      </c>
      <c r="R167" s="1298">
        <v>1813</v>
      </c>
      <c r="S167" s="1298">
        <v>25</v>
      </c>
      <c r="T167" s="1298">
        <v>12.6</v>
      </c>
      <c r="U167" s="1298">
        <v>21</v>
      </c>
      <c r="V167" s="1298">
        <v>20</v>
      </c>
      <c r="W167" s="1298">
        <v>0</v>
      </c>
      <c r="X167" s="1298">
        <v>0</v>
      </c>
      <c r="Y167" s="1298">
        <v>0</v>
      </c>
      <c r="Z167" s="1298">
        <v>0</v>
      </c>
      <c r="AA167" s="1298">
        <v>0</v>
      </c>
      <c r="AB167" s="1298">
        <v>0</v>
      </c>
      <c r="AC167" s="1298">
        <v>0</v>
      </c>
      <c r="AD167" s="1298">
        <v>0</v>
      </c>
      <c r="AE167" s="1298">
        <v>0</v>
      </c>
      <c r="AF167" s="1298">
        <v>1891.6</v>
      </c>
    </row>
    <row r="168" spans="1:32" ht="15" customHeight="1">
      <c r="A168" s="1294">
        <v>85</v>
      </c>
      <c r="B168" s="1294">
        <v>663</v>
      </c>
      <c r="C168" s="1295" t="s">
        <v>1181</v>
      </c>
      <c r="D168" s="1296" t="s">
        <v>840</v>
      </c>
      <c r="E168" s="1296" t="s">
        <v>716</v>
      </c>
      <c r="F168" s="1297">
        <v>1235</v>
      </c>
      <c r="G168" s="1295" t="s">
        <v>189</v>
      </c>
      <c r="H168" s="1295" t="s">
        <v>773</v>
      </c>
      <c r="I168" s="1296" t="s">
        <v>2225</v>
      </c>
      <c r="J168" s="1296"/>
      <c r="K168" s="1296" t="s">
        <v>2225</v>
      </c>
      <c r="L168" s="1296" t="s">
        <v>2243</v>
      </c>
      <c r="M168" s="1298">
        <v>2728.6</v>
      </c>
      <c r="N168" s="1298">
        <v>0</v>
      </c>
      <c r="O168" s="1298">
        <v>0</v>
      </c>
      <c r="P168" s="1298">
        <v>96.91</v>
      </c>
      <c r="Q168" s="1298">
        <v>2394</v>
      </c>
      <c r="R168" s="1298">
        <v>2394</v>
      </c>
      <c r="S168" s="1298">
        <v>30</v>
      </c>
      <c r="T168" s="1298">
        <v>12.6</v>
      </c>
      <c r="U168" s="1298">
        <v>22</v>
      </c>
      <c r="V168" s="1298">
        <v>20</v>
      </c>
      <c r="W168" s="1298">
        <v>0</v>
      </c>
      <c r="X168" s="1298">
        <v>0</v>
      </c>
      <c r="Y168" s="1298">
        <v>0</v>
      </c>
      <c r="Z168" s="1298">
        <v>0</v>
      </c>
      <c r="AA168" s="1298">
        <v>0</v>
      </c>
      <c r="AB168" s="1298">
        <v>-500</v>
      </c>
      <c r="AC168" s="1298">
        <v>0</v>
      </c>
      <c r="AD168" s="1298">
        <v>0</v>
      </c>
      <c r="AE168" s="1298">
        <v>0</v>
      </c>
      <c r="AF168" s="1298">
        <v>1978.6</v>
      </c>
    </row>
    <row r="169" spans="1:32" ht="15" customHeight="1">
      <c r="A169" s="1294">
        <v>227</v>
      </c>
      <c r="B169" s="1294">
        <v>441</v>
      </c>
      <c r="C169" s="1295" t="s">
        <v>1182</v>
      </c>
      <c r="D169" s="1296" t="s">
        <v>840</v>
      </c>
      <c r="E169" s="1296" t="s">
        <v>716</v>
      </c>
      <c r="F169" s="1297">
        <v>1235</v>
      </c>
      <c r="G169" s="1295" t="s">
        <v>189</v>
      </c>
      <c r="H169" s="1295" t="s">
        <v>1183</v>
      </c>
      <c r="I169" s="1296" t="s">
        <v>1184</v>
      </c>
      <c r="J169" s="1296"/>
      <c r="K169" s="1296" t="s">
        <v>1862</v>
      </c>
      <c r="L169" s="1296" t="s">
        <v>1863</v>
      </c>
      <c r="M169" s="1298">
        <v>2503.6</v>
      </c>
      <c r="N169" s="1298">
        <v>0</v>
      </c>
      <c r="O169" s="1298">
        <v>0</v>
      </c>
      <c r="P169" s="1298">
        <v>73.3</v>
      </c>
      <c r="Q169" s="1298">
        <v>2354</v>
      </c>
      <c r="R169" s="1298">
        <v>2354</v>
      </c>
      <c r="S169" s="1298">
        <v>25</v>
      </c>
      <c r="T169" s="1298">
        <v>12.6</v>
      </c>
      <c r="U169" s="1298">
        <v>17</v>
      </c>
      <c r="V169" s="1298">
        <v>20</v>
      </c>
      <c r="W169" s="1298">
        <v>0</v>
      </c>
      <c r="X169" s="1298">
        <v>0</v>
      </c>
      <c r="Y169" s="1298">
        <v>0</v>
      </c>
      <c r="Z169" s="1298">
        <v>0</v>
      </c>
      <c r="AA169" s="1298">
        <v>0</v>
      </c>
      <c r="AB169" s="1298">
        <v>0</v>
      </c>
      <c r="AC169" s="1298">
        <v>0</v>
      </c>
      <c r="AD169" s="1298">
        <v>0</v>
      </c>
      <c r="AE169" s="1298">
        <v>0</v>
      </c>
      <c r="AF169" s="1298">
        <v>2428.6</v>
      </c>
    </row>
    <row r="170" spans="1:32" ht="15" customHeight="1">
      <c r="A170" s="1294">
        <v>319</v>
      </c>
      <c r="B170" s="1294">
        <v>346</v>
      </c>
      <c r="C170" s="1295" t="s">
        <v>1186</v>
      </c>
      <c r="D170" s="1296" t="s">
        <v>772</v>
      </c>
      <c r="E170" s="1296" t="s">
        <v>716</v>
      </c>
      <c r="F170" s="1297">
        <v>937</v>
      </c>
      <c r="G170" s="1295" t="s">
        <v>189</v>
      </c>
      <c r="H170" s="1295" t="s">
        <v>1187</v>
      </c>
      <c r="I170" s="1296" t="s">
        <v>1179</v>
      </c>
      <c r="J170" s="1296"/>
      <c r="K170" s="1296" t="s">
        <v>1179</v>
      </c>
      <c r="L170" s="1296" t="s">
        <v>991</v>
      </c>
      <c r="M170" s="1298">
        <v>2010.6</v>
      </c>
      <c r="N170" s="1298">
        <v>0</v>
      </c>
      <c r="O170" s="1298">
        <v>0</v>
      </c>
      <c r="P170" s="1298">
        <v>50.7</v>
      </c>
      <c r="Q170" s="1298">
        <v>1926</v>
      </c>
      <c r="R170" s="1298">
        <v>1926</v>
      </c>
      <c r="S170" s="1298">
        <v>25</v>
      </c>
      <c r="T170" s="1298">
        <v>12.6</v>
      </c>
      <c r="U170" s="1298">
        <v>17</v>
      </c>
      <c r="V170" s="1298">
        <v>20</v>
      </c>
      <c r="W170" s="1298">
        <v>50</v>
      </c>
      <c r="X170" s="1298">
        <v>0</v>
      </c>
      <c r="Y170" s="1298">
        <v>0</v>
      </c>
      <c r="Z170" s="1298">
        <v>11.5</v>
      </c>
      <c r="AA170" s="1298">
        <v>0</v>
      </c>
      <c r="AB170" s="1298">
        <v>0</v>
      </c>
      <c r="AC170" s="1298">
        <v>0</v>
      </c>
      <c r="AD170" s="1298">
        <v>0</v>
      </c>
      <c r="AE170" s="1298">
        <v>0</v>
      </c>
      <c r="AF170" s="1298">
        <v>2062.1</v>
      </c>
    </row>
    <row r="171" spans="1:32" ht="15" customHeight="1">
      <c r="A171" s="1294">
        <v>112</v>
      </c>
      <c r="B171" s="1294">
        <v>409</v>
      </c>
      <c r="C171" s="1295" t="s">
        <v>1188</v>
      </c>
      <c r="D171" s="1296" t="s">
        <v>2062</v>
      </c>
      <c r="E171" s="1296" t="s">
        <v>716</v>
      </c>
      <c r="F171" s="1297">
        <v>784</v>
      </c>
      <c r="G171" s="1295" t="s">
        <v>189</v>
      </c>
      <c r="H171" s="1295" t="s">
        <v>1189</v>
      </c>
      <c r="I171" s="1296" t="s">
        <v>1190</v>
      </c>
      <c r="J171" s="1296"/>
      <c r="K171" s="1296" t="s">
        <v>1191</v>
      </c>
      <c r="L171" s="1296" t="s">
        <v>1192</v>
      </c>
      <c r="M171" s="1298">
        <v>1796.6</v>
      </c>
      <c r="N171" s="1298">
        <v>0</v>
      </c>
      <c r="O171" s="1298">
        <v>0</v>
      </c>
      <c r="P171" s="1298">
        <v>62.42</v>
      </c>
      <c r="Q171" s="1298">
        <v>1500</v>
      </c>
      <c r="R171" s="1298">
        <v>1500</v>
      </c>
      <c r="S171" s="1298">
        <v>25</v>
      </c>
      <c r="T171" s="1298">
        <v>12.6</v>
      </c>
      <c r="U171" s="1298">
        <v>5</v>
      </c>
      <c r="V171" s="1298">
        <v>20</v>
      </c>
      <c r="W171" s="1298">
        <v>0</v>
      </c>
      <c r="X171" s="1298">
        <v>0</v>
      </c>
      <c r="Y171" s="1298">
        <v>0</v>
      </c>
      <c r="Z171" s="1298">
        <v>11.5</v>
      </c>
      <c r="AA171" s="1298">
        <v>0</v>
      </c>
      <c r="AB171" s="1298">
        <v>0</v>
      </c>
      <c r="AC171" s="1298">
        <v>0</v>
      </c>
      <c r="AD171" s="1298">
        <v>0</v>
      </c>
      <c r="AE171" s="1298">
        <v>0</v>
      </c>
      <c r="AF171" s="1298">
        <v>1574.1</v>
      </c>
    </row>
    <row r="172" spans="1:32" ht="15" customHeight="1">
      <c r="A172" s="1294">
        <v>43</v>
      </c>
      <c r="B172" s="1294">
        <v>437</v>
      </c>
      <c r="C172" s="1295" t="s">
        <v>1193</v>
      </c>
      <c r="D172" s="1296" t="s">
        <v>1194</v>
      </c>
      <c r="E172" s="1296" t="s">
        <v>716</v>
      </c>
      <c r="F172" s="1297">
        <v>684</v>
      </c>
      <c r="G172" s="1295" t="s">
        <v>189</v>
      </c>
      <c r="H172" s="1295" t="s">
        <v>1195</v>
      </c>
      <c r="I172" s="1296" t="s">
        <v>1196</v>
      </c>
      <c r="J172" s="1296"/>
      <c r="K172" s="1296" t="s">
        <v>1256</v>
      </c>
      <c r="L172" s="1296" t="s">
        <v>1845</v>
      </c>
      <c r="M172" s="1298">
        <v>1641.6</v>
      </c>
      <c r="N172" s="1298">
        <v>0</v>
      </c>
      <c r="O172" s="1298">
        <v>0</v>
      </c>
      <c r="P172" s="1298">
        <v>32.21</v>
      </c>
      <c r="Q172" s="1298">
        <v>1517</v>
      </c>
      <c r="R172" s="1298">
        <v>1517</v>
      </c>
      <c r="S172" s="1298">
        <v>25</v>
      </c>
      <c r="T172" s="1298">
        <v>11.5</v>
      </c>
      <c r="U172" s="1298">
        <v>17</v>
      </c>
      <c r="V172" s="1298">
        <v>20</v>
      </c>
      <c r="W172" s="1298">
        <v>0</v>
      </c>
      <c r="X172" s="1298">
        <v>0</v>
      </c>
      <c r="Y172" s="1298">
        <v>0</v>
      </c>
      <c r="Z172" s="1298">
        <v>0</v>
      </c>
      <c r="AA172" s="1298">
        <v>0</v>
      </c>
      <c r="AB172" s="1298">
        <v>0</v>
      </c>
      <c r="AC172" s="1298">
        <v>0</v>
      </c>
      <c r="AD172" s="1298">
        <v>0</v>
      </c>
      <c r="AE172" s="1298">
        <v>0</v>
      </c>
      <c r="AF172" s="1298">
        <v>1590.5</v>
      </c>
    </row>
    <row r="173" spans="1:32" ht="15" customHeight="1">
      <c r="A173" s="1294">
        <v>232</v>
      </c>
      <c r="B173" s="1294">
        <v>439</v>
      </c>
      <c r="C173" s="1295" t="s">
        <v>1197</v>
      </c>
      <c r="D173" s="1296" t="s">
        <v>2063</v>
      </c>
      <c r="E173" s="1296" t="s">
        <v>716</v>
      </c>
      <c r="F173" s="1297">
        <v>833</v>
      </c>
      <c r="G173" s="1295" t="s">
        <v>189</v>
      </c>
      <c r="H173" s="1295" t="s">
        <v>1198</v>
      </c>
      <c r="I173" s="1296" t="s">
        <v>1199</v>
      </c>
      <c r="J173" s="1296"/>
      <c r="K173" s="1296" t="s">
        <v>1842</v>
      </c>
      <c r="L173" s="1296" t="s">
        <v>1864</v>
      </c>
      <c r="M173" s="1298">
        <v>1875.6</v>
      </c>
      <c r="N173" s="1298">
        <v>0</v>
      </c>
      <c r="O173" s="1298">
        <v>0</v>
      </c>
      <c r="P173" s="1298">
        <v>44.41</v>
      </c>
      <c r="Q173" s="1298">
        <v>1661</v>
      </c>
      <c r="R173" s="1298">
        <v>1661</v>
      </c>
      <c r="S173" s="1298">
        <v>25</v>
      </c>
      <c r="T173" s="1298">
        <v>11.5</v>
      </c>
      <c r="U173" s="1298">
        <v>17</v>
      </c>
      <c r="V173" s="1298">
        <v>20</v>
      </c>
      <c r="W173" s="1298">
        <v>0</v>
      </c>
      <c r="X173" s="1298">
        <v>0</v>
      </c>
      <c r="Y173" s="1298">
        <v>0</v>
      </c>
      <c r="Z173" s="1298">
        <v>0</v>
      </c>
      <c r="AA173" s="1298">
        <v>0</v>
      </c>
      <c r="AB173" s="1298">
        <v>0</v>
      </c>
      <c r="AC173" s="1298">
        <v>0</v>
      </c>
      <c r="AD173" s="1298">
        <v>0</v>
      </c>
      <c r="AE173" s="1298">
        <v>0</v>
      </c>
      <c r="AF173" s="1298">
        <v>1734.5</v>
      </c>
    </row>
    <row r="174" spans="1:32" ht="15" customHeight="1">
      <c r="A174" s="1294">
        <v>66</v>
      </c>
      <c r="B174" s="1294">
        <v>408</v>
      </c>
      <c r="C174" s="1295" t="s">
        <v>1200</v>
      </c>
      <c r="D174" s="1296" t="s">
        <v>1998</v>
      </c>
      <c r="E174" s="1296" t="s">
        <v>716</v>
      </c>
      <c r="F174" s="1297">
        <v>892</v>
      </c>
      <c r="G174" s="1295" t="s">
        <v>189</v>
      </c>
      <c r="H174" s="1295" t="s">
        <v>1201</v>
      </c>
      <c r="I174" s="1296" t="s">
        <v>1202</v>
      </c>
      <c r="J174" s="1296"/>
      <c r="K174" s="1296" t="s">
        <v>1033</v>
      </c>
      <c r="L174" s="1296" t="s">
        <v>1827</v>
      </c>
      <c r="M174" s="1298">
        <v>1910.6</v>
      </c>
      <c r="N174" s="1298">
        <v>0</v>
      </c>
      <c r="O174" s="1298">
        <v>0</v>
      </c>
      <c r="P174" s="1298">
        <v>79.33</v>
      </c>
      <c r="Q174" s="1298">
        <v>1550</v>
      </c>
      <c r="R174" s="1298">
        <v>1550</v>
      </c>
      <c r="S174" s="1298">
        <v>25</v>
      </c>
      <c r="T174" s="1298">
        <v>12.6</v>
      </c>
      <c r="U174" s="1298">
        <v>17</v>
      </c>
      <c r="V174" s="1298">
        <v>20</v>
      </c>
      <c r="W174" s="1298">
        <v>0</v>
      </c>
      <c r="X174" s="1298">
        <v>0</v>
      </c>
      <c r="Y174" s="1298">
        <v>0</v>
      </c>
      <c r="Z174" s="1298">
        <v>11.5</v>
      </c>
      <c r="AA174" s="1298">
        <v>0</v>
      </c>
      <c r="AB174" s="1298">
        <v>0</v>
      </c>
      <c r="AC174" s="1298">
        <v>0</v>
      </c>
      <c r="AD174" s="1298">
        <v>0</v>
      </c>
      <c r="AE174" s="1298">
        <v>0</v>
      </c>
      <c r="AF174" s="1298">
        <v>1636.1</v>
      </c>
    </row>
    <row r="175" spans="1:32" ht="15" customHeight="1">
      <c r="A175" s="1294">
        <v>388</v>
      </c>
      <c r="B175" s="1294">
        <v>557</v>
      </c>
      <c r="C175" s="1295" t="s">
        <v>1203</v>
      </c>
      <c r="D175" s="1296" t="s">
        <v>1999</v>
      </c>
      <c r="E175" s="1296" t="s">
        <v>716</v>
      </c>
      <c r="F175" s="1297">
        <v>1036</v>
      </c>
      <c r="G175" s="1295" t="s">
        <v>189</v>
      </c>
      <c r="H175" s="1295" t="s">
        <v>2064</v>
      </c>
      <c r="I175" s="1296" t="s">
        <v>1007</v>
      </c>
      <c r="J175" s="1296"/>
      <c r="K175" s="1296" t="s">
        <v>1007</v>
      </c>
      <c r="L175" s="1296" t="s">
        <v>2065</v>
      </c>
      <c r="M175" s="1298">
        <v>1955.6</v>
      </c>
      <c r="N175" s="1298">
        <v>500</v>
      </c>
      <c r="O175" s="1298">
        <v>500</v>
      </c>
      <c r="P175" s="1298">
        <v>93.26</v>
      </c>
      <c r="Q175" s="1298">
        <v>1741</v>
      </c>
      <c r="R175" s="1298">
        <v>1741</v>
      </c>
      <c r="S175" s="1298">
        <v>30</v>
      </c>
      <c r="T175" s="1298">
        <v>12.6</v>
      </c>
      <c r="U175" s="1298">
        <v>22</v>
      </c>
      <c r="V175" s="1298">
        <v>0</v>
      </c>
      <c r="W175" s="1298">
        <v>0</v>
      </c>
      <c r="X175" s="1298">
        <v>0</v>
      </c>
      <c r="Y175" s="1298">
        <v>0</v>
      </c>
      <c r="Z175" s="1298">
        <v>0</v>
      </c>
      <c r="AA175" s="1298">
        <v>0</v>
      </c>
      <c r="AB175" s="1298">
        <v>0</v>
      </c>
      <c r="AC175" s="1298">
        <v>0</v>
      </c>
      <c r="AD175" s="1298">
        <v>0</v>
      </c>
      <c r="AE175" s="1298">
        <v>0</v>
      </c>
      <c r="AF175" s="1298">
        <v>1805.6</v>
      </c>
    </row>
    <row r="176" spans="1:32" ht="15" customHeight="1">
      <c r="A176" s="1294">
        <v>87</v>
      </c>
      <c r="B176" s="1294">
        <v>591</v>
      </c>
      <c r="C176" s="1295" t="s">
        <v>1205</v>
      </c>
      <c r="D176" s="1296" t="s">
        <v>723</v>
      </c>
      <c r="E176" s="1296" t="s">
        <v>716</v>
      </c>
      <c r="F176" s="1297">
        <v>1156</v>
      </c>
      <c r="G176" s="1295" t="s">
        <v>189</v>
      </c>
      <c r="H176" s="1295" t="s">
        <v>1206</v>
      </c>
      <c r="I176" s="1296" t="s">
        <v>1207</v>
      </c>
      <c r="J176" s="1296"/>
      <c r="K176" s="1296" t="s">
        <v>2244</v>
      </c>
      <c r="L176" s="1296" t="s">
        <v>2245</v>
      </c>
      <c r="M176" s="1298">
        <v>2158.6</v>
      </c>
      <c r="N176" s="1298">
        <v>0</v>
      </c>
      <c r="O176" s="1298">
        <v>0</v>
      </c>
      <c r="P176" s="1298">
        <v>81.349999999999994</v>
      </c>
      <c r="Q176" s="1298">
        <v>2142</v>
      </c>
      <c r="R176" s="1298">
        <v>2142</v>
      </c>
      <c r="S176" s="1298">
        <v>30</v>
      </c>
      <c r="T176" s="1298">
        <v>12.6</v>
      </c>
      <c r="U176" s="1298">
        <v>22</v>
      </c>
      <c r="V176" s="1298">
        <v>20</v>
      </c>
      <c r="W176" s="1298">
        <v>0</v>
      </c>
      <c r="X176" s="1298">
        <v>0</v>
      </c>
      <c r="Y176" s="1298">
        <v>0</v>
      </c>
      <c r="Z176" s="1298">
        <v>0</v>
      </c>
      <c r="AA176" s="1298">
        <v>0</v>
      </c>
      <c r="AB176" s="1298">
        <v>0</v>
      </c>
      <c r="AC176" s="1298">
        <v>0</v>
      </c>
      <c r="AD176" s="1298">
        <v>0</v>
      </c>
      <c r="AE176" s="1298">
        <v>0</v>
      </c>
      <c r="AF176" s="1298">
        <v>2226.6</v>
      </c>
    </row>
    <row r="177" spans="1:32" ht="15" customHeight="1">
      <c r="A177" s="1294">
        <v>153</v>
      </c>
      <c r="B177" s="1294">
        <v>549</v>
      </c>
      <c r="C177" s="1295" t="s">
        <v>1208</v>
      </c>
      <c r="D177" s="1296" t="s">
        <v>727</v>
      </c>
      <c r="E177" s="1296" t="s">
        <v>716</v>
      </c>
      <c r="F177" s="1297">
        <v>1000</v>
      </c>
      <c r="G177" s="1295" t="s">
        <v>189</v>
      </c>
      <c r="H177" s="1295" t="s">
        <v>1209</v>
      </c>
      <c r="I177" s="1296" t="s">
        <v>1210</v>
      </c>
      <c r="J177" s="1296"/>
      <c r="K177" s="1296" t="s">
        <v>2066</v>
      </c>
      <c r="L177" s="1296" t="s">
        <v>2067</v>
      </c>
      <c r="M177" s="1298">
        <v>2090.6</v>
      </c>
      <c r="N177" s="1298">
        <v>0</v>
      </c>
      <c r="O177" s="1298">
        <v>0</v>
      </c>
      <c r="P177" s="1298">
        <v>95.07</v>
      </c>
      <c r="Q177" s="1298">
        <v>1909</v>
      </c>
      <c r="R177" s="1298">
        <v>1909</v>
      </c>
      <c r="S177" s="1298">
        <v>30</v>
      </c>
      <c r="T177" s="1298">
        <v>12.6</v>
      </c>
      <c r="U177" s="1298">
        <v>22</v>
      </c>
      <c r="V177" s="1298">
        <v>20</v>
      </c>
      <c r="W177" s="1298">
        <v>0</v>
      </c>
      <c r="X177" s="1298">
        <v>0</v>
      </c>
      <c r="Y177" s="1298">
        <v>0</v>
      </c>
      <c r="Z177" s="1298">
        <v>11.5</v>
      </c>
      <c r="AA177" s="1298">
        <v>0</v>
      </c>
      <c r="AB177" s="1298">
        <v>0</v>
      </c>
      <c r="AC177" s="1298">
        <v>0</v>
      </c>
      <c r="AD177" s="1298">
        <v>0</v>
      </c>
      <c r="AE177" s="1298">
        <v>0</v>
      </c>
      <c r="AF177" s="1298">
        <v>2005.1</v>
      </c>
    </row>
    <row r="178" spans="1:32" ht="15" customHeight="1">
      <c r="A178" s="1294">
        <v>123</v>
      </c>
      <c r="B178" s="1294">
        <v>667</v>
      </c>
      <c r="C178" s="1295" t="s">
        <v>1211</v>
      </c>
      <c r="D178" s="1296" t="s">
        <v>2024</v>
      </c>
      <c r="E178" s="1296" t="s">
        <v>716</v>
      </c>
      <c r="F178" s="1297">
        <v>1211</v>
      </c>
      <c r="G178" s="1295" t="s">
        <v>189</v>
      </c>
      <c r="H178" s="1295" t="s">
        <v>1011</v>
      </c>
      <c r="I178" s="1296" t="s">
        <v>856</v>
      </c>
      <c r="J178" s="1296"/>
      <c r="K178" s="1296" t="s">
        <v>856</v>
      </c>
      <c r="L178" s="1296" t="s">
        <v>2246</v>
      </c>
      <c r="M178" s="1298">
        <v>2473.6</v>
      </c>
      <c r="N178" s="1298">
        <v>0</v>
      </c>
      <c r="O178" s="1298">
        <v>0</v>
      </c>
      <c r="P178" s="1298">
        <v>-3014.73</v>
      </c>
      <c r="Q178" s="1298">
        <v>2339</v>
      </c>
      <c r="R178" s="1298">
        <v>2339</v>
      </c>
      <c r="S178" s="1298">
        <v>30</v>
      </c>
      <c r="T178" s="1298">
        <v>12.6</v>
      </c>
      <c r="U178" s="1298">
        <v>22</v>
      </c>
      <c r="V178" s="1298">
        <v>20</v>
      </c>
      <c r="W178" s="1298">
        <v>0</v>
      </c>
      <c r="X178" s="1298">
        <v>50</v>
      </c>
      <c r="Y178" s="1298">
        <v>50</v>
      </c>
      <c r="Z178" s="1298">
        <v>0</v>
      </c>
      <c r="AA178" s="1298">
        <v>0</v>
      </c>
      <c r="AB178" s="1298">
        <v>0</v>
      </c>
      <c r="AC178" s="1298">
        <v>0</v>
      </c>
      <c r="AD178" s="1298">
        <v>0</v>
      </c>
      <c r="AE178" s="1298">
        <v>0</v>
      </c>
      <c r="AF178" s="1298">
        <v>2523.6</v>
      </c>
    </row>
    <row r="179" spans="1:32" ht="15" customHeight="1">
      <c r="A179" s="1294">
        <v>166</v>
      </c>
      <c r="B179" s="1294">
        <v>532</v>
      </c>
      <c r="C179" s="1295" t="s">
        <v>1211</v>
      </c>
      <c r="D179" s="1296" t="s">
        <v>2024</v>
      </c>
      <c r="E179" s="1296" t="s">
        <v>716</v>
      </c>
      <c r="F179" s="1297">
        <v>1211</v>
      </c>
      <c r="G179" s="1295" t="s">
        <v>2135</v>
      </c>
      <c r="H179" s="1295" t="s">
        <v>1212</v>
      </c>
      <c r="I179" s="1296" t="s">
        <v>1213</v>
      </c>
      <c r="J179" s="1296" t="s">
        <v>1599</v>
      </c>
      <c r="K179" s="1296" t="s">
        <v>1095</v>
      </c>
      <c r="L179" s="1296" t="s">
        <v>1901</v>
      </c>
      <c r="M179" s="1298">
        <v>0</v>
      </c>
      <c r="N179" s="1298">
        <v>0</v>
      </c>
      <c r="O179" s="1298">
        <v>0</v>
      </c>
      <c r="P179" s="1298">
        <v>-1.71</v>
      </c>
      <c r="Q179" s="1298">
        <v>2059</v>
      </c>
      <c r="R179" s="1298">
        <v>2059</v>
      </c>
      <c r="S179" s="1298">
        <v>30</v>
      </c>
      <c r="T179" s="1298">
        <v>12.6</v>
      </c>
      <c r="U179" s="1298">
        <v>22</v>
      </c>
      <c r="V179" s="1298">
        <v>20</v>
      </c>
      <c r="W179" s="1298">
        <v>0</v>
      </c>
      <c r="X179" s="1298">
        <v>0</v>
      </c>
      <c r="Y179" s="1298">
        <v>0</v>
      </c>
      <c r="Z179" s="1298">
        <v>11.5</v>
      </c>
      <c r="AA179" s="1298">
        <v>0</v>
      </c>
      <c r="AB179" s="1298">
        <v>0</v>
      </c>
      <c r="AC179" s="1298">
        <v>0</v>
      </c>
      <c r="AD179" s="1298">
        <v>0</v>
      </c>
      <c r="AE179" s="1298">
        <v>0</v>
      </c>
      <c r="AF179" s="1298">
        <v>2155.1</v>
      </c>
    </row>
    <row r="180" spans="1:32" ht="15" customHeight="1">
      <c r="A180" s="1294">
        <v>410</v>
      </c>
      <c r="B180" s="1294">
        <v>596</v>
      </c>
      <c r="C180" s="1295" t="s">
        <v>1214</v>
      </c>
      <c r="D180" s="1296" t="s">
        <v>744</v>
      </c>
      <c r="E180" s="1296" t="s">
        <v>716</v>
      </c>
      <c r="F180" s="1297">
        <v>908</v>
      </c>
      <c r="G180" s="1295" t="s">
        <v>189</v>
      </c>
      <c r="H180" s="1295" t="s">
        <v>2068</v>
      </c>
      <c r="I180" s="1296" t="s">
        <v>1347</v>
      </c>
      <c r="J180" s="1296"/>
      <c r="K180" s="1296" t="s">
        <v>1347</v>
      </c>
      <c r="L180" s="1296" t="s">
        <v>2069</v>
      </c>
      <c r="M180" s="1298">
        <v>1729.6</v>
      </c>
      <c r="N180" s="1298">
        <v>250</v>
      </c>
      <c r="O180" s="1298">
        <v>250</v>
      </c>
      <c r="P180" s="1298">
        <v>5.42</v>
      </c>
      <c r="Q180" s="1298">
        <v>1595</v>
      </c>
      <c r="R180" s="1298">
        <v>1595</v>
      </c>
      <c r="S180" s="1298">
        <v>30</v>
      </c>
      <c r="T180" s="1298">
        <v>12.6</v>
      </c>
      <c r="U180" s="1298">
        <v>22</v>
      </c>
      <c r="V180" s="1298">
        <v>0</v>
      </c>
      <c r="W180" s="1298">
        <v>0</v>
      </c>
      <c r="X180" s="1298">
        <v>0</v>
      </c>
      <c r="Y180" s="1298">
        <v>0</v>
      </c>
      <c r="Z180" s="1298">
        <v>0</v>
      </c>
      <c r="AA180" s="1298">
        <v>0</v>
      </c>
      <c r="AB180" s="1298">
        <v>0</v>
      </c>
      <c r="AC180" s="1298">
        <v>-1595</v>
      </c>
      <c r="AD180" s="1298">
        <v>0</v>
      </c>
      <c r="AE180" s="1298">
        <v>0</v>
      </c>
      <c r="AF180" s="1298">
        <v>64.599999999999994</v>
      </c>
    </row>
    <row r="181" spans="1:32" ht="15" customHeight="1">
      <c r="A181" s="1294">
        <v>90</v>
      </c>
      <c r="B181" s="1294">
        <v>573</v>
      </c>
      <c r="C181" s="1295" t="s">
        <v>1215</v>
      </c>
      <c r="D181" s="1296" t="s">
        <v>723</v>
      </c>
      <c r="E181" s="1296" t="s">
        <v>716</v>
      </c>
      <c r="F181" s="1297">
        <v>1156</v>
      </c>
      <c r="G181" s="1295" t="s">
        <v>189</v>
      </c>
      <c r="H181" s="1295" t="s">
        <v>1216</v>
      </c>
      <c r="I181" s="1296" t="s">
        <v>1217</v>
      </c>
      <c r="J181" s="1296"/>
      <c r="K181" s="1296" t="s">
        <v>2247</v>
      </c>
      <c r="L181" s="1296" t="s">
        <v>2248</v>
      </c>
      <c r="M181" s="1298">
        <v>2268.6</v>
      </c>
      <c r="N181" s="1298">
        <v>0</v>
      </c>
      <c r="O181" s="1298">
        <v>0</v>
      </c>
      <c r="P181" s="1298">
        <v>35.94</v>
      </c>
      <c r="Q181" s="1298">
        <v>2239</v>
      </c>
      <c r="R181" s="1298">
        <v>2239</v>
      </c>
      <c r="S181" s="1298">
        <v>30</v>
      </c>
      <c r="T181" s="1298">
        <v>12.6</v>
      </c>
      <c r="U181" s="1298">
        <v>22</v>
      </c>
      <c r="V181" s="1298">
        <v>20</v>
      </c>
      <c r="W181" s="1298">
        <v>0</v>
      </c>
      <c r="X181" s="1298">
        <v>0</v>
      </c>
      <c r="Y181" s="1298">
        <v>0</v>
      </c>
      <c r="Z181" s="1298">
        <v>0</v>
      </c>
      <c r="AA181" s="1298">
        <v>0</v>
      </c>
      <c r="AB181" s="1298">
        <v>0</v>
      </c>
      <c r="AC181" s="1298">
        <v>0</v>
      </c>
      <c r="AD181" s="1298">
        <v>0</v>
      </c>
      <c r="AE181" s="1298">
        <v>0</v>
      </c>
      <c r="AF181" s="1298">
        <v>2323.6</v>
      </c>
    </row>
    <row r="182" spans="1:32" ht="15" customHeight="1">
      <c r="A182" s="1294">
        <v>416</v>
      </c>
      <c r="B182" s="1294">
        <v>606</v>
      </c>
      <c r="C182" s="1295" t="s">
        <v>1219</v>
      </c>
      <c r="D182" s="1296" t="s">
        <v>2005</v>
      </c>
      <c r="E182" s="1296" t="s">
        <v>716</v>
      </c>
      <c r="F182" s="1297">
        <v>1102</v>
      </c>
      <c r="G182" s="1295" t="s">
        <v>189</v>
      </c>
      <c r="H182" s="1295" t="s">
        <v>2070</v>
      </c>
      <c r="I182" s="1296" t="s">
        <v>1599</v>
      </c>
      <c r="J182" s="1296"/>
      <c r="K182" s="1296" t="s">
        <v>1599</v>
      </c>
      <c r="L182" s="1296" t="s">
        <v>2071</v>
      </c>
      <c r="M182" s="1298">
        <v>2255.6</v>
      </c>
      <c r="N182" s="1298">
        <v>500</v>
      </c>
      <c r="O182" s="1298">
        <v>500</v>
      </c>
      <c r="P182" s="1298">
        <v>0</v>
      </c>
      <c r="Q182" s="1298">
        <v>2121</v>
      </c>
      <c r="R182" s="1298">
        <v>2121</v>
      </c>
      <c r="S182" s="1298">
        <v>30</v>
      </c>
      <c r="T182" s="1298">
        <v>12.6</v>
      </c>
      <c r="U182" s="1298">
        <v>22</v>
      </c>
      <c r="V182" s="1298">
        <v>0</v>
      </c>
      <c r="W182" s="1298">
        <v>0</v>
      </c>
      <c r="X182" s="1298">
        <v>0</v>
      </c>
      <c r="Y182" s="1298">
        <v>0</v>
      </c>
      <c r="Z182" s="1298">
        <v>0</v>
      </c>
      <c r="AA182" s="1298">
        <v>0</v>
      </c>
      <c r="AB182" s="1298">
        <v>0</v>
      </c>
      <c r="AC182" s="1298">
        <v>0</v>
      </c>
      <c r="AD182" s="1298">
        <v>0</v>
      </c>
      <c r="AE182" s="1298">
        <v>0</v>
      </c>
      <c r="AF182" s="1298">
        <v>2185.6</v>
      </c>
    </row>
    <row r="183" spans="1:32" ht="15" customHeight="1">
      <c r="A183" s="1294">
        <v>346</v>
      </c>
      <c r="B183" s="1294">
        <v>405</v>
      </c>
      <c r="C183" s="1295" t="s">
        <v>1220</v>
      </c>
      <c r="D183" s="1296" t="s">
        <v>744</v>
      </c>
      <c r="E183" s="1296" t="s">
        <v>716</v>
      </c>
      <c r="F183" s="1297">
        <v>908</v>
      </c>
      <c r="G183" s="1295" t="s">
        <v>189</v>
      </c>
      <c r="H183" s="1295" t="s">
        <v>1397</v>
      </c>
      <c r="I183" s="1296" t="s">
        <v>944</v>
      </c>
      <c r="J183" s="1296"/>
      <c r="K183" s="1296" t="s">
        <v>944</v>
      </c>
      <c r="L183" s="1296" t="s">
        <v>1828</v>
      </c>
      <c r="M183" s="1298">
        <v>1724.6</v>
      </c>
      <c r="N183" s="1298">
        <v>0</v>
      </c>
      <c r="O183" s="1298">
        <v>0</v>
      </c>
      <c r="P183" s="1298">
        <v>67.78</v>
      </c>
      <c r="Q183" s="1298">
        <v>1640</v>
      </c>
      <c r="R183" s="1298">
        <v>1640</v>
      </c>
      <c r="S183" s="1298">
        <v>30</v>
      </c>
      <c r="T183" s="1298">
        <v>12.6</v>
      </c>
      <c r="U183" s="1298">
        <v>22</v>
      </c>
      <c r="V183" s="1298">
        <v>0</v>
      </c>
      <c r="W183" s="1298">
        <v>0</v>
      </c>
      <c r="X183" s="1298">
        <v>0</v>
      </c>
      <c r="Y183" s="1298">
        <v>0</v>
      </c>
      <c r="Z183" s="1298">
        <v>0</v>
      </c>
      <c r="AA183" s="1298">
        <v>0</v>
      </c>
      <c r="AB183" s="1298">
        <v>0</v>
      </c>
      <c r="AC183" s="1298">
        <v>0</v>
      </c>
      <c r="AD183" s="1298">
        <v>0</v>
      </c>
      <c r="AE183" s="1298">
        <v>0</v>
      </c>
      <c r="AF183" s="1298">
        <v>1704.6</v>
      </c>
    </row>
    <row r="184" spans="1:32" ht="15" customHeight="1">
      <c r="A184" s="1294">
        <v>94</v>
      </c>
      <c r="B184" s="1294">
        <v>669</v>
      </c>
      <c r="C184" s="1295" t="s">
        <v>1221</v>
      </c>
      <c r="D184" s="1296" t="s">
        <v>2009</v>
      </c>
      <c r="E184" s="1296" t="s">
        <v>716</v>
      </c>
      <c r="F184" s="1297">
        <v>791</v>
      </c>
      <c r="G184" s="1295" t="s">
        <v>189</v>
      </c>
      <c r="H184" s="1295" t="s">
        <v>796</v>
      </c>
      <c r="I184" s="1296" t="s">
        <v>2249</v>
      </c>
      <c r="J184" s="1296"/>
      <c r="K184" s="1296" t="s">
        <v>2249</v>
      </c>
      <c r="L184" s="1296" t="s">
        <v>797</v>
      </c>
      <c r="M184" s="1298">
        <v>2036.6</v>
      </c>
      <c r="N184" s="1298">
        <v>0</v>
      </c>
      <c r="O184" s="1298">
        <v>0</v>
      </c>
      <c r="P184" s="1298">
        <v>-1357</v>
      </c>
      <c r="Q184" s="1298">
        <v>1902</v>
      </c>
      <c r="R184" s="1298">
        <v>1902</v>
      </c>
      <c r="S184" s="1298">
        <v>30</v>
      </c>
      <c r="T184" s="1298">
        <v>12.6</v>
      </c>
      <c r="U184" s="1298">
        <v>22</v>
      </c>
      <c r="V184" s="1298">
        <v>20</v>
      </c>
      <c r="W184" s="1298">
        <v>0</v>
      </c>
      <c r="X184" s="1298">
        <v>35</v>
      </c>
      <c r="Y184" s="1298">
        <v>50</v>
      </c>
      <c r="Z184" s="1298">
        <v>0</v>
      </c>
      <c r="AA184" s="1298">
        <v>0</v>
      </c>
      <c r="AB184" s="1298">
        <v>0</v>
      </c>
      <c r="AC184" s="1298">
        <v>0</v>
      </c>
      <c r="AD184" s="1298">
        <v>0</v>
      </c>
      <c r="AE184" s="1298">
        <v>0</v>
      </c>
      <c r="AF184" s="1298">
        <v>2071.6</v>
      </c>
    </row>
    <row r="185" spans="1:32" ht="15" customHeight="1">
      <c r="A185" s="1294">
        <v>258</v>
      </c>
      <c r="B185" s="1294">
        <v>420</v>
      </c>
      <c r="C185" s="1295" t="s">
        <v>1223</v>
      </c>
      <c r="D185" s="1296" t="s">
        <v>2010</v>
      </c>
      <c r="E185" s="1296" t="s">
        <v>716</v>
      </c>
      <c r="F185" s="1297">
        <v>958</v>
      </c>
      <c r="G185" s="1295" t="s">
        <v>189</v>
      </c>
      <c r="H185" s="1295" t="s">
        <v>1224</v>
      </c>
      <c r="I185" s="1296" t="s">
        <v>1225</v>
      </c>
      <c r="J185" s="1296"/>
      <c r="K185" s="1296" t="s">
        <v>961</v>
      </c>
      <c r="L185" s="1296" t="s">
        <v>1405</v>
      </c>
      <c r="M185" s="1298">
        <v>1940.6</v>
      </c>
      <c r="N185" s="1298">
        <v>0</v>
      </c>
      <c r="O185" s="1298">
        <v>0</v>
      </c>
      <c r="P185" s="1298">
        <v>78.58</v>
      </c>
      <c r="Q185" s="1298">
        <v>1856</v>
      </c>
      <c r="R185" s="1298">
        <v>1856</v>
      </c>
      <c r="S185" s="1298">
        <v>25</v>
      </c>
      <c r="T185" s="1298">
        <v>11.5</v>
      </c>
      <c r="U185" s="1298">
        <v>17</v>
      </c>
      <c r="V185" s="1298">
        <v>20</v>
      </c>
      <c r="W185" s="1298">
        <v>0</v>
      </c>
      <c r="X185" s="1298">
        <v>0</v>
      </c>
      <c r="Y185" s="1298">
        <v>0</v>
      </c>
      <c r="Z185" s="1298">
        <v>0</v>
      </c>
      <c r="AA185" s="1298">
        <v>0</v>
      </c>
      <c r="AB185" s="1298">
        <v>0</v>
      </c>
      <c r="AC185" s="1298">
        <v>0</v>
      </c>
      <c r="AD185" s="1298">
        <v>0</v>
      </c>
      <c r="AE185" s="1298">
        <v>0</v>
      </c>
      <c r="AF185" s="1298">
        <v>1929.5</v>
      </c>
    </row>
    <row r="186" spans="1:32" ht="15" customHeight="1">
      <c r="A186" s="1294">
        <v>42</v>
      </c>
      <c r="B186" s="1294">
        <v>570</v>
      </c>
      <c r="C186" s="1295" t="s">
        <v>1227</v>
      </c>
      <c r="D186" s="1296" t="s">
        <v>753</v>
      </c>
      <c r="E186" s="1296" t="s">
        <v>716</v>
      </c>
      <c r="F186" s="1297">
        <v>609</v>
      </c>
      <c r="G186" s="1295" t="s">
        <v>189</v>
      </c>
      <c r="H186" s="1295" t="s">
        <v>1228</v>
      </c>
      <c r="I186" s="1296" t="s">
        <v>1229</v>
      </c>
      <c r="J186" s="1296"/>
      <c r="K186" s="1296" t="s">
        <v>2014</v>
      </c>
      <c r="L186" s="1296" t="s">
        <v>2049</v>
      </c>
      <c r="M186" s="1298">
        <v>1651.6</v>
      </c>
      <c r="N186" s="1298">
        <v>0</v>
      </c>
      <c r="O186" s="1298">
        <v>0</v>
      </c>
      <c r="P186" s="1298">
        <v>71.680000000000007</v>
      </c>
      <c r="Q186" s="1298">
        <v>1427</v>
      </c>
      <c r="R186" s="1298">
        <v>1427</v>
      </c>
      <c r="S186" s="1298">
        <v>30</v>
      </c>
      <c r="T186" s="1298">
        <v>12.6</v>
      </c>
      <c r="U186" s="1298">
        <v>22</v>
      </c>
      <c r="V186" s="1298">
        <v>20</v>
      </c>
      <c r="W186" s="1298">
        <v>0</v>
      </c>
      <c r="X186" s="1298">
        <v>0</v>
      </c>
      <c r="Y186" s="1298">
        <v>0</v>
      </c>
      <c r="Z186" s="1298">
        <v>0</v>
      </c>
      <c r="AA186" s="1298">
        <v>0</v>
      </c>
      <c r="AB186" s="1298">
        <v>0</v>
      </c>
      <c r="AC186" s="1298">
        <v>0</v>
      </c>
      <c r="AD186" s="1298">
        <v>0</v>
      </c>
      <c r="AE186" s="1298">
        <v>0</v>
      </c>
      <c r="AF186" s="1298">
        <v>1511.6</v>
      </c>
    </row>
    <row r="187" spans="1:32" ht="15" customHeight="1">
      <c r="A187" s="1294">
        <v>315</v>
      </c>
      <c r="B187" s="1294">
        <v>675</v>
      </c>
      <c r="C187" s="1295" t="s">
        <v>1231</v>
      </c>
      <c r="D187" s="1296" t="s">
        <v>759</v>
      </c>
      <c r="E187" s="1296" t="s">
        <v>716</v>
      </c>
      <c r="F187" s="1297">
        <v>813</v>
      </c>
      <c r="G187" s="1295" t="s">
        <v>189</v>
      </c>
      <c r="H187" s="1295" t="s">
        <v>918</v>
      </c>
      <c r="I187" s="1296" t="s">
        <v>2249</v>
      </c>
      <c r="J187" s="1296"/>
      <c r="K187" s="1296" t="s">
        <v>2249</v>
      </c>
      <c r="L187" s="1296" t="s">
        <v>2250</v>
      </c>
      <c r="M187" s="1298">
        <v>2080.6</v>
      </c>
      <c r="N187" s="1298">
        <v>0</v>
      </c>
      <c r="O187" s="1298">
        <v>0</v>
      </c>
      <c r="P187" s="1298">
        <v>-3920.48</v>
      </c>
      <c r="Q187" s="1298">
        <v>1946</v>
      </c>
      <c r="R187" s="1298">
        <v>1946</v>
      </c>
      <c r="S187" s="1298">
        <v>30</v>
      </c>
      <c r="T187" s="1298">
        <v>12.6</v>
      </c>
      <c r="U187" s="1298">
        <v>22</v>
      </c>
      <c r="V187" s="1298">
        <v>20</v>
      </c>
      <c r="W187" s="1298">
        <v>0</v>
      </c>
      <c r="X187" s="1298">
        <v>0</v>
      </c>
      <c r="Y187" s="1298">
        <v>50</v>
      </c>
      <c r="Z187" s="1298">
        <v>0</v>
      </c>
      <c r="AA187" s="1298">
        <v>0</v>
      </c>
      <c r="AB187" s="1298">
        <v>0</v>
      </c>
      <c r="AC187" s="1298">
        <v>0</v>
      </c>
      <c r="AD187" s="1298">
        <v>0</v>
      </c>
      <c r="AE187" s="1298">
        <v>0</v>
      </c>
      <c r="AF187" s="1298">
        <v>2080.6</v>
      </c>
    </row>
    <row r="188" spans="1:32" ht="15" customHeight="1">
      <c r="A188" s="1294">
        <v>18</v>
      </c>
      <c r="B188" s="1294">
        <v>18</v>
      </c>
      <c r="C188" s="1295" t="s">
        <v>1234</v>
      </c>
      <c r="D188" s="1296" t="s">
        <v>890</v>
      </c>
      <c r="E188" s="1296" t="s">
        <v>716</v>
      </c>
      <c r="F188" s="1297">
        <v>1539</v>
      </c>
      <c r="G188" s="1295" t="s">
        <v>189</v>
      </c>
      <c r="H188" s="1295" t="s">
        <v>1235</v>
      </c>
      <c r="I188" s="1296" t="s">
        <v>1236</v>
      </c>
      <c r="J188" s="1296"/>
      <c r="K188" s="1296" t="s">
        <v>1132</v>
      </c>
      <c r="L188" s="1296" t="s">
        <v>1237</v>
      </c>
      <c r="M188" s="1298">
        <v>2863.6</v>
      </c>
      <c r="N188" s="1298">
        <v>200</v>
      </c>
      <c r="O188" s="1298">
        <v>200</v>
      </c>
      <c r="P188" s="1298">
        <v>-145.44999999999999</v>
      </c>
      <c r="Q188" s="1298">
        <v>2900</v>
      </c>
      <c r="R188" s="1298">
        <v>2900</v>
      </c>
      <c r="S188" s="1298">
        <v>30</v>
      </c>
      <c r="T188" s="1298">
        <v>12.6</v>
      </c>
      <c r="U188" s="1298">
        <v>22</v>
      </c>
      <c r="V188" s="1298">
        <v>20</v>
      </c>
      <c r="W188" s="1298">
        <v>0</v>
      </c>
      <c r="X188" s="1298">
        <v>0</v>
      </c>
      <c r="Y188" s="1298">
        <v>0</v>
      </c>
      <c r="Z188" s="1298">
        <v>0</v>
      </c>
      <c r="AA188" s="1298">
        <v>350</v>
      </c>
      <c r="AB188" s="1298">
        <v>0</v>
      </c>
      <c r="AC188" s="1298">
        <v>0</v>
      </c>
      <c r="AD188" s="1298">
        <v>0</v>
      </c>
      <c r="AE188" s="1298">
        <v>0</v>
      </c>
      <c r="AF188" s="1298">
        <v>3334.6</v>
      </c>
    </row>
    <row r="189" spans="1:32" ht="15" customHeight="1">
      <c r="A189" s="1294">
        <v>23</v>
      </c>
      <c r="B189" s="1294">
        <v>23</v>
      </c>
      <c r="C189" s="1295" t="s">
        <v>1238</v>
      </c>
      <c r="D189" s="1296" t="s">
        <v>2030</v>
      </c>
      <c r="E189" s="1296" t="s">
        <v>716</v>
      </c>
      <c r="F189" s="1297">
        <v>1238</v>
      </c>
      <c r="G189" s="1295" t="s">
        <v>189</v>
      </c>
      <c r="H189" s="1295" t="s">
        <v>1239</v>
      </c>
      <c r="I189" s="1296" t="s">
        <v>1240</v>
      </c>
      <c r="J189" s="1296"/>
      <c r="K189" s="1296" t="s">
        <v>1241</v>
      </c>
      <c r="L189" s="1296" t="s">
        <v>1242</v>
      </c>
      <c r="M189" s="1298">
        <v>2533.6</v>
      </c>
      <c r="N189" s="1298">
        <v>200</v>
      </c>
      <c r="O189" s="1298">
        <v>200</v>
      </c>
      <c r="P189" s="1298">
        <v>35.799999999999997</v>
      </c>
      <c r="Q189" s="1298">
        <v>2471</v>
      </c>
      <c r="R189" s="1298">
        <v>2471</v>
      </c>
      <c r="S189" s="1298">
        <v>25</v>
      </c>
      <c r="T189" s="1298">
        <v>12.6</v>
      </c>
      <c r="U189" s="1298">
        <v>17</v>
      </c>
      <c r="V189" s="1298">
        <v>20</v>
      </c>
      <c r="W189" s="1298">
        <v>0</v>
      </c>
      <c r="X189" s="1298">
        <v>0</v>
      </c>
      <c r="Y189" s="1298">
        <v>0</v>
      </c>
      <c r="Z189" s="1298">
        <v>0</v>
      </c>
      <c r="AA189" s="1298">
        <v>0</v>
      </c>
      <c r="AB189" s="1298">
        <v>0</v>
      </c>
      <c r="AC189" s="1298">
        <v>0</v>
      </c>
      <c r="AD189" s="1298">
        <v>0</v>
      </c>
      <c r="AE189" s="1298">
        <v>0</v>
      </c>
      <c r="AF189" s="1298">
        <v>2545.6</v>
      </c>
    </row>
    <row r="190" spans="1:32" ht="15" customHeight="1">
      <c r="A190" s="1294">
        <v>412</v>
      </c>
      <c r="B190" s="1294">
        <v>598</v>
      </c>
      <c r="C190" s="1295" t="s">
        <v>1243</v>
      </c>
      <c r="D190" s="1296" t="s">
        <v>1009</v>
      </c>
      <c r="E190" s="1296" t="s">
        <v>716</v>
      </c>
      <c r="F190" s="1297">
        <v>851</v>
      </c>
      <c r="G190" s="1295" t="s">
        <v>189</v>
      </c>
      <c r="H190" s="1295" t="s">
        <v>2074</v>
      </c>
      <c r="I190" s="1296" t="s">
        <v>939</v>
      </c>
      <c r="J190" s="1296"/>
      <c r="K190" s="1296" t="s">
        <v>939</v>
      </c>
      <c r="L190" s="1296" t="s">
        <v>2075</v>
      </c>
      <c r="M190" s="1298">
        <v>1870.6</v>
      </c>
      <c r="N190" s="1298">
        <v>250</v>
      </c>
      <c r="O190" s="1298">
        <v>250</v>
      </c>
      <c r="P190" s="1298">
        <v>-1800.6</v>
      </c>
      <c r="Q190" s="1298">
        <v>1736</v>
      </c>
      <c r="R190" s="1298">
        <v>1736</v>
      </c>
      <c r="S190" s="1298">
        <v>30</v>
      </c>
      <c r="T190" s="1298">
        <v>12.6</v>
      </c>
      <c r="U190" s="1298">
        <v>22</v>
      </c>
      <c r="V190" s="1298">
        <v>0</v>
      </c>
      <c r="W190" s="1298">
        <v>0</v>
      </c>
      <c r="X190" s="1298">
        <v>0</v>
      </c>
      <c r="Y190" s="1298">
        <v>0</v>
      </c>
      <c r="Z190" s="1298">
        <v>0</v>
      </c>
      <c r="AA190" s="1298">
        <v>0</v>
      </c>
      <c r="AB190" s="1298">
        <v>0</v>
      </c>
      <c r="AC190" s="1298">
        <v>0</v>
      </c>
      <c r="AD190" s="1298">
        <v>0</v>
      </c>
      <c r="AE190" s="1298">
        <v>0</v>
      </c>
      <c r="AF190" s="1298">
        <v>1800.6</v>
      </c>
    </row>
    <row r="191" spans="1:32" ht="15" customHeight="1">
      <c r="A191" s="1294">
        <v>169</v>
      </c>
      <c r="B191" s="1294">
        <v>575</v>
      </c>
      <c r="C191" s="1295" t="s">
        <v>1246</v>
      </c>
      <c r="D191" s="1296" t="s">
        <v>840</v>
      </c>
      <c r="E191" s="1296" t="s">
        <v>716</v>
      </c>
      <c r="F191" s="1297">
        <v>1235</v>
      </c>
      <c r="G191" s="1295" t="s">
        <v>189</v>
      </c>
      <c r="H191" s="1295" t="s">
        <v>1247</v>
      </c>
      <c r="I191" s="1296" t="s">
        <v>1248</v>
      </c>
      <c r="J191" s="1296"/>
      <c r="K191" s="1296" t="s">
        <v>1588</v>
      </c>
      <c r="L191" s="1296" t="s">
        <v>2049</v>
      </c>
      <c r="M191" s="1298">
        <v>2513.6</v>
      </c>
      <c r="N191" s="1298">
        <v>0</v>
      </c>
      <c r="O191" s="1298">
        <v>0</v>
      </c>
      <c r="P191" s="1298">
        <v>-2439.06</v>
      </c>
      <c r="Q191" s="1298">
        <v>2305</v>
      </c>
      <c r="R191" s="1298">
        <v>2305</v>
      </c>
      <c r="S191" s="1298">
        <v>30</v>
      </c>
      <c r="T191" s="1298">
        <v>12.6</v>
      </c>
      <c r="U191" s="1298">
        <v>22</v>
      </c>
      <c r="V191" s="1298">
        <v>20</v>
      </c>
      <c r="W191" s="1298">
        <v>0</v>
      </c>
      <c r="X191" s="1298">
        <v>0</v>
      </c>
      <c r="Y191" s="1298">
        <v>0</v>
      </c>
      <c r="Z191" s="1298">
        <v>0</v>
      </c>
      <c r="AA191" s="1298">
        <v>0</v>
      </c>
      <c r="AB191" s="1298">
        <v>0</v>
      </c>
      <c r="AC191" s="1298">
        <v>0</v>
      </c>
      <c r="AD191" s="1298">
        <v>0</v>
      </c>
      <c r="AE191" s="1298">
        <v>0</v>
      </c>
      <c r="AF191" s="1298">
        <v>2389.6</v>
      </c>
    </row>
    <row r="192" spans="1:32" ht="15" customHeight="1">
      <c r="A192" s="1294">
        <v>129</v>
      </c>
      <c r="B192" s="1294">
        <v>137</v>
      </c>
      <c r="C192" s="1295" t="s">
        <v>1249</v>
      </c>
      <c r="D192" s="1296" t="s">
        <v>2031</v>
      </c>
      <c r="E192" s="1296" t="s">
        <v>716</v>
      </c>
      <c r="F192" s="1297">
        <v>932</v>
      </c>
      <c r="G192" s="1295" t="s">
        <v>189</v>
      </c>
      <c r="H192" s="1295" t="s">
        <v>1250</v>
      </c>
      <c r="I192" s="1296" t="s">
        <v>1251</v>
      </c>
      <c r="J192" s="1296"/>
      <c r="K192" s="1296" t="s">
        <v>1252</v>
      </c>
      <c r="L192" s="1296" t="s">
        <v>1012</v>
      </c>
      <c r="M192" s="1298">
        <v>2025.6</v>
      </c>
      <c r="N192" s="1298">
        <v>0</v>
      </c>
      <c r="O192" s="1298">
        <v>0</v>
      </c>
      <c r="P192" s="1298">
        <v>71.77</v>
      </c>
      <c r="Q192" s="1298">
        <v>1917</v>
      </c>
      <c r="R192" s="1298">
        <v>1917</v>
      </c>
      <c r="S192" s="1298">
        <v>25</v>
      </c>
      <c r="T192" s="1298">
        <v>12.6</v>
      </c>
      <c r="U192" s="1298">
        <v>21</v>
      </c>
      <c r="V192" s="1298">
        <v>20</v>
      </c>
      <c r="W192" s="1298">
        <v>25</v>
      </c>
      <c r="X192" s="1298">
        <v>0</v>
      </c>
      <c r="Y192" s="1298">
        <v>0</v>
      </c>
      <c r="Z192" s="1298">
        <v>0</v>
      </c>
      <c r="AA192" s="1298">
        <v>0</v>
      </c>
      <c r="AB192" s="1298">
        <v>0</v>
      </c>
      <c r="AC192" s="1298">
        <v>0</v>
      </c>
      <c r="AD192" s="1298">
        <v>0</v>
      </c>
      <c r="AE192" s="1298">
        <v>0</v>
      </c>
      <c r="AF192" s="1298">
        <v>2020.6</v>
      </c>
    </row>
    <row r="193" spans="1:32" ht="15" customHeight="1">
      <c r="A193" s="1294">
        <v>233</v>
      </c>
      <c r="B193" s="1294">
        <v>458</v>
      </c>
      <c r="C193" s="1295" t="s">
        <v>1253</v>
      </c>
      <c r="D193" s="1296" t="s">
        <v>840</v>
      </c>
      <c r="E193" s="1296" t="s">
        <v>716</v>
      </c>
      <c r="F193" s="1297">
        <v>1235</v>
      </c>
      <c r="G193" s="1295" t="s">
        <v>189</v>
      </c>
      <c r="H193" s="1295" t="s">
        <v>1254</v>
      </c>
      <c r="I193" s="1296" t="s">
        <v>1255</v>
      </c>
      <c r="J193" s="1296"/>
      <c r="K193" s="1296" t="s">
        <v>1865</v>
      </c>
      <c r="L193" s="1296" t="s">
        <v>1845</v>
      </c>
      <c r="M193" s="1298">
        <v>2513.6</v>
      </c>
      <c r="N193" s="1298">
        <v>0</v>
      </c>
      <c r="O193" s="1298">
        <v>0</v>
      </c>
      <c r="P193" s="1298">
        <v>64.69</v>
      </c>
      <c r="Q193" s="1298">
        <v>2383</v>
      </c>
      <c r="R193" s="1298">
        <v>2383</v>
      </c>
      <c r="S193" s="1298">
        <v>25</v>
      </c>
      <c r="T193" s="1298">
        <v>12.6</v>
      </c>
      <c r="U193" s="1298">
        <v>17</v>
      </c>
      <c r="V193" s="1298">
        <v>20</v>
      </c>
      <c r="W193" s="1298">
        <v>0</v>
      </c>
      <c r="X193" s="1298">
        <v>0</v>
      </c>
      <c r="Y193" s="1298">
        <v>0</v>
      </c>
      <c r="Z193" s="1298">
        <v>11.5</v>
      </c>
      <c r="AA193" s="1298">
        <v>0</v>
      </c>
      <c r="AB193" s="1298">
        <v>0</v>
      </c>
      <c r="AC193" s="1298">
        <v>0</v>
      </c>
      <c r="AD193" s="1298">
        <v>0</v>
      </c>
      <c r="AE193" s="1298">
        <v>0</v>
      </c>
      <c r="AF193" s="1298">
        <v>2469.1</v>
      </c>
    </row>
    <row r="194" spans="1:32" ht="15" customHeight="1">
      <c r="A194" s="1294">
        <v>371</v>
      </c>
      <c r="B194" s="1294">
        <v>504</v>
      </c>
      <c r="C194" s="1295" t="s">
        <v>1257</v>
      </c>
      <c r="D194" s="1296" t="s">
        <v>2012</v>
      </c>
      <c r="E194" s="1296" t="s">
        <v>716</v>
      </c>
      <c r="F194" s="1297">
        <v>1037</v>
      </c>
      <c r="G194" s="1295" t="s">
        <v>189</v>
      </c>
      <c r="H194" s="1295" t="s">
        <v>1866</v>
      </c>
      <c r="I194" s="1296" t="s">
        <v>1867</v>
      </c>
      <c r="J194" s="1296"/>
      <c r="K194" s="1296" t="s">
        <v>1867</v>
      </c>
      <c r="L194" s="1296" t="s">
        <v>1868</v>
      </c>
      <c r="M194" s="1298">
        <v>2105.6</v>
      </c>
      <c r="N194" s="1298">
        <v>250</v>
      </c>
      <c r="O194" s="1298">
        <v>250</v>
      </c>
      <c r="P194" s="1298">
        <v>76.12</v>
      </c>
      <c r="Q194" s="1298">
        <v>1941</v>
      </c>
      <c r="R194" s="1298">
        <v>1941</v>
      </c>
      <c r="S194" s="1298">
        <v>30</v>
      </c>
      <c r="T194" s="1298">
        <v>12.6</v>
      </c>
      <c r="U194" s="1298">
        <v>22</v>
      </c>
      <c r="V194" s="1298">
        <v>0</v>
      </c>
      <c r="W194" s="1298">
        <v>0</v>
      </c>
      <c r="X194" s="1298">
        <v>0</v>
      </c>
      <c r="Y194" s="1298">
        <v>0</v>
      </c>
      <c r="Z194" s="1298">
        <v>0</v>
      </c>
      <c r="AA194" s="1298">
        <v>0</v>
      </c>
      <c r="AB194" s="1298">
        <v>0</v>
      </c>
      <c r="AC194" s="1298">
        <v>0</v>
      </c>
      <c r="AD194" s="1298">
        <v>0</v>
      </c>
      <c r="AE194" s="1298">
        <v>0</v>
      </c>
      <c r="AF194" s="1298">
        <v>2005.6</v>
      </c>
    </row>
    <row r="195" spans="1:32" ht="15" customHeight="1">
      <c r="A195" s="1294">
        <v>70</v>
      </c>
      <c r="B195" s="1294">
        <v>495</v>
      </c>
      <c r="C195" s="1295" t="s">
        <v>1258</v>
      </c>
      <c r="D195" s="1296" t="s">
        <v>772</v>
      </c>
      <c r="E195" s="1296" t="s">
        <v>716</v>
      </c>
      <c r="F195" s="1297">
        <v>937</v>
      </c>
      <c r="G195" s="1295" t="s">
        <v>189</v>
      </c>
      <c r="H195" s="1295" t="s">
        <v>1259</v>
      </c>
      <c r="I195" s="1296" t="s">
        <v>1260</v>
      </c>
      <c r="J195" s="1296"/>
      <c r="K195" s="1296" t="s">
        <v>1044</v>
      </c>
      <c r="L195" s="1296" t="s">
        <v>1838</v>
      </c>
      <c r="M195" s="1298">
        <v>2020.6</v>
      </c>
      <c r="N195" s="1298">
        <v>0</v>
      </c>
      <c r="O195" s="1298">
        <v>0</v>
      </c>
      <c r="P195" s="1298">
        <v>0</v>
      </c>
      <c r="Q195" s="1298">
        <v>1866</v>
      </c>
      <c r="R195" s="1298">
        <v>1866</v>
      </c>
      <c r="S195" s="1298">
        <v>25</v>
      </c>
      <c r="T195" s="1298">
        <v>12.6</v>
      </c>
      <c r="U195" s="1298">
        <v>17</v>
      </c>
      <c r="V195" s="1298">
        <v>20</v>
      </c>
      <c r="W195" s="1298">
        <v>0</v>
      </c>
      <c r="X195" s="1298">
        <v>0</v>
      </c>
      <c r="Y195" s="1298">
        <v>0</v>
      </c>
      <c r="Z195" s="1298">
        <v>11.5</v>
      </c>
      <c r="AA195" s="1298">
        <v>0</v>
      </c>
      <c r="AB195" s="1298">
        <v>0</v>
      </c>
      <c r="AC195" s="1298">
        <v>0</v>
      </c>
      <c r="AD195" s="1298">
        <v>0</v>
      </c>
      <c r="AE195" s="1298">
        <v>0</v>
      </c>
      <c r="AF195" s="1298">
        <v>1952.1</v>
      </c>
    </row>
    <row r="196" spans="1:32" ht="15" customHeight="1">
      <c r="A196" s="1294">
        <v>48</v>
      </c>
      <c r="B196" s="1294">
        <v>474</v>
      </c>
      <c r="C196" s="1295" t="s">
        <v>1261</v>
      </c>
      <c r="D196" s="1296" t="s">
        <v>775</v>
      </c>
      <c r="E196" s="1296" t="s">
        <v>716</v>
      </c>
      <c r="F196" s="1297">
        <v>1219</v>
      </c>
      <c r="G196" s="1295" t="s">
        <v>189</v>
      </c>
      <c r="H196" s="1295" t="s">
        <v>1262</v>
      </c>
      <c r="I196" s="1296" t="s">
        <v>1263</v>
      </c>
      <c r="J196" s="1296"/>
      <c r="K196" s="1296" t="s">
        <v>1398</v>
      </c>
      <c r="L196" s="1296" t="s">
        <v>1838</v>
      </c>
      <c r="M196" s="1298">
        <v>2513.6</v>
      </c>
      <c r="N196" s="1298">
        <v>0</v>
      </c>
      <c r="O196" s="1298">
        <v>0</v>
      </c>
      <c r="P196" s="1298">
        <v>88.7</v>
      </c>
      <c r="Q196" s="1298">
        <v>2185</v>
      </c>
      <c r="R196" s="1298">
        <v>2185</v>
      </c>
      <c r="S196" s="1298">
        <v>25</v>
      </c>
      <c r="T196" s="1298">
        <v>12.6</v>
      </c>
      <c r="U196" s="1298">
        <v>20</v>
      </c>
      <c r="V196" s="1298">
        <v>20</v>
      </c>
      <c r="W196" s="1298">
        <v>50</v>
      </c>
      <c r="X196" s="1298">
        <v>0</v>
      </c>
      <c r="Y196" s="1298">
        <v>0</v>
      </c>
      <c r="Z196" s="1298">
        <v>0</v>
      </c>
      <c r="AA196" s="1298">
        <v>0</v>
      </c>
      <c r="AB196" s="1298">
        <v>0</v>
      </c>
      <c r="AC196" s="1298">
        <v>0</v>
      </c>
      <c r="AD196" s="1298">
        <v>0</v>
      </c>
      <c r="AE196" s="1298">
        <v>0</v>
      </c>
      <c r="AF196" s="1298">
        <v>2312.6</v>
      </c>
    </row>
    <row r="197" spans="1:32" ht="15" customHeight="1">
      <c r="A197" s="1294">
        <v>20</v>
      </c>
      <c r="B197" s="1294">
        <v>511</v>
      </c>
      <c r="C197" s="1295" t="s">
        <v>1264</v>
      </c>
      <c r="D197" s="1296" t="s">
        <v>781</v>
      </c>
      <c r="E197" s="1296" t="s">
        <v>716</v>
      </c>
      <c r="F197" s="1297">
        <v>1429</v>
      </c>
      <c r="G197" s="1295" t="s">
        <v>189</v>
      </c>
      <c r="H197" s="1295" t="s">
        <v>1265</v>
      </c>
      <c r="I197" s="1296" t="s">
        <v>1266</v>
      </c>
      <c r="J197" s="1296"/>
      <c r="K197" s="1296" t="s">
        <v>904</v>
      </c>
      <c r="L197" s="1296" t="s">
        <v>2076</v>
      </c>
      <c r="M197" s="1298">
        <v>2753.6</v>
      </c>
      <c r="N197" s="1298">
        <v>100</v>
      </c>
      <c r="O197" s="1298">
        <v>100</v>
      </c>
      <c r="P197" s="1298">
        <v>23.11</v>
      </c>
      <c r="Q197" s="1298">
        <v>2569</v>
      </c>
      <c r="R197" s="1298">
        <v>2569</v>
      </c>
      <c r="S197" s="1298">
        <v>30</v>
      </c>
      <c r="T197" s="1298">
        <v>11.5</v>
      </c>
      <c r="U197" s="1298">
        <v>22</v>
      </c>
      <c r="V197" s="1298">
        <v>20</v>
      </c>
      <c r="W197" s="1298">
        <v>0</v>
      </c>
      <c r="X197" s="1298">
        <v>100</v>
      </c>
      <c r="Y197" s="1298">
        <v>0</v>
      </c>
      <c r="Z197" s="1298">
        <v>0</v>
      </c>
      <c r="AA197" s="1298">
        <v>0</v>
      </c>
      <c r="AB197" s="1298">
        <v>0</v>
      </c>
      <c r="AC197" s="1298">
        <v>0</v>
      </c>
      <c r="AD197" s="1298">
        <v>0</v>
      </c>
      <c r="AE197" s="1298">
        <v>0</v>
      </c>
      <c r="AF197" s="1298">
        <v>2752.5</v>
      </c>
    </row>
    <row r="198" spans="1:32" ht="15" customHeight="1">
      <c r="A198" s="1294">
        <v>196</v>
      </c>
      <c r="B198" s="1294">
        <v>594</v>
      </c>
      <c r="C198" s="1295" t="s">
        <v>1267</v>
      </c>
      <c r="D198" s="1296" t="s">
        <v>2013</v>
      </c>
      <c r="E198" s="1296" t="s">
        <v>716</v>
      </c>
      <c r="F198" s="1297">
        <v>698</v>
      </c>
      <c r="G198" s="1295" t="s">
        <v>769</v>
      </c>
      <c r="H198" s="1295" t="s">
        <v>1268</v>
      </c>
      <c r="I198" s="1296" t="s">
        <v>1269</v>
      </c>
      <c r="J198" s="1296" t="s">
        <v>942</v>
      </c>
      <c r="K198" s="1296" t="s">
        <v>924</v>
      </c>
      <c r="L198" s="1296" t="s">
        <v>942</v>
      </c>
      <c r="M198" s="1298">
        <v>1751.6</v>
      </c>
      <c r="N198" s="1298">
        <v>0</v>
      </c>
      <c r="O198" s="1298">
        <v>0</v>
      </c>
      <c r="P198" s="1298">
        <v>46.75</v>
      </c>
      <c r="Q198" s="1298">
        <v>1584</v>
      </c>
      <c r="R198" s="1298">
        <v>1584</v>
      </c>
      <c r="S198" s="1298">
        <v>0</v>
      </c>
      <c r="T198" s="1298">
        <v>0</v>
      </c>
      <c r="U198" s="1298">
        <v>0</v>
      </c>
      <c r="V198" s="1298">
        <v>20</v>
      </c>
      <c r="W198" s="1298">
        <v>0</v>
      </c>
      <c r="X198" s="1298">
        <v>0</v>
      </c>
      <c r="Y198" s="1298">
        <v>0</v>
      </c>
      <c r="Z198" s="1298">
        <v>0</v>
      </c>
      <c r="AA198" s="1298">
        <v>0</v>
      </c>
      <c r="AB198" s="1298">
        <v>0</v>
      </c>
      <c r="AC198" s="1298">
        <v>0</v>
      </c>
      <c r="AD198" s="1298">
        <v>0</v>
      </c>
      <c r="AE198" s="1298">
        <v>0</v>
      </c>
      <c r="AF198" s="1298">
        <v>1604</v>
      </c>
    </row>
    <row r="199" spans="1:32" ht="15" customHeight="1">
      <c r="A199" s="1294">
        <v>370</v>
      </c>
      <c r="B199" s="1294">
        <v>503</v>
      </c>
      <c r="C199" s="1295" t="s">
        <v>1271</v>
      </c>
      <c r="D199" s="1296" t="s">
        <v>789</v>
      </c>
      <c r="E199" s="1296" t="s">
        <v>716</v>
      </c>
      <c r="F199" s="1297">
        <v>645</v>
      </c>
      <c r="G199" s="1295" t="s">
        <v>189</v>
      </c>
      <c r="H199" s="1295" t="s">
        <v>1869</v>
      </c>
      <c r="I199" s="1296" t="s">
        <v>1280</v>
      </c>
      <c r="J199" s="1296"/>
      <c r="K199" s="1296" t="s">
        <v>1280</v>
      </c>
      <c r="L199" s="1296" t="s">
        <v>1870</v>
      </c>
      <c r="M199" s="1298">
        <v>1671.6</v>
      </c>
      <c r="N199" s="1298">
        <v>250</v>
      </c>
      <c r="O199" s="1298">
        <v>250</v>
      </c>
      <c r="P199" s="1298">
        <v>51.08</v>
      </c>
      <c r="Q199" s="1298">
        <v>1495</v>
      </c>
      <c r="R199" s="1298">
        <v>1495</v>
      </c>
      <c r="S199" s="1298">
        <v>30</v>
      </c>
      <c r="T199" s="1298">
        <v>12.6</v>
      </c>
      <c r="U199" s="1298">
        <v>22</v>
      </c>
      <c r="V199" s="1298">
        <v>0</v>
      </c>
      <c r="W199" s="1298">
        <v>0</v>
      </c>
      <c r="X199" s="1298">
        <v>0</v>
      </c>
      <c r="Y199" s="1298">
        <v>0</v>
      </c>
      <c r="Z199" s="1298">
        <v>0</v>
      </c>
      <c r="AA199" s="1298">
        <v>0</v>
      </c>
      <c r="AB199" s="1298">
        <v>0</v>
      </c>
      <c r="AC199" s="1298">
        <v>0</v>
      </c>
      <c r="AD199" s="1298">
        <v>0</v>
      </c>
      <c r="AE199" s="1298">
        <v>0</v>
      </c>
      <c r="AF199" s="1298">
        <v>1559.6</v>
      </c>
    </row>
    <row r="200" spans="1:32" ht="15" customHeight="1">
      <c r="A200" s="1294">
        <v>56</v>
      </c>
      <c r="B200" s="1294">
        <v>421</v>
      </c>
      <c r="C200" s="1295" t="s">
        <v>1272</v>
      </c>
      <c r="D200" s="1296" t="s">
        <v>2013</v>
      </c>
      <c r="E200" s="1296" t="s">
        <v>716</v>
      </c>
      <c r="F200" s="1297">
        <v>698</v>
      </c>
      <c r="G200" s="1295" t="s">
        <v>189</v>
      </c>
      <c r="H200" s="1295" t="s">
        <v>1273</v>
      </c>
      <c r="I200" s="1296" t="s">
        <v>1274</v>
      </c>
      <c r="J200" s="1296"/>
      <c r="K200" s="1296" t="s">
        <v>1871</v>
      </c>
      <c r="L200" s="1296" t="s">
        <v>1872</v>
      </c>
      <c r="M200" s="1298">
        <v>1751.6</v>
      </c>
      <c r="N200" s="1298">
        <v>0</v>
      </c>
      <c r="O200" s="1298">
        <v>0</v>
      </c>
      <c r="P200" s="1298">
        <v>58.94</v>
      </c>
      <c r="Q200" s="1298">
        <v>1617</v>
      </c>
      <c r="R200" s="1298">
        <v>1617</v>
      </c>
      <c r="S200" s="1298">
        <v>25</v>
      </c>
      <c r="T200" s="1298">
        <v>12.6</v>
      </c>
      <c r="U200" s="1298">
        <v>17</v>
      </c>
      <c r="V200" s="1298">
        <v>20</v>
      </c>
      <c r="W200" s="1298">
        <v>25</v>
      </c>
      <c r="X200" s="1298">
        <v>0</v>
      </c>
      <c r="Y200" s="1298">
        <v>0</v>
      </c>
      <c r="Z200" s="1298">
        <v>0</v>
      </c>
      <c r="AA200" s="1298">
        <v>0</v>
      </c>
      <c r="AB200" s="1298">
        <v>0</v>
      </c>
      <c r="AC200" s="1298">
        <v>0</v>
      </c>
      <c r="AD200" s="1298">
        <v>0</v>
      </c>
      <c r="AE200" s="1298">
        <v>0</v>
      </c>
      <c r="AF200" s="1298">
        <v>1716.6</v>
      </c>
    </row>
    <row r="201" spans="1:32" ht="15" customHeight="1">
      <c r="A201" s="1294">
        <v>265</v>
      </c>
      <c r="B201" s="1294">
        <v>588</v>
      </c>
      <c r="C201" s="1295" t="s">
        <v>1276</v>
      </c>
      <c r="D201" s="1296" t="s">
        <v>795</v>
      </c>
      <c r="E201" s="1296" t="s">
        <v>716</v>
      </c>
      <c r="F201" s="1297">
        <v>731</v>
      </c>
      <c r="G201" s="1295" t="s">
        <v>189</v>
      </c>
      <c r="H201" s="1295" t="s">
        <v>1277</v>
      </c>
      <c r="I201" s="1296" t="s">
        <v>916</v>
      </c>
      <c r="J201" s="1296"/>
      <c r="K201" s="1296" t="s">
        <v>1481</v>
      </c>
      <c r="L201" s="1296" t="s">
        <v>2077</v>
      </c>
      <c r="M201" s="1298">
        <v>1791.6</v>
      </c>
      <c r="N201" s="1298">
        <v>0</v>
      </c>
      <c r="O201" s="1298">
        <v>0</v>
      </c>
      <c r="P201" s="1298">
        <v>93.18</v>
      </c>
      <c r="Q201" s="1298">
        <v>1738</v>
      </c>
      <c r="R201" s="1298">
        <v>1738</v>
      </c>
      <c r="S201" s="1298">
        <v>30</v>
      </c>
      <c r="T201" s="1298">
        <v>12.6</v>
      </c>
      <c r="U201" s="1298">
        <v>22</v>
      </c>
      <c r="V201" s="1298">
        <v>20</v>
      </c>
      <c r="W201" s="1298">
        <v>0</v>
      </c>
      <c r="X201" s="1298">
        <v>0</v>
      </c>
      <c r="Y201" s="1298">
        <v>0</v>
      </c>
      <c r="Z201" s="1298">
        <v>0</v>
      </c>
      <c r="AA201" s="1298">
        <v>0</v>
      </c>
      <c r="AB201" s="1298">
        <v>0</v>
      </c>
      <c r="AC201" s="1298">
        <v>0</v>
      </c>
      <c r="AD201" s="1298">
        <v>0</v>
      </c>
      <c r="AE201" s="1298">
        <v>0</v>
      </c>
      <c r="AF201" s="1298">
        <v>1822.6</v>
      </c>
    </row>
    <row r="202" spans="1:32" ht="15" customHeight="1">
      <c r="A202" s="1294">
        <v>0</v>
      </c>
      <c r="B202" s="1294">
        <v>0</v>
      </c>
      <c r="C202" s="1295" t="s">
        <v>1278</v>
      </c>
      <c r="D202" s="1296" t="s">
        <v>799</v>
      </c>
      <c r="E202" s="1296" t="s">
        <v>716</v>
      </c>
      <c r="F202" s="1297">
        <v>1399</v>
      </c>
      <c r="G202" s="1295" t="s">
        <v>731</v>
      </c>
      <c r="H202" s="1295" t="s">
        <v>185</v>
      </c>
      <c r="I202" s="1296"/>
      <c r="J202" s="1296"/>
      <c r="K202" s="1296"/>
      <c r="L202" s="1296"/>
      <c r="M202" s="1298">
        <v>2823.6</v>
      </c>
      <c r="N202" s="1298">
        <v>0</v>
      </c>
      <c r="O202" s="1298">
        <v>0</v>
      </c>
      <c r="P202" s="1298">
        <v>0</v>
      </c>
      <c r="Q202" s="1298">
        <v>0</v>
      </c>
      <c r="R202" s="1298">
        <v>0</v>
      </c>
      <c r="S202" s="1298">
        <v>0</v>
      </c>
      <c r="T202" s="1298">
        <v>0</v>
      </c>
      <c r="U202" s="1298">
        <v>0</v>
      </c>
      <c r="V202" s="1298">
        <v>0</v>
      </c>
      <c r="W202" s="1298">
        <v>0</v>
      </c>
      <c r="X202" s="1298">
        <v>0</v>
      </c>
      <c r="Y202" s="1298">
        <v>0</v>
      </c>
      <c r="Z202" s="1298">
        <v>0</v>
      </c>
      <c r="AA202" s="1298">
        <v>0</v>
      </c>
      <c r="AB202" s="1298">
        <v>0</v>
      </c>
      <c r="AC202" s="1298">
        <v>0</v>
      </c>
      <c r="AD202" s="1298">
        <v>0</v>
      </c>
      <c r="AE202" s="1298">
        <v>0</v>
      </c>
      <c r="AF202" s="1298">
        <v>0</v>
      </c>
    </row>
    <row r="203" spans="1:32" ht="15" customHeight="1">
      <c r="A203" s="1294">
        <v>437</v>
      </c>
      <c r="B203" s="1294">
        <v>651</v>
      </c>
      <c r="C203" s="1295" t="s">
        <v>1278</v>
      </c>
      <c r="D203" s="1296" t="s">
        <v>799</v>
      </c>
      <c r="E203" s="1296" t="s">
        <v>716</v>
      </c>
      <c r="F203" s="1297">
        <v>1399</v>
      </c>
      <c r="G203" s="1295" t="s">
        <v>732</v>
      </c>
      <c r="H203" s="1295" t="s">
        <v>2251</v>
      </c>
      <c r="I203" s="1296" t="s">
        <v>2252</v>
      </c>
      <c r="J203" s="1296"/>
      <c r="K203" s="1296" t="s">
        <v>2252</v>
      </c>
      <c r="L203" s="1296" t="s">
        <v>2253</v>
      </c>
      <c r="M203" s="1298">
        <v>0</v>
      </c>
      <c r="N203" s="1298">
        <v>250</v>
      </c>
      <c r="O203" s="1298">
        <v>250</v>
      </c>
      <c r="P203" s="1298">
        <v>0</v>
      </c>
      <c r="Q203" s="1298">
        <v>2689</v>
      </c>
      <c r="R203" s="1298">
        <v>2689</v>
      </c>
      <c r="S203" s="1298">
        <v>30</v>
      </c>
      <c r="T203" s="1298">
        <v>12.6</v>
      </c>
      <c r="U203" s="1298">
        <v>22</v>
      </c>
      <c r="V203" s="1298">
        <v>20</v>
      </c>
      <c r="W203" s="1298">
        <v>0</v>
      </c>
      <c r="X203" s="1298">
        <v>0</v>
      </c>
      <c r="Y203" s="1298">
        <v>50</v>
      </c>
      <c r="Z203" s="1298">
        <v>0</v>
      </c>
      <c r="AA203" s="1298">
        <v>0</v>
      </c>
      <c r="AB203" s="1298">
        <v>0</v>
      </c>
      <c r="AC203" s="1298">
        <v>0</v>
      </c>
      <c r="AD203" s="1298">
        <v>0</v>
      </c>
      <c r="AE203" s="1298">
        <v>0</v>
      </c>
      <c r="AF203" s="1298">
        <v>2823.6</v>
      </c>
    </row>
    <row r="204" spans="1:32" ht="15" customHeight="1">
      <c r="A204" s="1294">
        <v>395</v>
      </c>
      <c r="B204" s="1294">
        <v>565</v>
      </c>
      <c r="C204" s="1295" t="s">
        <v>1279</v>
      </c>
      <c r="D204" s="1296" t="s">
        <v>795</v>
      </c>
      <c r="E204" s="1296" t="s">
        <v>716</v>
      </c>
      <c r="F204" s="1297">
        <v>731</v>
      </c>
      <c r="G204" s="1295" t="s">
        <v>189</v>
      </c>
      <c r="H204" s="1295" t="s">
        <v>2078</v>
      </c>
      <c r="I204" s="1296" t="s">
        <v>2007</v>
      </c>
      <c r="J204" s="1296"/>
      <c r="K204" s="1296" t="s">
        <v>2007</v>
      </c>
      <c r="L204" s="1296" t="s">
        <v>2079</v>
      </c>
      <c r="M204" s="1298">
        <v>1641.6</v>
      </c>
      <c r="N204" s="1298">
        <v>250</v>
      </c>
      <c r="O204" s="1298">
        <v>250</v>
      </c>
      <c r="P204" s="1298">
        <v>0</v>
      </c>
      <c r="Q204" s="1298">
        <v>1507</v>
      </c>
      <c r="R204" s="1298">
        <v>1507</v>
      </c>
      <c r="S204" s="1298">
        <v>30</v>
      </c>
      <c r="T204" s="1298">
        <v>12.6</v>
      </c>
      <c r="U204" s="1298">
        <v>22</v>
      </c>
      <c r="V204" s="1298">
        <v>0</v>
      </c>
      <c r="W204" s="1298">
        <v>0</v>
      </c>
      <c r="X204" s="1298">
        <v>0</v>
      </c>
      <c r="Y204" s="1298">
        <v>0</v>
      </c>
      <c r="Z204" s="1298">
        <v>0</v>
      </c>
      <c r="AA204" s="1298">
        <v>0</v>
      </c>
      <c r="AB204" s="1298">
        <v>0</v>
      </c>
      <c r="AC204" s="1298">
        <v>0</v>
      </c>
      <c r="AD204" s="1298">
        <v>0</v>
      </c>
      <c r="AE204" s="1298">
        <v>0</v>
      </c>
      <c r="AF204" s="1298">
        <v>1571.6</v>
      </c>
    </row>
    <row r="205" spans="1:32" ht="15" customHeight="1">
      <c r="A205" s="1294">
        <v>305</v>
      </c>
      <c r="B205" s="1294">
        <v>634</v>
      </c>
      <c r="C205" s="1295" t="s">
        <v>1281</v>
      </c>
      <c r="D205" s="1296" t="s">
        <v>795</v>
      </c>
      <c r="E205" s="1296" t="s">
        <v>716</v>
      </c>
      <c r="F205" s="1297">
        <v>731</v>
      </c>
      <c r="G205" s="1295" t="s">
        <v>189</v>
      </c>
      <c r="H205" s="1295" t="s">
        <v>1282</v>
      </c>
      <c r="I205" s="1296" t="s">
        <v>1283</v>
      </c>
      <c r="J205" s="1296"/>
      <c r="K205" s="1296" t="s">
        <v>2072</v>
      </c>
      <c r="L205" s="1296" t="s">
        <v>2254</v>
      </c>
      <c r="M205" s="1298">
        <v>1791.6</v>
      </c>
      <c r="N205" s="1298">
        <v>0</v>
      </c>
      <c r="O205" s="1298">
        <v>0</v>
      </c>
      <c r="P205" s="1298">
        <v>42.88</v>
      </c>
      <c r="Q205" s="1298">
        <v>1712</v>
      </c>
      <c r="R205" s="1298">
        <v>1712</v>
      </c>
      <c r="S205" s="1298">
        <v>30</v>
      </c>
      <c r="T205" s="1298">
        <v>12.6</v>
      </c>
      <c r="U205" s="1298">
        <v>22</v>
      </c>
      <c r="V205" s="1298">
        <v>20</v>
      </c>
      <c r="W205" s="1298">
        <v>0</v>
      </c>
      <c r="X205" s="1298">
        <v>0</v>
      </c>
      <c r="Y205" s="1298">
        <v>0</v>
      </c>
      <c r="Z205" s="1298">
        <v>0</v>
      </c>
      <c r="AA205" s="1298">
        <v>0</v>
      </c>
      <c r="AB205" s="1298">
        <v>0</v>
      </c>
      <c r="AC205" s="1298">
        <v>0</v>
      </c>
      <c r="AD205" s="1298">
        <v>0</v>
      </c>
      <c r="AE205" s="1298">
        <v>0</v>
      </c>
      <c r="AF205" s="1298">
        <v>1796.6</v>
      </c>
    </row>
    <row r="206" spans="1:32" ht="15" customHeight="1">
      <c r="A206" s="1294">
        <v>120</v>
      </c>
      <c r="B206" s="1294">
        <v>127</v>
      </c>
      <c r="C206" s="1295" t="s">
        <v>1284</v>
      </c>
      <c r="D206" s="1296" t="s">
        <v>815</v>
      </c>
      <c r="E206" s="1296" t="s">
        <v>716</v>
      </c>
      <c r="F206" s="1297">
        <v>698</v>
      </c>
      <c r="G206" s="1295" t="s">
        <v>189</v>
      </c>
      <c r="H206" s="1295" t="s">
        <v>1285</v>
      </c>
      <c r="I206" s="1296" t="s">
        <v>963</v>
      </c>
      <c r="J206" s="1296"/>
      <c r="K206" s="1296" t="s">
        <v>1286</v>
      </c>
      <c r="L206" s="1296" t="s">
        <v>1287</v>
      </c>
      <c r="M206" s="1298">
        <v>1751.6</v>
      </c>
      <c r="N206" s="1298">
        <v>0</v>
      </c>
      <c r="O206" s="1298">
        <v>0</v>
      </c>
      <c r="P206" s="1298">
        <v>35.68</v>
      </c>
      <c r="Q206" s="1298">
        <v>1634</v>
      </c>
      <c r="R206" s="1298">
        <v>1634</v>
      </c>
      <c r="S206" s="1298">
        <v>30</v>
      </c>
      <c r="T206" s="1298">
        <v>12.6</v>
      </c>
      <c r="U206" s="1298">
        <v>22</v>
      </c>
      <c r="V206" s="1298">
        <v>20</v>
      </c>
      <c r="W206" s="1298">
        <v>0</v>
      </c>
      <c r="X206" s="1298">
        <v>0</v>
      </c>
      <c r="Y206" s="1298">
        <v>0</v>
      </c>
      <c r="Z206" s="1298">
        <v>11.5</v>
      </c>
      <c r="AA206" s="1298">
        <v>350</v>
      </c>
      <c r="AB206" s="1298">
        <v>0</v>
      </c>
      <c r="AC206" s="1298">
        <v>0</v>
      </c>
      <c r="AD206" s="1298">
        <v>0</v>
      </c>
      <c r="AE206" s="1298">
        <v>0</v>
      </c>
      <c r="AF206" s="1298">
        <v>2080.1</v>
      </c>
    </row>
    <row r="207" spans="1:32" ht="15" customHeight="1">
      <c r="A207" s="1294">
        <v>98</v>
      </c>
      <c r="B207" s="1294">
        <v>538</v>
      </c>
      <c r="C207" s="1295" t="s">
        <v>1288</v>
      </c>
      <c r="D207" s="1296" t="s">
        <v>815</v>
      </c>
      <c r="E207" s="1296" t="s">
        <v>716</v>
      </c>
      <c r="F207" s="1297">
        <v>698</v>
      </c>
      <c r="G207" s="1295" t="s">
        <v>189</v>
      </c>
      <c r="H207" s="1295" t="s">
        <v>1289</v>
      </c>
      <c r="I207" s="1296" t="s">
        <v>1290</v>
      </c>
      <c r="J207" s="1296"/>
      <c r="K207" s="1296" t="s">
        <v>1270</v>
      </c>
      <c r="L207" s="1296" t="s">
        <v>2055</v>
      </c>
      <c r="M207" s="1298">
        <v>1676.6</v>
      </c>
      <c r="N207" s="1298">
        <v>0</v>
      </c>
      <c r="O207" s="1298">
        <v>0</v>
      </c>
      <c r="P207" s="1298">
        <v>79.23</v>
      </c>
      <c r="Q207" s="1298">
        <v>1542</v>
      </c>
      <c r="R207" s="1298">
        <v>1542</v>
      </c>
      <c r="S207" s="1298">
        <v>25</v>
      </c>
      <c r="T207" s="1298">
        <v>11.5</v>
      </c>
      <c r="U207" s="1298">
        <v>17</v>
      </c>
      <c r="V207" s="1298">
        <v>20</v>
      </c>
      <c r="W207" s="1298">
        <v>0</v>
      </c>
      <c r="X207" s="1298">
        <v>0</v>
      </c>
      <c r="Y207" s="1298">
        <v>0</v>
      </c>
      <c r="Z207" s="1298">
        <v>0</v>
      </c>
      <c r="AA207" s="1298">
        <v>0</v>
      </c>
      <c r="AB207" s="1298">
        <v>0</v>
      </c>
      <c r="AC207" s="1298">
        <v>0</v>
      </c>
      <c r="AD207" s="1298">
        <v>0</v>
      </c>
      <c r="AE207" s="1298">
        <v>0</v>
      </c>
      <c r="AF207" s="1298">
        <v>1615.5</v>
      </c>
    </row>
    <row r="208" spans="1:32" ht="15" customHeight="1">
      <c r="A208" s="1294">
        <v>217</v>
      </c>
      <c r="B208" s="1294">
        <v>238</v>
      </c>
      <c r="C208" s="1295" t="s">
        <v>1292</v>
      </c>
      <c r="D208" s="1296" t="s">
        <v>727</v>
      </c>
      <c r="E208" s="1296" t="s">
        <v>716</v>
      </c>
      <c r="F208" s="1297">
        <v>1000</v>
      </c>
      <c r="G208" s="1295" t="s">
        <v>189</v>
      </c>
      <c r="H208" s="1295" t="s">
        <v>1293</v>
      </c>
      <c r="I208" s="1296" t="s">
        <v>1294</v>
      </c>
      <c r="J208" s="1296"/>
      <c r="K208" s="1296" t="s">
        <v>1295</v>
      </c>
      <c r="L208" s="1296" t="s">
        <v>1107</v>
      </c>
      <c r="M208" s="1298">
        <v>2090.6</v>
      </c>
      <c r="N208" s="1298">
        <v>0</v>
      </c>
      <c r="O208" s="1298">
        <v>0</v>
      </c>
      <c r="P208" s="1298">
        <v>70.09</v>
      </c>
      <c r="Q208" s="1298">
        <v>1922</v>
      </c>
      <c r="R208" s="1298">
        <v>1922</v>
      </c>
      <c r="S208" s="1298">
        <v>25</v>
      </c>
      <c r="T208" s="1298">
        <v>12.6</v>
      </c>
      <c r="U208" s="1298">
        <v>21</v>
      </c>
      <c r="V208" s="1298">
        <v>20</v>
      </c>
      <c r="W208" s="1298">
        <v>0</v>
      </c>
      <c r="X208" s="1298">
        <v>0</v>
      </c>
      <c r="Y208" s="1298">
        <v>0</v>
      </c>
      <c r="Z208" s="1298">
        <v>11.5</v>
      </c>
      <c r="AA208" s="1298">
        <v>0</v>
      </c>
      <c r="AB208" s="1298">
        <v>0</v>
      </c>
      <c r="AC208" s="1298">
        <v>0</v>
      </c>
      <c r="AD208" s="1298">
        <v>0</v>
      </c>
      <c r="AE208" s="1298">
        <v>0</v>
      </c>
      <c r="AF208" s="1298">
        <v>2012.1</v>
      </c>
    </row>
    <row r="209" spans="1:32" ht="15" customHeight="1">
      <c r="A209" s="1294">
        <v>343</v>
      </c>
      <c r="B209" s="1294">
        <v>402</v>
      </c>
      <c r="C209" s="1295" t="s">
        <v>1296</v>
      </c>
      <c r="D209" s="1296" t="s">
        <v>815</v>
      </c>
      <c r="E209" s="1296" t="s">
        <v>716</v>
      </c>
      <c r="F209" s="1297">
        <v>698</v>
      </c>
      <c r="G209" s="1295" t="s">
        <v>189</v>
      </c>
      <c r="H209" s="1295" t="s">
        <v>914</v>
      </c>
      <c r="I209" s="1296" t="s">
        <v>1226</v>
      </c>
      <c r="J209" s="1296"/>
      <c r="K209" s="1296" t="s">
        <v>1226</v>
      </c>
      <c r="L209" s="1296" t="s">
        <v>1873</v>
      </c>
      <c r="M209" s="1298">
        <v>1751.6</v>
      </c>
      <c r="N209" s="1298">
        <v>0</v>
      </c>
      <c r="O209" s="1298">
        <v>0</v>
      </c>
      <c r="P209" s="1298">
        <v>81.650000000000006</v>
      </c>
      <c r="Q209" s="1298">
        <v>1617</v>
      </c>
      <c r="R209" s="1298">
        <v>1617</v>
      </c>
      <c r="S209" s="1298">
        <v>30</v>
      </c>
      <c r="T209" s="1298">
        <v>12.6</v>
      </c>
      <c r="U209" s="1298">
        <v>22</v>
      </c>
      <c r="V209" s="1298">
        <v>0</v>
      </c>
      <c r="W209" s="1298">
        <v>0</v>
      </c>
      <c r="X209" s="1298">
        <v>0</v>
      </c>
      <c r="Y209" s="1298">
        <v>0</v>
      </c>
      <c r="Z209" s="1298">
        <v>0</v>
      </c>
      <c r="AA209" s="1298">
        <v>0</v>
      </c>
      <c r="AB209" s="1298">
        <v>0</v>
      </c>
      <c r="AC209" s="1298">
        <v>0</v>
      </c>
      <c r="AD209" s="1298">
        <v>0</v>
      </c>
      <c r="AE209" s="1298">
        <v>0</v>
      </c>
      <c r="AF209" s="1298">
        <v>1681.6</v>
      </c>
    </row>
    <row r="210" spans="1:32" ht="15" customHeight="1">
      <c r="A210" s="1294">
        <v>384</v>
      </c>
      <c r="B210" s="1294">
        <v>548</v>
      </c>
      <c r="C210" s="1295" t="s">
        <v>1298</v>
      </c>
      <c r="D210" s="1296" t="s">
        <v>830</v>
      </c>
      <c r="E210" s="1296" t="s">
        <v>716</v>
      </c>
      <c r="F210" s="1297">
        <v>934</v>
      </c>
      <c r="G210" s="1295" t="s">
        <v>189</v>
      </c>
      <c r="H210" s="1295" t="s">
        <v>2080</v>
      </c>
      <c r="I210" s="1296" t="s">
        <v>2018</v>
      </c>
      <c r="J210" s="1296"/>
      <c r="K210" s="1296" t="s">
        <v>2018</v>
      </c>
      <c r="L210" s="1296" t="s">
        <v>2081</v>
      </c>
      <c r="M210" s="1298">
        <v>1729.6</v>
      </c>
      <c r="N210" s="1298">
        <v>250</v>
      </c>
      <c r="O210" s="1298">
        <v>250</v>
      </c>
      <c r="P210" s="1298">
        <v>9.57</v>
      </c>
      <c r="Q210" s="1298">
        <v>1595</v>
      </c>
      <c r="R210" s="1298">
        <v>1595</v>
      </c>
      <c r="S210" s="1298">
        <v>30</v>
      </c>
      <c r="T210" s="1298">
        <v>12.6</v>
      </c>
      <c r="U210" s="1298">
        <v>22</v>
      </c>
      <c r="V210" s="1298">
        <v>0</v>
      </c>
      <c r="W210" s="1298">
        <v>0</v>
      </c>
      <c r="X210" s="1298">
        <v>0</v>
      </c>
      <c r="Y210" s="1298">
        <v>0</v>
      </c>
      <c r="Z210" s="1298">
        <v>0</v>
      </c>
      <c r="AA210" s="1298">
        <v>0</v>
      </c>
      <c r="AB210" s="1298">
        <v>0</v>
      </c>
      <c r="AC210" s="1298">
        <v>0</v>
      </c>
      <c r="AD210" s="1298">
        <v>0</v>
      </c>
      <c r="AE210" s="1298">
        <v>0</v>
      </c>
      <c r="AF210" s="1298">
        <v>1659.6</v>
      </c>
    </row>
    <row r="211" spans="1:32" ht="15" customHeight="1">
      <c r="A211" s="1294">
        <v>415</v>
      </c>
      <c r="B211" s="1294">
        <v>602</v>
      </c>
      <c r="C211" s="1295" t="s">
        <v>1299</v>
      </c>
      <c r="D211" s="1296" t="s">
        <v>772</v>
      </c>
      <c r="E211" s="1296" t="s">
        <v>716</v>
      </c>
      <c r="F211" s="1297">
        <v>937</v>
      </c>
      <c r="G211" s="1295" t="s">
        <v>189</v>
      </c>
      <c r="H211" s="1295" t="s">
        <v>2082</v>
      </c>
      <c r="I211" s="1296" t="s">
        <v>2000</v>
      </c>
      <c r="J211" s="1296"/>
      <c r="K211" s="1296" t="s">
        <v>2000</v>
      </c>
      <c r="L211" s="1296" t="s">
        <v>2083</v>
      </c>
      <c r="M211" s="1298">
        <v>2080.6</v>
      </c>
      <c r="N211" s="1298">
        <v>250</v>
      </c>
      <c r="O211" s="1298">
        <v>250</v>
      </c>
      <c r="P211" s="1298">
        <v>0</v>
      </c>
      <c r="Q211" s="1298">
        <v>1946</v>
      </c>
      <c r="R211" s="1298">
        <v>1946</v>
      </c>
      <c r="S211" s="1298">
        <v>30</v>
      </c>
      <c r="T211" s="1298">
        <v>12.6</v>
      </c>
      <c r="U211" s="1298">
        <v>22</v>
      </c>
      <c r="V211" s="1298">
        <v>0</v>
      </c>
      <c r="W211" s="1298">
        <v>0</v>
      </c>
      <c r="X211" s="1298">
        <v>0</v>
      </c>
      <c r="Y211" s="1298">
        <v>0</v>
      </c>
      <c r="Z211" s="1298">
        <v>0</v>
      </c>
      <c r="AA211" s="1298">
        <v>0</v>
      </c>
      <c r="AB211" s="1298">
        <v>0</v>
      </c>
      <c r="AC211" s="1298">
        <v>0</v>
      </c>
      <c r="AD211" s="1298">
        <v>0</v>
      </c>
      <c r="AE211" s="1298">
        <v>0</v>
      </c>
      <c r="AF211" s="1298">
        <v>2010.6</v>
      </c>
    </row>
    <row r="212" spans="1:32" ht="15" customHeight="1">
      <c r="A212" s="1294">
        <v>331</v>
      </c>
      <c r="B212" s="1294">
        <v>358</v>
      </c>
      <c r="C212" s="1295" t="s">
        <v>1300</v>
      </c>
      <c r="D212" s="1296" t="s">
        <v>840</v>
      </c>
      <c r="E212" s="1296" t="s">
        <v>716</v>
      </c>
      <c r="F212" s="1297">
        <v>1235</v>
      </c>
      <c r="G212" s="1295" t="s">
        <v>189</v>
      </c>
      <c r="H212" s="1295" t="s">
        <v>1301</v>
      </c>
      <c r="I212" s="1296" t="s">
        <v>1050</v>
      </c>
      <c r="J212" s="1296"/>
      <c r="K212" s="1296" t="s">
        <v>1050</v>
      </c>
      <c r="L212" s="1296" t="s">
        <v>1302</v>
      </c>
      <c r="M212" s="1298">
        <v>2513.6</v>
      </c>
      <c r="N212" s="1298">
        <v>0</v>
      </c>
      <c r="O212" s="1298">
        <v>0</v>
      </c>
      <c r="P212" s="1298">
        <v>101.49</v>
      </c>
      <c r="Q212" s="1298">
        <v>2379</v>
      </c>
      <c r="R212" s="1298">
        <v>2379</v>
      </c>
      <c r="S212" s="1298">
        <v>25</v>
      </c>
      <c r="T212" s="1298">
        <v>12.6</v>
      </c>
      <c r="U212" s="1298">
        <v>21</v>
      </c>
      <c r="V212" s="1298">
        <v>20</v>
      </c>
      <c r="W212" s="1298">
        <v>0</v>
      </c>
      <c r="X212" s="1298">
        <v>50</v>
      </c>
      <c r="Y212" s="1298">
        <v>0</v>
      </c>
      <c r="Z212" s="1298">
        <v>0</v>
      </c>
      <c r="AA212" s="1298">
        <v>0</v>
      </c>
      <c r="AB212" s="1298">
        <v>0</v>
      </c>
      <c r="AC212" s="1298">
        <v>0</v>
      </c>
      <c r="AD212" s="1298">
        <v>0</v>
      </c>
      <c r="AE212" s="1298">
        <v>0</v>
      </c>
      <c r="AF212" s="1298">
        <v>2507.6</v>
      </c>
    </row>
    <row r="213" spans="1:32" ht="15" customHeight="1">
      <c r="A213" s="1294">
        <v>55</v>
      </c>
      <c r="B213" s="1294">
        <v>57</v>
      </c>
      <c r="C213" s="1295" t="s">
        <v>1303</v>
      </c>
      <c r="D213" s="1296" t="s">
        <v>840</v>
      </c>
      <c r="E213" s="1296" t="s">
        <v>716</v>
      </c>
      <c r="F213" s="1297">
        <v>1235</v>
      </c>
      <c r="G213" s="1295" t="s">
        <v>769</v>
      </c>
      <c r="H213" s="1295" t="s">
        <v>1304</v>
      </c>
      <c r="I213" s="1296" t="s">
        <v>1305</v>
      </c>
      <c r="J213" s="1296" t="s">
        <v>1449</v>
      </c>
      <c r="K213" s="1296" t="s">
        <v>1306</v>
      </c>
      <c r="L213" s="1296" t="s">
        <v>1307</v>
      </c>
      <c r="M213" s="1298">
        <v>2738.6</v>
      </c>
      <c r="N213" s="1298">
        <v>0</v>
      </c>
      <c r="O213" s="1298">
        <v>0</v>
      </c>
      <c r="P213" s="1298">
        <v>5.55</v>
      </c>
      <c r="Q213" s="1298">
        <v>2380</v>
      </c>
      <c r="R213" s="1298">
        <v>2380</v>
      </c>
      <c r="S213" s="1298">
        <v>30</v>
      </c>
      <c r="T213" s="1298">
        <v>12.6</v>
      </c>
      <c r="U213" s="1298">
        <v>22</v>
      </c>
      <c r="V213" s="1298">
        <v>20</v>
      </c>
      <c r="W213" s="1298">
        <v>50</v>
      </c>
      <c r="X213" s="1298">
        <v>50</v>
      </c>
      <c r="Y213" s="1298">
        <v>50</v>
      </c>
      <c r="Z213" s="1298">
        <v>0</v>
      </c>
      <c r="AA213" s="1298">
        <v>350</v>
      </c>
      <c r="AB213" s="1298">
        <v>0</v>
      </c>
      <c r="AC213" s="1298">
        <v>0</v>
      </c>
      <c r="AD213" s="1298">
        <v>0</v>
      </c>
      <c r="AE213" s="1298">
        <v>0</v>
      </c>
      <c r="AF213" s="1298">
        <v>2964.6</v>
      </c>
    </row>
    <row r="214" spans="1:32" ht="15" customHeight="1">
      <c r="A214" s="1294">
        <v>147</v>
      </c>
      <c r="B214" s="1294">
        <v>426</v>
      </c>
      <c r="C214" s="1295" t="s">
        <v>1308</v>
      </c>
      <c r="D214" s="1296" t="s">
        <v>772</v>
      </c>
      <c r="E214" s="1296" t="s">
        <v>716</v>
      </c>
      <c r="F214" s="1297">
        <v>937</v>
      </c>
      <c r="G214" s="1295" t="s">
        <v>189</v>
      </c>
      <c r="H214" s="1295" t="s">
        <v>1309</v>
      </c>
      <c r="I214" s="1296" t="s">
        <v>1310</v>
      </c>
      <c r="J214" s="1296"/>
      <c r="K214" s="1296" t="s">
        <v>1033</v>
      </c>
      <c r="L214" s="1296" t="s">
        <v>1827</v>
      </c>
      <c r="M214" s="1298">
        <v>2020.6</v>
      </c>
      <c r="N214" s="1298">
        <v>0</v>
      </c>
      <c r="O214" s="1298">
        <v>0</v>
      </c>
      <c r="P214" s="1298">
        <v>-1960.53</v>
      </c>
      <c r="Q214" s="1298">
        <v>1837</v>
      </c>
      <c r="R214" s="1298">
        <v>1837</v>
      </c>
      <c r="S214" s="1298">
        <v>25</v>
      </c>
      <c r="T214" s="1298">
        <v>12.6</v>
      </c>
      <c r="U214" s="1298">
        <v>17</v>
      </c>
      <c r="V214" s="1298">
        <v>20</v>
      </c>
      <c r="W214" s="1298">
        <v>0</v>
      </c>
      <c r="X214" s="1298">
        <v>0</v>
      </c>
      <c r="Y214" s="1298">
        <v>0</v>
      </c>
      <c r="Z214" s="1298">
        <v>11.5</v>
      </c>
      <c r="AA214" s="1298">
        <v>0</v>
      </c>
      <c r="AB214" s="1298">
        <v>0</v>
      </c>
      <c r="AC214" s="1298">
        <v>0</v>
      </c>
      <c r="AD214" s="1298">
        <v>0</v>
      </c>
      <c r="AE214" s="1298">
        <v>0</v>
      </c>
      <c r="AF214" s="1298">
        <v>1923.1</v>
      </c>
    </row>
    <row r="215" spans="1:32" ht="15" customHeight="1">
      <c r="A215" s="1294">
        <v>375</v>
      </c>
      <c r="B215" s="1294">
        <v>514</v>
      </c>
      <c r="C215" s="1295" t="s">
        <v>1311</v>
      </c>
      <c r="D215" s="1296" t="s">
        <v>2062</v>
      </c>
      <c r="E215" s="1296" t="s">
        <v>716</v>
      </c>
      <c r="F215" s="1297">
        <v>784</v>
      </c>
      <c r="G215" s="1295" t="s">
        <v>189</v>
      </c>
      <c r="H215" s="1295" t="s">
        <v>2084</v>
      </c>
      <c r="I215" s="1296" t="s">
        <v>1233</v>
      </c>
      <c r="J215" s="1296"/>
      <c r="K215" s="1296" t="s">
        <v>1233</v>
      </c>
      <c r="L215" s="1296" t="s">
        <v>2015</v>
      </c>
      <c r="M215" s="1298">
        <v>1891.6</v>
      </c>
      <c r="N215" s="1298">
        <v>250</v>
      </c>
      <c r="O215" s="1298">
        <v>250</v>
      </c>
      <c r="P215" s="1298">
        <v>24.85</v>
      </c>
      <c r="Q215" s="1298">
        <v>1702</v>
      </c>
      <c r="R215" s="1298">
        <v>1702</v>
      </c>
      <c r="S215" s="1298">
        <v>30</v>
      </c>
      <c r="T215" s="1298">
        <v>12.6</v>
      </c>
      <c r="U215" s="1298">
        <v>22</v>
      </c>
      <c r="V215" s="1298">
        <v>0</v>
      </c>
      <c r="W215" s="1298">
        <v>0</v>
      </c>
      <c r="X215" s="1298">
        <v>0</v>
      </c>
      <c r="Y215" s="1298">
        <v>0</v>
      </c>
      <c r="Z215" s="1298">
        <v>0</v>
      </c>
      <c r="AA215" s="1298">
        <v>0</v>
      </c>
      <c r="AB215" s="1298">
        <v>0</v>
      </c>
      <c r="AC215" s="1298">
        <v>0</v>
      </c>
      <c r="AD215" s="1298">
        <v>0</v>
      </c>
      <c r="AE215" s="1298">
        <v>0</v>
      </c>
      <c r="AF215" s="1298">
        <v>1766.6</v>
      </c>
    </row>
    <row r="216" spans="1:32" ht="15" customHeight="1">
      <c r="A216" s="1294">
        <v>414</v>
      </c>
      <c r="B216" s="1294">
        <v>601</v>
      </c>
      <c r="C216" s="1295" t="s">
        <v>1313</v>
      </c>
      <c r="D216" s="1296" t="s">
        <v>1194</v>
      </c>
      <c r="E216" s="1296" t="s">
        <v>716</v>
      </c>
      <c r="F216" s="1297">
        <v>684</v>
      </c>
      <c r="G216" s="1295" t="s">
        <v>189</v>
      </c>
      <c r="H216" s="1295" t="s">
        <v>2085</v>
      </c>
      <c r="I216" s="1296" t="s">
        <v>2007</v>
      </c>
      <c r="J216" s="1296"/>
      <c r="K216" s="1296" t="s">
        <v>2007</v>
      </c>
      <c r="L216" s="1296" t="s">
        <v>2008</v>
      </c>
      <c r="M216" s="1298">
        <v>1809.6</v>
      </c>
      <c r="N216" s="1298">
        <v>250</v>
      </c>
      <c r="O216" s="1298">
        <v>250</v>
      </c>
      <c r="P216" s="1298">
        <v>0</v>
      </c>
      <c r="Q216" s="1298">
        <v>1675</v>
      </c>
      <c r="R216" s="1298">
        <v>1675</v>
      </c>
      <c r="S216" s="1298">
        <v>30</v>
      </c>
      <c r="T216" s="1298">
        <v>12.6</v>
      </c>
      <c r="U216" s="1298">
        <v>22</v>
      </c>
      <c r="V216" s="1298">
        <v>0</v>
      </c>
      <c r="W216" s="1298">
        <v>0</v>
      </c>
      <c r="X216" s="1298">
        <v>0</v>
      </c>
      <c r="Y216" s="1298">
        <v>0</v>
      </c>
      <c r="Z216" s="1298">
        <v>0</v>
      </c>
      <c r="AA216" s="1298">
        <v>0</v>
      </c>
      <c r="AB216" s="1298">
        <v>0</v>
      </c>
      <c r="AC216" s="1298">
        <v>0</v>
      </c>
      <c r="AD216" s="1298">
        <v>0</v>
      </c>
      <c r="AE216" s="1298">
        <v>0</v>
      </c>
      <c r="AF216" s="1298">
        <v>1739.6</v>
      </c>
    </row>
    <row r="217" spans="1:32" ht="15" customHeight="1">
      <c r="A217" s="1294">
        <v>313</v>
      </c>
      <c r="B217" s="1294">
        <v>694</v>
      </c>
      <c r="C217" s="1295" t="s">
        <v>1315</v>
      </c>
      <c r="D217" s="1296" t="s">
        <v>2063</v>
      </c>
      <c r="E217" s="1296" t="s">
        <v>716</v>
      </c>
      <c r="F217" s="1297">
        <v>833</v>
      </c>
      <c r="G217" s="1295" t="s">
        <v>189</v>
      </c>
      <c r="H217" s="1295" t="s">
        <v>1316</v>
      </c>
      <c r="I217" s="1296" t="s">
        <v>1317</v>
      </c>
      <c r="J217" s="1296"/>
      <c r="K217" s="1296" t="s">
        <v>1455</v>
      </c>
      <c r="L217" s="1296" t="s">
        <v>2206</v>
      </c>
      <c r="M217" s="1298">
        <v>1970.6</v>
      </c>
      <c r="N217" s="1298">
        <v>0</v>
      </c>
      <c r="O217" s="1298">
        <v>0</v>
      </c>
      <c r="P217" s="1298">
        <v>-140.35</v>
      </c>
      <c r="Q217" s="1298">
        <v>1886</v>
      </c>
      <c r="R217" s="1298">
        <v>1886</v>
      </c>
      <c r="S217" s="1298">
        <v>30</v>
      </c>
      <c r="T217" s="1298">
        <v>12.6</v>
      </c>
      <c r="U217" s="1298">
        <v>22</v>
      </c>
      <c r="V217" s="1298">
        <v>20</v>
      </c>
      <c r="W217" s="1298">
        <v>50</v>
      </c>
      <c r="X217" s="1298">
        <v>0</v>
      </c>
      <c r="Y217" s="1298">
        <v>50</v>
      </c>
      <c r="Z217" s="1298">
        <v>0</v>
      </c>
      <c r="AA217" s="1298">
        <v>0</v>
      </c>
      <c r="AB217" s="1298">
        <v>0</v>
      </c>
      <c r="AC217" s="1298">
        <v>0</v>
      </c>
      <c r="AD217" s="1298">
        <v>0</v>
      </c>
      <c r="AE217" s="1298">
        <v>0</v>
      </c>
      <c r="AF217" s="1298">
        <v>2070.6</v>
      </c>
    </row>
    <row r="218" spans="1:32" ht="15" customHeight="1">
      <c r="A218" s="1294">
        <v>86</v>
      </c>
      <c r="B218" s="1294">
        <v>475</v>
      </c>
      <c r="C218" s="1295" t="s">
        <v>1319</v>
      </c>
      <c r="D218" s="1296" t="s">
        <v>1998</v>
      </c>
      <c r="E218" s="1296" t="s">
        <v>716</v>
      </c>
      <c r="F218" s="1297">
        <v>892</v>
      </c>
      <c r="G218" s="1295" t="s">
        <v>189</v>
      </c>
      <c r="H218" s="1295" t="s">
        <v>1500</v>
      </c>
      <c r="I218" s="1296" t="s">
        <v>1874</v>
      </c>
      <c r="J218" s="1296"/>
      <c r="K218" s="1296" t="s">
        <v>1874</v>
      </c>
      <c r="L218" s="1296" t="s">
        <v>1875</v>
      </c>
      <c r="M218" s="1298">
        <v>2005.6</v>
      </c>
      <c r="N218" s="1298">
        <v>250</v>
      </c>
      <c r="O218" s="1298">
        <v>250</v>
      </c>
      <c r="P218" s="1298">
        <v>98.92</v>
      </c>
      <c r="Q218" s="1298">
        <v>1512</v>
      </c>
      <c r="R218" s="1298">
        <v>1512</v>
      </c>
      <c r="S218" s="1298">
        <v>30</v>
      </c>
      <c r="T218" s="1298">
        <v>12.6</v>
      </c>
      <c r="U218" s="1298">
        <v>22</v>
      </c>
      <c r="V218" s="1298">
        <v>20</v>
      </c>
      <c r="W218" s="1298">
        <v>0</v>
      </c>
      <c r="X218" s="1298">
        <v>0</v>
      </c>
      <c r="Y218" s="1298">
        <v>0</v>
      </c>
      <c r="Z218" s="1298">
        <v>11.5</v>
      </c>
      <c r="AA218" s="1298">
        <v>0</v>
      </c>
      <c r="AB218" s="1298">
        <v>0</v>
      </c>
      <c r="AC218" s="1298">
        <v>0</v>
      </c>
      <c r="AD218" s="1298">
        <v>0</v>
      </c>
      <c r="AE218" s="1298">
        <v>0</v>
      </c>
      <c r="AF218" s="1298">
        <v>1608.1</v>
      </c>
    </row>
    <row r="219" spans="1:32" ht="15" customHeight="1">
      <c r="A219" s="1294">
        <v>176</v>
      </c>
      <c r="B219" s="1294">
        <v>528</v>
      </c>
      <c r="C219" s="1295" t="s">
        <v>1320</v>
      </c>
      <c r="D219" s="1296" t="s">
        <v>1999</v>
      </c>
      <c r="E219" s="1296" t="s">
        <v>716</v>
      </c>
      <c r="F219" s="1297">
        <v>1036</v>
      </c>
      <c r="G219" s="1295" t="s">
        <v>189</v>
      </c>
      <c r="H219" s="1295" t="s">
        <v>1321</v>
      </c>
      <c r="I219" s="1296" t="s">
        <v>1322</v>
      </c>
      <c r="J219" s="1296"/>
      <c r="K219" s="1296" t="s">
        <v>2086</v>
      </c>
      <c r="L219" s="1296" t="s">
        <v>2087</v>
      </c>
      <c r="M219" s="1298">
        <v>2125.6</v>
      </c>
      <c r="N219" s="1298">
        <v>0</v>
      </c>
      <c r="O219" s="1298">
        <v>0</v>
      </c>
      <c r="P219" s="1298">
        <v>69.010000000000005</v>
      </c>
      <c r="Q219" s="1298">
        <v>1875</v>
      </c>
      <c r="R219" s="1298">
        <v>1875</v>
      </c>
      <c r="S219" s="1298">
        <v>30</v>
      </c>
      <c r="T219" s="1298">
        <v>12.6</v>
      </c>
      <c r="U219" s="1298">
        <v>22</v>
      </c>
      <c r="V219" s="1298">
        <v>20</v>
      </c>
      <c r="W219" s="1298">
        <v>0</v>
      </c>
      <c r="X219" s="1298">
        <v>0</v>
      </c>
      <c r="Y219" s="1298">
        <v>0</v>
      </c>
      <c r="Z219" s="1298">
        <v>0</v>
      </c>
      <c r="AA219" s="1298">
        <v>0</v>
      </c>
      <c r="AB219" s="1298">
        <v>0</v>
      </c>
      <c r="AC219" s="1298">
        <v>0</v>
      </c>
      <c r="AD219" s="1298">
        <v>0</v>
      </c>
      <c r="AE219" s="1298">
        <v>0</v>
      </c>
      <c r="AF219" s="1298">
        <v>1959.6</v>
      </c>
    </row>
    <row r="220" spans="1:32" ht="15" customHeight="1">
      <c r="A220" s="1294">
        <v>107</v>
      </c>
      <c r="B220" s="1294">
        <v>581</v>
      </c>
      <c r="C220" s="1295" t="s">
        <v>1324</v>
      </c>
      <c r="D220" s="1296" t="s">
        <v>723</v>
      </c>
      <c r="E220" s="1296" t="s">
        <v>716</v>
      </c>
      <c r="F220" s="1297">
        <v>1156</v>
      </c>
      <c r="G220" s="1295" t="s">
        <v>189</v>
      </c>
      <c r="H220" s="1295" t="s">
        <v>1325</v>
      </c>
      <c r="I220" s="1296" t="s">
        <v>1326</v>
      </c>
      <c r="J220" s="1296"/>
      <c r="K220" s="1296" t="s">
        <v>2018</v>
      </c>
      <c r="L220" s="1296" t="s">
        <v>2051</v>
      </c>
      <c r="M220" s="1298">
        <v>2288.6</v>
      </c>
      <c r="N220" s="1298">
        <v>0</v>
      </c>
      <c r="O220" s="1298">
        <v>0</v>
      </c>
      <c r="P220" s="1298">
        <v>45.02</v>
      </c>
      <c r="Q220" s="1298">
        <v>1988</v>
      </c>
      <c r="R220" s="1298">
        <v>1988</v>
      </c>
      <c r="S220" s="1298">
        <v>0</v>
      </c>
      <c r="T220" s="1298">
        <v>0</v>
      </c>
      <c r="U220" s="1298">
        <v>0</v>
      </c>
      <c r="V220" s="1298">
        <v>20</v>
      </c>
      <c r="W220" s="1298">
        <v>0</v>
      </c>
      <c r="X220" s="1298">
        <v>0</v>
      </c>
      <c r="Y220" s="1298">
        <v>0</v>
      </c>
      <c r="Z220" s="1298">
        <v>0</v>
      </c>
      <c r="AA220" s="1298">
        <v>0</v>
      </c>
      <c r="AB220" s="1298">
        <v>0</v>
      </c>
      <c r="AC220" s="1298">
        <v>0</v>
      </c>
      <c r="AD220" s="1298">
        <v>0</v>
      </c>
      <c r="AE220" s="1298">
        <v>0</v>
      </c>
      <c r="AF220" s="1298">
        <v>2008</v>
      </c>
    </row>
    <row r="221" spans="1:32" ht="15" customHeight="1">
      <c r="A221" s="1294">
        <v>22</v>
      </c>
      <c r="B221" s="1294">
        <v>515</v>
      </c>
      <c r="C221" s="1295" t="s">
        <v>1328</v>
      </c>
      <c r="D221" s="1296" t="s">
        <v>727</v>
      </c>
      <c r="E221" s="1296" t="s">
        <v>716</v>
      </c>
      <c r="F221" s="1297">
        <v>1000</v>
      </c>
      <c r="G221" s="1295" t="s">
        <v>189</v>
      </c>
      <c r="H221" s="1295" t="s">
        <v>1329</v>
      </c>
      <c r="I221" s="1296" t="s">
        <v>1330</v>
      </c>
      <c r="J221" s="1296"/>
      <c r="K221" s="1296" t="s">
        <v>904</v>
      </c>
      <c r="L221" s="1296" t="s">
        <v>2088</v>
      </c>
      <c r="M221" s="1298">
        <v>2110.6</v>
      </c>
      <c r="N221" s="1298">
        <v>100</v>
      </c>
      <c r="O221" s="1298">
        <v>100</v>
      </c>
      <c r="P221" s="1298">
        <v>33.78</v>
      </c>
      <c r="Q221" s="1298">
        <v>1651</v>
      </c>
      <c r="R221" s="1298">
        <v>1651</v>
      </c>
      <c r="S221" s="1298">
        <v>25</v>
      </c>
      <c r="T221" s="1298">
        <v>11.5</v>
      </c>
      <c r="U221" s="1298">
        <v>21</v>
      </c>
      <c r="V221" s="1298">
        <v>20</v>
      </c>
      <c r="W221" s="1298">
        <v>0</v>
      </c>
      <c r="X221" s="1298">
        <v>0</v>
      </c>
      <c r="Y221" s="1298">
        <v>0</v>
      </c>
      <c r="Z221" s="1298">
        <v>0</v>
      </c>
      <c r="AA221" s="1298">
        <v>0</v>
      </c>
      <c r="AB221" s="1298">
        <v>0</v>
      </c>
      <c r="AC221" s="1298">
        <v>0</v>
      </c>
      <c r="AD221" s="1298">
        <v>0</v>
      </c>
      <c r="AE221" s="1298">
        <v>0</v>
      </c>
      <c r="AF221" s="1298">
        <v>1728.5</v>
      </c>
    </row>
    <row r="222" spans="1:32" ht="15" customHeight="1">
      <c r="A222" s="1294">
        <v>425</v>
      </c>
      <c r="B222" s="1294">
        <v>625</v>
      </c>
      <c r="C222" s="1295" t="s">
        <v>1331</v>
      </c>
      <c r="D222" s="1296" t="s">
        <v>2024</v>
      </c>
      <c r="E222" s="1296" t="s">
        <v>716</v>
      </c>
      <c r="F222" s="1297">
        <v>1211</v>
      </c>
      <c r="G222" s="1295" t="s">
        <v>189</v>
      </c>
      <c r="H222" s="1295" t="s">
        <v>2255</v>
      </c>
      <c r="I222" s="1296" t="s">
        <v>2256</v>
      </c>
      <c r="J222" s="1296"/>
      <c r="K222" s="1296" t="s">
        <v>2256</v>
      </c>
      <c r="L222" s="1296" t="s">
        <v>2257</v>
      </c>
      <c r="M222" s="1298">
        <v>2293.6</v>
      </c>
      <c r="N222" s="1298">
        <v>250</v>
      </c>
      <c r="O222" s="1298">
        <v>250</v>
      </c>
      <c r="P222" s="1298">
        <v>0</v>
      </c>
      <c r="Q222" s="1298">
        <v>2159</v>
      </c>
      <c r="R222" s="1298">
        <v>2159</v>
      </c>
      <c r="S222" s="1298">
        <v>30</v>
      </c>
      <c r="T222" s="1298">
        <v>12.6</v>
      </c>
      <c r="U222" s="1298">
        <v>22</v>
      </c>
      <c r="V222" s="1298">
        <v>0</v>
      </c>
      <c r="W222" s="1298">
        <v>0</v>
      </c>
      <c r="X222" s="1298">
        <v>0</v>
      </c>
      <c r="Y222" s="1298">
        <v>0</v>
      </c>
      <c r="Z222" s="1298">
        <v>0</v>
      </c>
      <c r="AA222" s="1298">
        <v>0</v>
      </c>
      <c r="AB222" s="1298">
        <v>0</v>
      </c>
      <c r="AC222" s="1298">
        <v>-89.96</v>
      </c>
      <c r="AD222" s="1298">
        <v>0</v>
      </c>
      <c r="AE222" s="1298">
        <v>0</v>
      </c>
      <c r="AF222" s="1298">
        <v>2133.64</v>
      </c>
    </row>
    <row r="223" spans="1:32" ht="15" customHeight="1">
      <c r="A223" s="1294">
        <v>285</v>
      </c>
      <c r="B223" s="1294">
        <v>647</v>
      </c>
      <c r="C223" s="1295" t="s">
        <v>1333</v>
      </c>
      <c r="D223" s="1296" t="s">
        <v>744</v>
      </c>
      <c r="E223" s="1296" t="s">
        <v>716</v>
      </c>
      <c r="F223" s="1297">
        <v>908</v>
      </c>
      <c r="G223" s="1295" t="s">
        <v>189</v>
      </c>
      <c r="H223" s="1295" t="s">
        <v>1334</v>
      </c>
      <c r="I223" s="1296" t="s">
        <v>1021</v>
      </c>
      <c r="J223" s="1296"/>
      <c r="K223" s="1296" t="s">
        <v>2023</v>
      </c>
      <c r="L223" s="1296" t="s">
        <v>2258</v>
      </c>
      <c r="M223" s="1298">
        <v>1996.6</v>
      </c>
      <c r="N223" s="1298">
        <v>0</v>
      </c>
      <c r="O223" s="1298">
        <v>0</v>
      </c>
      <c r="P223" s="1298">
        <v>37.590000000000003</v>
      </c>
      <c r="Q223" s="1298">
        <v>1912</v>
      </c>
      <c r="R223" s="1298">
        <v>1912</v>
      </c>
      <c r="S223" s="1298">
        <v>30</v>
      </c>
      <c r="T223" s="1298">
        <v>12.6</v>
      </c>
      <c r="U223" s="1298">
        <v>22</v>
      </c>
      <c r="V223" s="1298">
        <v>20</v>
      </c>
      <c r="W223" s="1298">
        <v>25</v>
      </c>
      <c r="X223" s="1298">
        <v>0</v>
      </c>
      <c r="Y223" s="1298">
        <v>50</v>
      </c>
      <c r="Z223" s="1298">
        <v>0</v>
      </c>
      <c r="AA223" s="1298">
        <v>0</v>
      </c>
      <c r="AB223" s="1298">
        <v>0</v>
      </c>
      <c r="AC223" s="1298">
        <v>0</v>
      </c>
      <c r="AD223" s="1298">
        <v>0</v>
      </c>
      <c r="AE223" s="1298">
        <v>0</v>
      </c>
      <c r="AF223" s="1298">
        <v>2071.6</v>
      </c>
    </row>
    <row r="224" spans="1:32" ht="15" customHeight="1">
      <c r="A224" s="1294">
        <v>77</v>
      </c>
      <c r="B224" s="1294">
        <v>80</v>
      </c>
      <c r="C224" s="1295" t="s">
        <v>1335</v>
      </c>
      <c r="D224" s="1296" t="s">
        <v>723</v>
      </c>
      <c r="E224" s="1296" t="s">
        <v>716</v>
      </c>
      <c r="F224" s="1297">
        <v>1156</v>
      </c>
      <c r="G224" s="1295" t="s">
        <v>189</v>
      </c>
      <c r="H224" s="1295" t="s">
        <v>1336</v>
      </c>
      <c r="I224" s="1296" t="s">
        <v>1337</v>
      </c>
      <c r="J224" s="1296"/>
      <c r="K224" s="1296" t="s">
        <v>786</v>
      </c>
      <c r="L224" s="1296" t="s">
        <v>735</v>
      </c>
      <c r="M224" s="1298">
        <v>2288.6</v>
      </c>
      <c r="N224" s="1298">
        <v>0</v>
      </c>
      <c r="O224" s="1298">
        <v>0</v>
      </c>
      <c r="P224" s="1298">
        <v>19.059999999999999</v>
      </c>
      <c r="Q224" s="1298">
        <v>2125</v>
      </c>
      <c r="R224" s="1298">
        <v>2125</v>
      </c>
      <c r="S224" s="1298">
        <v>25</v>
      </c>
      <c r="T224" s="1298">
        <v>12.6</v>
      </c>
      <c r="U224" s="1298">
        <v>20</v>
      </c>
      <c r="V224" s="1298">
        <v>20</v>
      </c>
      <c r="W224" s="1298">
        <v>0</v>
      </c>
      <c r="X224" s="1298">
        <v>0</v>
      </c>
      <c r="Y224" s="1298">
        <v>0</v>
      </c>
      <c r="Z224" s="1298">
        <v>0</v>
      </c>
      <c r="AA224" s="1298">
        <v>0</v>
      </c>
      <c r="AB224" s="1298">
        <v>0</v>
      </c>
      <c r="AC224" s="1298">
        <v>0</v>
      </c>
      <c r="AD224" s="1298">
        <v>0</v>
      </c>
      <c r="AE224" s="1298">
        <v>0</v>
      </c>
      <c r="AF224" s="1298">
        <v>2202.6</v>
      </c>
    </row>
    <row r="225" spans="1:32" ht="15" customHeight="1">
      <c r="A225" s="1294">
        <v>339</v>
      </c>
      <c r="B225" s="1294">
        <v>398</v>
      </c>
      <c r="C225" s="1295" t="s">
        <v>1338</v>
      </c>
      <c r="D225" s="1296" t="s">
        <v>2005</v>
      </c>
      <c r="E225" s="1296" t="s">
        <v>716</v>
      </c>
      <c r="F225" s="1297">
        <v>1102</v>
      </c>
      <c r="G225" s="1295" t="s">
        <v>189</v>
      </c>
      <c r="H225" s="1295" t="s">
        <v>1339</v>
      </c>
      <c r="I225" s="1296" t="s">
        <v>1340</v>
      </c>
      <c r="J225" s="1296"/>
      <c r="K225" s="1296" t="s">
        <v>1340</v>
      </c>
      <c r="L225" s="1296" t="s">
        <v>802</v>
      </c>
      <c r="M225" s="1298">
        <v>2243.6</v>
      </c>
      <c r="N225" s="1298">
        <v>0</v>
      </c>
      <c r="O225" s="1298">
        <v>0</v>
      </c>
      <c r="P225" s="1298">
        <v>107.28</v>
      </c>
      <c r="Q225" s="1298">
        <v>2184</v>
      </c>
      <c r="R225" s="1298">
        <v>2184</v>
      </c>
      <c r="S225" s="1298">
        <v>25</v>
      </c>
      <c r="T225" s="1298">
        <v>12.6</v>
      </c>
      <c r="U225" s="1298">
        <v>0</v>
      </c>
      <c r="V225" s="1298">
        <v>0</v>
      </c>
      <c r="W225" s="1298">
        <v>0</v>
      </c>
      <c r="X225" s="1298">
        <v>0</v>
      </c>
      <c r="Y225" s="1298">
        <v>0</v>
      </c>
      <c r="Z225" s="1298">
        <v>0</v>
      </c>
      <c r="AA225" s="1298">
        <v>0</v>
      </c>
      <c r="AB225" s="1298">
        <v>0</v>
      </c>
      <c r="AC225" s="1298">
        <v>0</v>
      </c>
      <c r="AD225" s="1298">
        <v>0</v>
      </c>
      <c r="AE225" s="1298">
        <v>0</v>
      </c>
      <c r="AF225" s="1298">
        <v>2221.6</v>
      </c>
    </row>
    <row r="226" spans="1:32" ht="15" customHeight="1">
      <c r="A226" s="1294">
        <v>378</v>
      </c>
      <c r="B226" s="1294">
        <v>525</v>
      </c>
      <c r="C226" s="1295" t="s">
        <v>1341</v>
      </c>
      <c r="D226" s="1296" t="s">
        <v>744</v>
      </c>
      <c r="E226" s="1296" t="s">
        <v>716</v>
      </c>
      <c r="F226" s="1297">
        <v>908</v>
      </c>
      <c r="G226" s="1295" t="s">
        <v>189</v>
      </c>
      <c r="H226" s="1295" t="s">
        <v>2089</v>
      </c>
      <c r="I226" s="1296" t="s">
        <v>904</v>
      </c>
      <c r="J226" s="1296"/>
      <c r="K226" s="1296" t="s">
        <v>904</v>
      </c>
      <c r="L226" s="1296" t="s">
        <v>2088</v>
      </c>
      <c r="M226" s="1298">
        <v>2221.6</v>
      </c>
      <c r="N226" s="1298">
        <v>250</v>
      </c>
      <c r="O226" s="1298">
        <v>250</v>
      </c>
      <c r="P226" s="1298">
        <v>40.83</v>
      </c>
      <c r="Q226" s="1298">
        <v>1987</v>
      </c>
      <c r="R226" s="1298">
        <v>1987</v>
      </c>
      <c r="S226" s="1298">
        <v>30</v>
      </c>
      <c r="T226" s="1298">
        <v>12.6</v>
      </c>
      <c r="U226" s="1298">
        <v>22</v>
      </c>
      <c r="V226" s="1298">
        <v>0</v>
      </c>
      <c r="W226" s="1298">
        <v>0</v>
      </c>
      <c r="X226" s="1298">
        <v>0</v>
      </c>
      <c r="Y226" s="1298">
        <v>0</v>
      </c>
      <c r="Z226" s="1298">
        <v>0</v>
      </c>
      <c r="AA226" s="1298">
        <v>0</v>
      </c>
      <c r="AB226" s="1298">
        <v>0</v>
      </c>
      <c r="AC226" s="1298">
        <v>0</v>
      </c>
      <c r="AD226" s="1298">
        <v>0</v>
      </c>
      <c r="AE226" s="1298">
        <v>0</v>
      </c>
      <c r="AF226" s="1298">
        <v>2051.6</v>
      </c>
    </row>
    <row r="227" spans="1:32" ht="15" customHeight="1">
      <c r="A227" s="1294">
        <v>312</v>
      </c>
      <c r="B227" s="1294">
        <v>646</v>
      </c>
      <c r="C227" s="1295" t="s">
        <v>1342</v>
      </c>
      <c r="D227" s="1296" t="s">
        <v>2009</v>
      </c>
      <c r="E227" s="1296" t="s">
        <v>716</v>
      </c>
      <c r="F227" s="1297">
        <v>791</v>
      </c>
      <c r="G227" s="1295" t="s">
        <v>189</v>
      </c>
      <c r="H227" s="1295" t="s">
        <v>1343</v>
      </c>
      <c r="I227" s="1296" t="s">
        <v>1344</v>
      </c>
      <c r="J227" s="1296"/>
      <c r="K227" s="1296" t="s">
        <v>1318</v>
      </c>
      <c r="L227" s="1296" t="s">
        <v>2073</v>
      </c>
      <c r="M227" s="1298">
        <v>1831.6</v>
      </c>
      <c r="N227" s="1298">
        <v>0</v>
      </c>
      <c r="O227" s="1298">
        <v>0</v>
      </c>
      <c r="P227" s="1298">
        <v>92.88</v>
      </c>
      <c r="Q227" s="1298">
        <v>1767</v>
      </c>
      <c r="R227" s="1298">
        <v>1767</v>
      </c>
      <c r="S227" s="1298">
        <v>25</v>
      </c>
      <c r="T227" s="1298">
        <v>12.6</v>
      </c>
      <c r="U227" s="1298">
        <v>21</v>
      </c>
      <c r="V227" s="1298">
        <v>20</v>
      </c>
      <c r="W227" s="1298">
        <v>25</v>
      </c>
      <c r="X227" s="1298">
        <v>0</v>
      </c>
      <c r="Y227" s="1298">
        <v>50</v>
      </c>
      <c r="Z227" s="1298">
        <v>0</v>
      </c>
      <c r="AA227" s="1298">
        <v>0</v>
      </c>
      <c r="AB227" s="1298">
        <v>0</v>
      </c>
      <c r="AC227" s="1298">
        <v>0</v>
      </c>
      <c r="AD227" s="1298">
        <v>0</v>
      </c>
      <c r="AE227" s="1298">
        <v>0</v>
      </c>
      <c r="AF227" s="1298">
        <v>1920.6</v>
      </c>
    </row>
    <row r="228" spans="1:32" ht="15" customHeight="1">
      <c r="A228" s="1294">
        <v>301</v>
      </c>
      <c r="B228" s="1294">
        <v>645</v>
      </c>
      <c r="C228" s="1295" t="s">
        <v>1345</v>
      </c>
      <c r="D228" s="1296" t="s">
        <v>2010</v>
      </c>
      <c r="E228" s="1296" t="s">
        <v>716</v>
      </c>
      <c r="F228" s="1297">
        <v>958</v>
      </c>
      <c r="G228" s="1295" t="s">
        <v>189</v>
      </c>
      <c r="H228" s="1295" t="s">
        <v>1346</v>
      </c>
      <c r="I228" s="1296" t="s">
        <v>1069</v>
      </c>
      <c r="J228" s="1296"/>
      <c r="K228" s="1296" t="s">
        <v>1545</v>
      </c>
      <c r="L228" s="1296" t="s">
        <v>2259</v>
      </c>
      <c r="M228" s="1298">
        <v>2035.6</v>
      </c>
      <c r="N228" s="1298">
        <v>0</v>
      </c>
      <c r="O228" s="1298">
        <v>0</v>
      </c>
      <c r="P228" s="1298">
        <v>52.39</v>
      </c>
      <c r="Q228" s="1298">
        <v>1951</v>
      </c>
      <c r="R228" s="1298">
        <v>1951</v>
      </c>
      <c r="S228" s="1298">
        <v>0</v>
      </c>
      <c r="T228" s="1298">
        <v>0</v>
      </c>
      <c r="U228" s="1298">
        <v>0</v>
      </c>
      <c r="V228" s="1298">
        <v>20</v>
      </c>
      <c r="W228" s="1298">
        <v>0</v>
      </c>
      <c r="X228" s="1298">
        <v>0</v>
      </c>
      <c r="Y228" s="1298">
        <v>50</v>
      </c>
      <c r="Z228" s="1298">
        <v>0</v>
      </c>
      <c r="AA228" s="1298">
        <v>0</v>
      </c>
      <c r="AB228" s="1298">
        <v>0</v>
      </c>
      <c r="AC228" s="1298">
        <v>0</v>
      </c>
      <c r="AD228" s="1298">
        <v>0</v>
      </c>
      <c r="AE228" s="1298">
        <v>0</v>
      </c>
      <c r="AF228" s="1298">
        <v>2021</v>
      </c>
    </row>
    <row r="229" spans="1:32" ht="15" customHeight="1">
      <c r="A229" s="1294">
        <v>127</v>
      </c>
      <c r="B229" s="1294">
        <v>494</v>
      </c>
      <c r="C229" s="1295" t="s">
        <v>1348</v>
      </c>
      <c r="D229" s="1296" t="s">
        <v>753</v>
      </c>
      <c r="E229" s="1296" t="s">
        <v>716</v>
      </c>
      <c r="F229" s="1297">
        <v>609</v>
      </c>
      <c r="G229" s="1295" t="s">
        <v>189</v>
      </c>
      <c r="H229" s="1295" t="s">
        <v>1349</v>
      </c>
      <c r="I229" s="1296" t="s">
        <v>1350</v>
      </c>
      <c r="J229" s="1296"/>
      <c r="K229" s="1296" t="s">
        <v>1876</v>
      </c>
      <c r="L229" s="1296" t="s">
        <v>1877</v>
      </c>
      <c r="M229" s="1298">
        <v>1671.6</v>
      </c>
      <c r="N229" s="1298">
        <v>250</v>
      </c>
      <c r="O229" s="1298">
        <v>250</v>
      </c>
      <c r="P229" s="1298">
        <v>42.56</v>
      </c>
      <c r="Q229" s="1298">
        <v>1537</v>
      </c>
      <c r="R229" s="1298">
        <v>1537</v>
      </c>
      <c r="S229" s="1298">
        <v>30</v>
      </c>
      <c r="T229" s="1298">
        <v>12.6</v>
      </c>
      <c r="U229" s="1298">
        <v>22</v>
      </c>
      <c r="V229" s="1298">
        <v>20</v>
      </c>
      <c r="W229" s="1298">
        <v>0</v>
      </c>
      <c r="X229" s="1298">
        <v>0</v>
      </c>
      <c r="Y229" s="1298">
        <v>0</v>
      </c>
      <c r="Z229" s="1298">
        <v>11.5</v>
      </c>
      <c r="AA229" s="1298">
        <v>0</v>
      </c>
      <c r="AB229" s="1298">
        <v>0</v>
      </c>
      <c r="AC229" s="1298">
        <v>0</v>
      </c>
      <c r="AD229" s="1298">
        <v>0</v>
      </c>
      <c r="AE229" s="1298">
        <v>0</v>
      </c>
      <c r="AF229" s="1298">
        <v>1633.1</v>
      </c>
    </row>
    <row r="230" spans="1:32" ht="15" customHeight="1">
      <c r="A230" s="1294">
        <v>182</v>
      </c>
      <c r="B230" s="1294">
        <v>418</v>
      </c>
      <c r="C230" s="1295" t="s">
        <v>1351</v>
      </c>
      <c r="D230" s="1296" t="s">
        <v>759</v>
      </c>
      <c r="E230" s="1296" t="s">
        <v>716</v>
      </c>
      <c r="F230" s="1297">
        <v>813</v>
      </c>
      <c r="G230" s="1295" t="s">
        <v>189</v>
      </c>
      <c r="H230" s="1295" t="s">
        <v>1352</v>
      </c>
      <c r="I230" s="1296" t="s">
        <v>1353</v>
      </c>
      <c r="J230" s="1296"/>
      <c r="K230" s="1296" t="s">
        <v>1862</v>
      </c>
      <c r="L230" s="1296" t="s">
        <v>1423</v>
      </c>
      <c r="M230" s="1298">
        <v>1950.6</v>
      </c>
      <c r="N230" s="1298">
        <v>0</v>
      </c>
      <c r="O230" s="1298">
        <v>0</v>
      </c>
      <c r="P230" s="1298">
        <v>109.27</v>
      </c>
      <c r="Q230" s="1298">
        <v>1815</v>
      </c>
      <c r="R230" s="1298">
        <v>1815</v>
      </c>
      <c r="S230" s="1298">
        <v>25</v>
      </c>
      <c r="T230" s="1298">
        <v>12.6</v>
      </c>
      <c r="U230" s="1298">
        <v>20</v>
      </c>
      <c r="V230" s="1298">
        <v>20</v>
      </c>
      <c r="W230" s="1298">
        <v>0</v>
      </c>
      <c r="X230" s="1298">
        <v>0</v>
      </c>
      <c r="Y230" s="1298">
        <v>0</v>
      </c>
      <c r="Z230" s="1298">
        <v>0</v>
      </c>
      <c r="AA230" s="1298">
        <v>0</v>
      </c>
      <c r="AB230" s="1298">
        <v>0</v>
      </c>
      <c r="AC230" s="1298">
        <v>0</v>
      </c>
      <c r="AD230" s="1298">
        <v>0</v>
      </c>
      <c r="AE230" s="1298">
        <v>0</v>
      </c>
      <c r="AF230" s="1298">
        <v>1892.6</v>
      </c>
    </row>
    <row r="231" spans="1:32" ht="15" customHeight="1">
      <c r="A231" s="1294">
        <v>64</v>
      </c>
      <c r="B231" s="1294">
        <v>492</v>
      </c>
      <c r="C231" s="1295" t="s">
        <v>1354</v>
      </c>
      <c r="D231" s="1296" t="s">
        <v>890</v>
      </c>
      <c r="E231" s="1296" t="s">
        <v>716</v>
      </c>
      <c r="F231" s="1297">
        <v>1539</v>
      </c>
      <c r="G231" s="1295" t="s">
        <v>189</v>
      </c>
      <c r="H231" s="1295" t="s">
        <v>1355</v>
      </c>
      <c r="I231" s="1296" t="s">
        <v>1356</v>
      </c>
      <c r="J231" s="1296"/>
      <c r="K231" s="1296" t="s">
        <v>904</v>
      </c>
      <c r="L231" s="1296" t="s">
        <v>1853</v>
      </c>
      <c r="M231" s="1298">
        <v>2883.6</v>
      </c>
      <c r="N231" s="1298">
        <v>0</v>
      </c>
      <c r="O231" s="1298">
        <v>0</v>
      </c>
      <c r="P231" s="1298">
        <v>75.709999999999994</v>
      </c>
      <c r="Q231" s="1298">
        <v>2678</v>
      </c>
      <c r="R231" s="1298">
        <v>2678</v>
      </c>
      <c r="S231" s="1298">
        <v>30</v>
      </c>
      <c r="T231" s="1298">
        <v>12.6</v>
      </c>
      <c r="U231" s="1298">
        <v>22</v>
      </c>
      <c r="V231" s="1298">
        <v>20</v>
      </c>
      <c r="W231" s="1298">
        <v>0</v>
      </c>
      <c r="X231" s="1298">
        <v>0</v>
      </c>
      <c r="Y231" s="1298">
        <v>0</v>
      </c>
      <c r="Z231" s="1298">
        <v>11.5</v>
      </c>
      <c r="AA231" s="1298">
        <v>0</v>
      </c>
      <c r="AB231" s="1298">
        <v>0</v>
      </c>
      <c r="AC231" s="1298">
        <v>0</v>
      </c>
      <c r="AD231" s="1298">
        <v>0</v>
      </c>
      <c r="AE231" s="1298">
        <v>0</v>
      </c>
      <c r="AF231" s="1298">
        <v>2774.1</v>
      </c>
    </row>
    <row r="232" spans="1:32" ht="15" customHeight="1">
      <c r="A232" s="1294">
        <v>145</v>
      </c>
      <c r="B232" s="1294">
        <v>436</v>
      </c>
      <c r="C232" s="1295" t="s">
        <v>1357</v>
      </c>
      <c r="D232" s="1296" t="s">
        <v>2030</v>
      </c>
      <c r="E232" s="1296" t="s">
        <v>716</v>
      </c>
      <c r="F232" s="1297">
        <v>1238</v>
      </c>
      <c r="G232" s="1295" t="s">
        <v>189</v>
      </c>
      <c r="H232" s="1295" t="s">
        <v>1358</v>
      </c>
      <c r="I232" s="1296" t="s">
        <v>1359</v>
      </c>
      <c r="J232" s="1296"/>
      <c r="K232" s="1296" t="s">
        <v>1151</v>
      </c>
      <c r="L232" s="1296" t="s">
        <v>1878</v>
      </c>
      <c r="M232" s="1298">
        <v>2553.6</v>
      </c>
      <c r="N232" s="1298">
        <v>0</v>
      </c>
      <c r="O232" s="1298">
        <v>0</v>
      </c>
      <c r="P232" s="1298">
        <v>102.57</v>
      </c>
      <c r="Q232" s="1298">
        <v>2256</v>
      </c>
      <c r="R232" s="1298">
        <v>2256</v>
      </c>
      <c r="S232" s="1298">
        <v>25</v>
      </c>
      <c r="T232" s="1298">
        <v>12.6</v>
      </c>
      <c r="U232" s="1298">
        <v>17</v>
      </c>
      <c r="V232" s="1298">
        <v>20</v>
      </c>
      <c r="W232" s="1298">
        <v>0</v>
      </c>
      <c r="X232" s="1298">
        <v>0</v>
      </c>
      <c r="Y232" s="1298">
        <v>0</v>
      </c>
      <c r="Z232" s="1298">
        <v>11.5</v>
      </c>
      <c r="AA232" s="1298">
        <v>0</v>
      </c>
      <c r="AB232" s="1298">
        <v>0</v>
      </c>
      <c r="AC232" s="1298">
        <v>0</v>
      </c>
      <c r="AD232" s="1298">
        <v>0</v>
      </c>
      <c r="AE232" s="1298">
        <v>0</v>
      </c>
      <c r="AF232" s="1298">
        <v>2342.1</v>
      </c>
    </row>
    <row r="233" spans="1:32" ht="15" customHeight="1">
      <c r="A233" s="1294">
        <v>372</v>
      </c>
      <c r="B233" s="1294">
        <v>506</v>
      </c>
      <c r="C233" s="1295" t="s">
        <v>1360</v>
      </c>
      <c r="D233" s="1296" t="s">
        <v>1009</v>
      </c>
      <c r="E233" s="1296" t="s">
        <v>716</v>
      </c>
      <c r="F233" s="1297">
        <v>851</v>
      </c>
      <c r="G233" s="1295" t="s">
        <v>189</v>
      </c>
      <c r="H233" s="1295" t="s">
        <v>1879</v>
      </c>
      <c r="I233" s="1296" t="s">
        <v>1312</v>
      </c>
      <c r="J233" s="1296"/>
      <c r="K233" s="1296" t="s">
        <v>1312</v>
      </c>
      <c r="L233" s="1296" t="s">
        <v>1880</v>
      </c>
      <c r="M233" s="1298">
        <v>2040.6</v>
      </c>
      <c r="N233" s="1298">
        <v>250</v>
      </c>
      <c r="O233" s="1298">
        <v>250</v>
      </c>
      <c r="P233" s="1298">
        <v>70.12</v>
      </c>
      <c r="Q233" s="1298">
        <v>1956</v>
      </c>
      <c r="R233" s="1298">
        <v>1956</v>
      </c>
      <c r="S233" s="1298">
        <v>30</v>
      </c>
      <c r="T233" s="1298">
        <v>12.6</v>
      </c>
      <c r="U233" s="1298">
        <v>22</v>
      </c>
      <c r="V233" s="1298">
        <v>0</v>
      </c>
      <c r="W233" s="1298">
        <v>0</v>
      </c>
      <c r="X233" s="1298">
        <v>0</v>
      </c>
      <c r="Y233" s="1298">
        <v>0</v>
      </c>
      <c r="Z233" s="1298">
        <v>0</v>
      </c>
      <c r="AA233" s="1298">
        <v>0</v>
      </c>
      <c r="AB233" s="1298">
        <v>0</v>
      </c>
      <c r="AC233" s="1298">
        <v>0</v>
      </c>
      <c r="AD233" s="1298">
        <v>0</v>
      </c>
      <c r="AE233" s="1298">
        <v>0</v>
      </c>
      <c r="AF233" s="1298">
        <v>2020.6</v>
      </c>
    </row>
    <row r="234" spans="1:32" ht="15" customHeight="1">
      <c r="A234" s="1294">
        <v>228</v>
      </c>
      <c r="B234" s="1294">
        <v>568</v>
      </c>
      <c r="C234" s="1295" t="s">
        <v>1361</v>
      </c>
      <c r="D234" s="1296" t="s">
        <v>840</v>
      </c>
      <c r="E234" s="1296" t="s">
        <v>716</v>
      </c>
      <c r="F234" s="1297">
        <v>1235</v>
      </c>
      <c r="G234" s="1295" t="s">
        <v>189</v>
      </c>
      <c r="H234" s="1295" t="s">
        <v>1244</v>
      </c>
      <c r="I234" s="1296" t="s">
        <v>2090</v>
      </c>
      <c r="J234" s="1296"/>
      <c r="K234" s="1296" t="s">
        <v>2090</v>
      </c>
      <c r="L234" s="1296" t="s">
        <v>2091</v>
      </c>
      <c r="M234" s="1298">
        <v>2383.6</v>
      </c>
      <c r="N234" s="1298">
        <v>0</v>
      </c>
      <c r="O234" s="1298">
        <v>0</v>
      </c>
      <c r="P234" s="1298">
        <v>-2338.9899999999998</v>
      </c>
      <c r="Q234" s="1298">
        <v>2249</v>
      </c>
      <c r="R234" s="1298">
        <v>2249</v>
      </c>
      <c r="S234" s="1298">
        <v>25</v>
      </c>
      <c r="T234" s="1298">
        <v>12.6</v>
      </c>
      <c r="U234" s="1298">
        <v>21</v>
      </c>
      <c r="V234" s="1298">
        <v>20</v>
      </c>
      <c r="W234" s="1298">
        <v>0</v>
      </c>
      <c r="X234" s="1298">
        <v>0</v>
      </c>
      <c r="Y234" s="1298">
        <v>0</v>
      </c>
      <c r="Z234" s="1298">
        <v>0</v>
      </c>
      <c r="AA234" s="1298">
        <v>0</v>
      </c>
      <c r="AB234" s="1298">
        <v>0</v>
      </c>
      <c r="AC234" s="1298">
        <v>0</v>
      </c>
      <c r="AD234" s="1298">
        <v>0</v>
      </c>
      <c r="AE234" s="1298">
        <v>0</v>
      </c>
      <c r="AF234" s="1298">
        <v>2327.6</v>
      </c>
    </row>
    <row r="235" spans="1:32" ht="15" customHeight="1">
      <c r="A235" s="1294">
        <v>75</v>
      </c>
      <c r="B235" s="1294">
        <v>680</v>
      </c>
      <c r="C235" s="1295" t="s">
        <v>1362</v>
      </c>
      <c r="D235" s="1296" t="s">
        <v>2031</v>
      </c>
      <c r="E235" s="1296" t="s">
        <v>716</v>
      </c>
      <c r="F235" s="1297">
        <v>932</v>
      </c>
      <c r="G235" s="1295" t="s">
        <v>189</v>
      </c>
      <c r="H235" s="1295" t="s">
        <v>766</v>
      </c>
      <c r="I235" s="1296" t="s">
        <v>2249</v>
      </c>
      <c r="J235" s="1296"/>
      <c r="K235" s="1296" t="s">
        <v>2249</v>
      </c>
      <c r="L235" s="1296" t="s">
        <v>2250</v>
      </c>
      <c r="M235" s="1298">
        <v>2270.6</v>
      </c>
      <c r="N235" s="1298">
        <v>0</v>
      </c>
      <c r="O235" s="1298">
        <v>0</v>
      </c>
      <c r="P235" s="1298">
        <v>-3439.77</v>
      </c>
      <c r="Q235" s="1298">
        <v>2136</v>
      </c>
      <c r="R235" s="1298">
        <v>2136</v>
      </c>
      <c r="S235" s="1298">
        <v>30</v>
      </c>
      <c r="T235" s="1298">
        <v>12.6</v>
      </c>
      <c r="U235" s="1298">
        <v>22</v>
      </c>
      <c r="V235" s="1298">
        <v>20</v>
      </c>
      <c r="W235" s="1298">
        <v>0</v>
      </c>
      <c r="X235" s="1298">
        <v>0</v>
      </c>
      <c r="Y235" s="1298">
        <v>50</v>
      </c>
      <c r="Z235" s="1298">
        <v>0</v>
      </c>
      <c r="AA235" s="1298">
        <v>0</v>
      </c>
      <c r="AB235" s="1298">
        <v>0</v>
      </c>
      <c r="AC235" s="1298">
        <v>0</v>
      </c>
      <c r="AD235" s="1298">
        <v>0</v>
      </c>
      <c r="AE235" s="1298">
        <v>0</v>
      </c>
      <c r="AF235" s="1298">
        <v>2270.6</v>
      </c>
    </row>
    <row r="236" spans="1:32" ht="15" customHeight="1">
      <c r="A236" s="1294">
        <v>67</v>
      </c>
      <c r="B236" s="1294">
        <v>551</v>
      </c>
      <c r="C236" s="1295" t="s">
        <v>1363</v>
      </c>
      <c r="D236" s="1296" t="s">
        <v>840</v>
      </c>
      <c r="E236" s="1296" t="s">
        <v>716</v>
      </c>
      <c r="F236" s="1297">
        <v>1235</v>
      </c>
      <c r="G236" s="1295" t="s">
        <v>189</v>
      </c>
      <c r="H236" s="1295" t="s">
        <v>1364</v>
      </c>
      <c r="I236" s="1296" t="s">
        <v>1365</v>
      </c>
      <c r="J236" s="1296"/>
      <c r="K236" s="1296" t="s">
        <v>2260</v>
      </c>
      <c r="L236" s="1296" t="s">
        <v>2261</v>
      </c>
      <c r="M236" s="1298">
        <v>2533.6</v>
      </c>
      <c r="N236" s="1298">
        <v>0</v>
      </c>
      <c r="O236" s="1298">
        <v>0</v>
      </c>
      <c r="P236" s="1298">
        <v>-176.53</v>
      </c>
      <c r="Q236" s="1298">
        <v>2328</v>
      </c>
      <c r="R236" s="1298">
        <v>2328</v>
      </c>
      <c r="S236" s="1298">
        <v>30</v>
      </c>
      <c r="T236" s="1298">
        <v>12.6</v>
      </c>
      <c r="U236" s="1298">
        <v>22</v>
      </c>
      <c r="V236" s="1298">
        <v>20</v>
      </c>
      <c r="W236" s="1298">
        <v>0</v>
      </c>
      <c r="X236" s="1298">
        <v>0</v>
      </c>
      <c r="Y236" s="1298">
        <v>0</v>
      </c>
      <c r="Z236" s="1298">
        <v>0</v>
      </c>
      <c r="AA236" s="1298">
        <v>0</v>
      </c>
      <c r="AB236" s="1298">
        <v>0</v>
      </c>
      <c r="AC236" s="1298">
        <v>0</v>
      </c>
      <c r="AD236" s="1298">
        <v>0</v>
      </c>
      <c r="AE236" s="1298">
        <v>0</v>
      </c>
      <c r="AF236" s="1298">
        <v>2412.6</v>
      </c>
    </row>
    <row r="237" spans="1:32" ht="15" customHeight="1">
      <c r="A237" s="1294">
        <v>271</v>
      </c>
      <c r="B237" s="1294">
        <v>671</v>
      </c>
      <c r="C237" s="1295" t="s">
        <v>1367</v>
      </c>
      <c r="D237" s="1296" t="s">
        <v>2012</v>
      </c>
      <c r="E237" s="1296" t="s">
        <v>716</v>
      </c>
      <c r="F237" s="1297">
        <v>1037</v>
      </c>
      <c r="G237" s="1295" t="s">
        <v>189</v>
      </c>
      <c r="H237" s="1295" t="s">
        <v>906</v>
      </c>
      <c r="I237" s="1296" t="s">
        <v>939</v>
      </c>
      <c r="J237" s="1296"/>
      <c r="K237" s="1296" t="s">
        <v>939</v>
      </c>
      <c r="L237" s="1296" t="s">
        <v>1839</v>
      </c>
      <c r="M237" s="1298">
        <v>2350.6</v>
      </c>
      <c r="N237" s="1298">
        <v>0</v>
      </c>
      <c r="O237" s="1298">
        <v>0</v>
      </c>
      <c r="P237" s="1298">
        <v>-2424.8000000000002</v>
      </c>
      <c r="Q237" s="1298">
        <v>2216</v>
      </c>
      <c r="R237" s="1298">
        <v>2216</v>
      </c>
      <c r="S237" s="1298">
        <v>30</v>
      </c>
      <c r="T237" s="1298">
        <v>12.6</v>
      </c>
      <c r="U237" s="1298">
        <v>22</v>
      </c>
      <c r="V237" s="1298">
        <v>20</v>
      </c>
      <c r="W237" s="1298">
        <v>0</v>
      </c>
      <c r="X237" s="1298">
        <v>0</v>
      </c>
      <c r="Y237" s="1298">
        <v>50</v>
      </c>
      <c r="Z237" s="1298">
        <v>0</v>
      </c>
      <c r="AA237" s="1298">
        <v>0</v>
      </c>
      <c r="AB237" s="1298">
        <v>0</v>
      </c>
      <c r="AC237" s="1298">
        <v>0</v>
      </c>
      <c r="AD237" s="1298">
        <v>0</v>
      </c>
      <c r="AE237" s="1298">
        <v>0</v>
      </c>
      <c r="AF237" s="1298">
        <v>2350.6</v>
      </c>
    </row>
    <row r="238" spans="1:32" ht="15" customHeight="1">
      <c r="A238" s="1294">
        <v>164</v>
      </c>
      <c r="B238" s="1294">
        <v>488</v>
      </c>
      <c r="C238" s="1295" t="s">
        <v>1369</v>
      </c>
      <c r="D238" s="1296" t="s">
        <v>772</v>
      </c>
      <c r="E238" s="1296" t="s">
        <v>716</v>
      </c>
      <c r="F238" s="1297">
        <v>937</v>
      </c>
      <c r="G238" s="1295" t="s">
        <v>189</v>
      </c>
      <c r="H238" s="1295" t="s">
        <v>1370</v>
      </c>
      <c r="I238" s="1296" t="s">
        <v>1371</v>
      </c>
      <c r="J238" s="1296"/>
      <c r="K238" s="1296" t="s">
        <v>1881</v>
      </c>
      <c r="L238" s="1296" t="s">
        <v>1882</v>
      </c>
      <c r="M238" s="1298">
        <v>2040.6</v>
      </c>
      <c r="N238" s="1298">
        <v>2015</v>
      </c>
      <c r="O238" s="1298">
        <v>2015</v>
      </c>
      <c r="P238" s="1298">
        <v>51.8</v>
      </c>
      <c r="Q238" s="1298">
        <v>1786</v>
      </c>
      <c r="R238" s="1298">
        <v>1786</v>
      </c>
      <c r="S238" s="1298">
        <v>30</v>
      </c>
      <c r="T238" s="1298">
        <v>11.5</v>
      </c>
      <c r="U238" s="1298">
        <v>0</v>
      </c>
      <c r="V238" s="1298">
        <v>20</v>
      </c>
      <c r="W238" s="1298">
        <v>0</v>
      </c>
      <c r="X238" s="1298">
        <v>0</v>
      </c>
      <c r="Y238" s="1298">
        <v>0</v>
      </c>
      <c r="Z238" s="1298">
        <v>0</v>
      </c>
      <c r="AA238" s="1298">
        <v>0</v>
      </c>
      <c r="AB238" s="1298">
        <v>0</v>
      </c>
      <c r="AC238" s="1298">
        <v>0</v>
      </c>
      <c r="AD238" s="1298">
        <v>0</v>
      </c>
      <c r="AE238" s="1298">
        <v>0</v>
      </c>
      <c r="AF238" s="1298">
        <v>1847.5</v>
      </c>
    </row>
    <row r="239" spans="1:32" ht="15" customHeight="1">
      <c r="A239" s="1294">
        <v>21</v>
      </c>
      <c r="B239" s="1294">
        <v>429</v>
      </c>
      <c r="C239" s="1295" t="s">
        <v>1372</v>
      </c>
      <c r="D239" s="1296" t="s">
        <v>775</v>
      </c>
      <c r="E239" s="1296" t="s">
        <v>716</v>
      </c>
      <c r="F239" s="1297">
        <v>1219</v>
      </c>
      <c r="G239" s="1295" t="s">
        <v>189</v>
      </c>
      <c r="H239" s="1295" t="s">
        <v>1373</v>
      </c>
      <c r="I239" s="1296" t="s">
        <v>1374</v>
      </c>
      <c r="J239" s="1296"/>
      <c r="K239" s="1296" t="s">
        <v>893</v>
      </c>
      <c r="L239" s="1296" t="s">
        <v>1883</v>
      </c>
      <c r="M239" s="1298">
        <v>2533.6</v>
      </c>
      <c r="N239" s="1298">
        <v>200</v>
      </c>
      <c r="O239" s="1298">
        <v>200</v>
      </c>
      <c r="P239" s="1298">
        <v>105.36</v>
      </c>
      <c r="Q239" s="1298">
        <v>2399</v>
      </c>
      <c r="R239" s="1298">
        <v>2399</v>
      </c>
      <c r="S239" s="1298">
        <v>25</v>
      </c>
      <c r="T239" s="1298">
        <v>12.6</v>
      </c>
      <c r="U239" s="1298">
        <v>17</v>
      </c>
      <c r="V239" s="1298">
        <v>20</v>
      </c>
      <c r="W239" s="1298">
        <v>0</v>
      </c>
      <c r="X239" s="1298">
        <v>0</v>
      </c>
      <c r="Y239" s="1298">
        <v>0</v>
      </c>
      <c r="Z239" s="1298">
        <v>0</v>
      </c>
      <c r="AA239" s="1298">
        <v>0</v>
      </c>
      <c r="AB239" s="1298">
        <v>0</v>
      </c>
      <c r="AC239" s="1298">
        <v>0</v>
      </c>
      <c r="AD239" s="1298">
        <v>0</v>
      </c>
      <c r="AE239" s="1298">
        <v>0</v>
      </c>
      <c r="AF239" s="1298">
        <v>2473.6</v>
      </c>
    </row>
    <row r="240" spans="1:32" ht="15" customHeight="1">
      <c r="A240" s="1294">
        <v>253</v>
      </c>
      <c r="B240" s="1294">
        <v>510</v>
      </c>
      <c r="C240" s="1295" t="s">
        <v>1375</v>
      </c>
      <c r="D240" s="1296" t="s">
        <v>781</v>
      </c>
      <c r="E240" s="1296" t="s">
        <v>716</v>
      </c>
      <c r="F240" s="1297">
        <v>1429</v>
      </c>
      <c r="G240" s="1295" t="s">
        <v>189</v>
      </c>
      <c r="H240" s="1295" t="s">
        <v>1376</v>
      </c>
      <c r="I240" s="1296" t="s">
        <v>1006</v>
      </c>
      <c r="J240" s="1296"/>
      <c r="K240" s="1296" t="s">
        <v>1477</v>
      </c>
      <c r="L240" s="1296" t="s">
        <v>2020</v>
      </c>
      <c r="M240" s="1298">
        <v>2773.6</v>
      </c>
      <c r="N240" s="1298">
        <v>0</v>
      </c>
      <c r="O240" s="1298">
        <v>0</v>
      </c>
      <c r="P240" s="1298">
        <v>61.01</v>
      </c>
      <c r="Q240" s="1298">
        <v>2589</v>
      </c>
      <c r="R240" s="1298">
        <v>2589</v>
      </c>
      <c r="S240" s="1298">
        <v>30</v>
      </c>
      <c r="T240" s="1298">
        <v>12.6</v>
      </c>
      <c r="U240" s="1298">
        <v>22</v>
      </c>
      <c r="V240" s="1298">
        <v>20</v>
      </c>
      <c r="W240" s="1298">
        <v>0</v>
      </c>
      <c r="X240" s="1298">
        <v>0</v>
      </c>
      <c r="Y240" s="1298">
        <v>0</v>
      </c>
      <c r="Z240" s="1298">
        <v>11.5</v>
      </c>
      <c r="AA240" s="1298">
        <v>0</v>
      </c>
      <c r="AB240" s="1298">
        <v>0</v>
      </c>
      <c r="AC240" s="1298">
        <v>0</v>
      </c>
      <c r="AD240" s="1298">
        <v>0</v>
      </c>
      <c r="AE240" s="1298">
        <v>0</v>
      </c>
      <c r="AF240" s="1298">
        <v>2685.1</v>
      </c>
    </row>
    <row r="241" spans="1:32" ht="15" customHeight="1">
      <c r="A241" s="1294">
        <v>354</v>
      </c>
      <c r="B241" s="1294">
        <v>449</v>
      </c>
      <c r="C241" s="1295" t="s">
        <v>1377</v>
      </c>
      <c r="D241" s="1296" t="s">
        <v>2013</v>
      </c>
      <c r="E241" s="1296" t="s">
        <v>716</v>
      </c>
      <c r="F241" s="1297">
        <v>698</v>
      </c>
      <c r="G241" s="1295" t="s">
        <v>189</v>
      </c>
      <c r="H241" s="1295" t="s">
        <v>1884</v>
      </c>
      <c r="I241" s="1296" t="s">
        <v>1226</v>
      </c>
      <c r="J241" s="1296"/>
      <c r="K241" s="1296" t="s">
        <v>1226</v>
      </c>
      <c r="L241" s="1296" t="s">
        <v>1873</v>
      </c>
      <c r="M241" s="1298">
        <v>1771.6</v>
      </c>
      <c r="N241" s="1298">
        <v>250</v>
      </c>
      <c r="O241" s="1298">
        <v>250</v>
      </c>
      <c r="P241" s="1298">
        <v>0</v>
      </c>
      <c r="Q241" s="1298">
        <v>1637</v>
      </c>
      <c r="R241" s="1298">
        <v>1637</v>
      </c>
      <c r="S241" s="1298">
        <v>30</v>
      </c>
      <c r="T241" s="1298">
        <v>12.6</v>
      </c>
      <c r="U241" s="1298">
        <v>22</v>
      </c>
      <c r="V241" s="1298">
        <v>0</v>
      </c>
      <c r="W241" s="1298">
        <v>0</v>
      </c>
      <c r="X241" s="1298">
        <v>0</v>
      </c>
      <c r="Y241" s="1298">
        <v>0</v>
      </c>
      <c r="Z241" s="1298">
        <v>0</v>
      </c>
      <c r="AA241" s="1298">
        <v>0</v>
      </c>
      <c r="AB241" s="1298">
        <v>0</v>
      </c>
      <c r="AC241" s="1298">
        <v>0</v>
      </c>
      <c r="AD241" s="1298">
        <v>0</v>
      </c>
      <c r="AE241" s="1298">
        <v>0</v>
      </c>
      <c r="AF241" s="1298">
        <v>1701.6</v>
      </c>
    </row>
    <row r="242" spans="1:32" ht="15" customHeight="1">
      <c r="A242" s="1294">
        <v>328</v>
      </c>
      <c r="B242" s="1294">
        <v>355</v>
      </c>
      <c r="C242" s="1295" t="s">
        <v>1378</v>
      </c>
      <c r="D242" s="1296" t="s">
        <v>789</v>
      </c>
      <c r="E242" s="1296" t="s">
        <v>716</v>
      </c>
      <c r="F242" s="1297">
        <v>645</v>
      </c>
      <c r="G242" s="1295" t="s">
        <v>189</v>
      </c>
      <c r="H242" s="1295" t="s">
        <v>1379</v>
      </c>
      <c r="I242" s="1296" t="s">
        <v>1380</v>
      </c>
      <c r="J242" s="1296"/>
      <c r="K242" s="1296" t="s">
        <v>1380</v>
      </c>
      <c r="L242" s="1296" t="s">
        <v>1381</v>
      </c>
      <c r="M242" s="1298">
        <v>1691.6</v>
      </c>
      <c r="N242" s="1298">
        <v>0</v>
      </c>
      <c r="O242" s="1298">
        <v>0</v>
      </c>
      <c r="P242" s="1298">
        <v>37.39</v>
      </c>
      <c r="Q242" s="1298">
        <v>1557</v>
      </c>
      <c r="R242" s="1298">
        <v>1557</v>
      </c>
      <c r="S242" s="1298">
        <v>25</v>
      </c>
      <c r="T242" s="1298">
        <v>12.6</v>
      </c>
      <c r="U242" s="1298">
        <v>0</v>
      </c>
      <c r="V242" s="1298">
        <v>20</v>
      </c>
      <c r="W242" s="1298">
        <v>0</v>
      </c>
      <c r="X242" s="1298">
        <v>0</v>
      </c>
      <c r="Y242" s="1298">
        <v>0</v>
      </c>
      <c r="Z242" s="1298">
        <v>0</v>
      </c>
      <c r="AA242" s="1298">
        <v>0</v>
      </c>
      <c r="AB242" s="1298">
        <v>0</v>
      </c>
      <c r="AC242" s="1298">
        <v>0</v>
      </c>
      <c r="AD242" s="1298">
        <v>0</v>
      </c>
      <c r="AE242" s="1298">
        <v>0</v>
      </c>
      <c r="AF242" s="1298">
        <v>1614.6</v>
      </c>
    </row>
    <row r="243" spans="1:32" ht="15" customHeight="1">
      <c r="A243" s="1294">
        <v>257</v>
      </c>
      <c r="B243" s="1294">
        <v>438</v>
      </c>
      <c r="C243" s="1295" t="s">
        <v>1382</v>
      </c>
      <c r="D243" s="1296" t="s">
        <v>2013</v>
      </c>
      <c r="E243" s="1296" t="s">
        <v>716</v>
      </c>
      <c r="F243" s="1297">
        <v>698</v>
      </c>
      <c r="G243" s="1295" t="s">
        <v>189</v>
      </c>
      <c r="H243" s="1295" t="s">
        <v>1383</v>
      </c>
      <c r="I243" s="1296" t="s">
        <v>1384</v>
      </c>
      <c r="J243" s="1296"/>
      <c r="K243" s="1296" t="s">
        <v>982</v>
      </c>
      <c r="L243" s="1296" t="s">
        <v>1885</v>
      </c>
      <c r="M243" s="1298">
        <v>1771.6</v>
      </c>
      <c r="N243" s="1298">
        <v>0</v>
      </c>
      <c r="O243" s="1298">
        <v>0</v>
      </c>
      <c r="P243" s="1298">
        <v>57.51</v>
      </c>
      <c r="Q243" s="1298">
        <v>1657</v>
      </c>
      <c r="R243" s="1298">
        <v>1657</v>
      </c>
      <c r="S243" s="1298">
        <v>25</v>
      </c>
      <c r="T243" s="1298">
        <v>12.6</v>
      </c>
      <c r="U243" s="1298">
        <v>17</v>
      </c>
      <c r="V243" s="1298">
        <v>20</v>
      </c>
      <c r="W243" s="1298">
        <v>0</v>
      </c>
      <c r="X243" s="1298">
        <v>0</v>
      </c>
      <c r="Y243" s="1298">
        <v>0</v>
      </c>
      <c r="Z243" s="1298">
        <v>11.5</v>
      </c>
      <c r="AA243" s="1298">
        <v>0</v>
      </c>
      <c r="AB243" s="1298">
        <v>0</v>
      </c>
      <c r="AC243" s="1298">
        <v>0</v>
      </c>
      <c r="AD243" s="1298">
        <v>0</v>
      </c>
      <c r="AE243" s="1298">
        <v>0</v>
      </c>
      <c r="AF243" s="1298">
        <v>1743.1</v>
      </c>
    </row>
    <row r="244" spans="1:32" ht="15" customHeight="1">
      <c r="A244" s="1294">
        <v>88</v>
      </c>
      <c r="B244" s="1294">
        <v>516</v>
      </c>
      <c r="C244" s="1295" t="s">
        <v>1385</v>
      </c>
      <c r="D244" s="1296" t="s">
        <v>795</v>
      </c>
      <c r="E244" s="1296" t="s">
        <v>716</v>
      </c>
      <c r="F244" s="1297">
        <v>731</v>
      </c>
      <c r="G244" s="1295" t="s">
        <v>189</v>
      </c>
      <c r="H244" s="1295" t="s">
        <v>1386</v>
      </c>
      <c r="I244" s="1296" t="s">
        <v>1387</v>
      </c>
      <c r="J244" s="1296"/>
      <c r="K244" s="1296" t="s">
        <v>1007</v>
      </c>
      <c r="L244" s="1296" t="s">
        <v>2092</v>
      </c>
      <c r="M244" s="1298">
        <v>1811.6</v>
      </c>
      <c r="N244" s="1298">
        <v>0</v>
      </c>
      <c r="O244" s="1298">
        <v>0</v>
      </c>
      <c r="P244" s="1298">
        <v>23.35</v>
      </c>
      <c r="Q244" s="1298">
        <v>1707</v>
      </c>
      <c r="R244" s="1298">
        <v>1707</v>
      </c>
      <c r="S244" s="1298">
        <v>30</v>
      </c>
      <c r="T244" s="1298">
        <v>11.5</v>
      </c>
      <c r="U244" s="1298">
        <v>0</v>
      </c>
      <c r="V244" s="1298">
        <v>20</v>
      </c>
      <c r="W244" s="1298">
        <v>0</v>
      </c>
      <c r="X244" s="1298">
        <v>0</v>
      </c>
      <c r="Y244" s="1298">
        <v>0</v>
      </c>
      <c r="Z244" s="1298">
        <v>0</v>
      </c>
      <c r="AA244" s="1298">
        <v>0</v>
      </c>
      <c r="AB244" s="1298">
        <v>0</v>
      </c>
      <c r="AC244" s="1298">
        <v>0</v>
      </c>
      <c r="AD244" s="1298">
        <v>0</v>
      </c>
      <c r="AE244" s="1298">
        <v>0</v>
      </c>
      <c r="AF244" s="1298">
        <v>1768.5</v>
      </c>
    </row>
    <row r="245" spans="1:32" ht="15" customHeight="1">
      <c r="A245" s="1294">
        <v>140</v>
      </c>
      <c r="B245" s="1294">
        <v>153</v>
      </c>
      <c r="C245" s="1295" t="s">
        <v>1388</v>
      </c>
      <c r="D245" s="1296" t="s">
        <v>799</v>
      </c>
      <c r="E245" s="1296" t="s">
        <v>716</v>
      </c>
      <c r="F245" s="1297">
        <v>1399</v>
      </c>
      <c r="G245" s="1295" t="s">
        <v>189</v>
      </c>
      <c r="H245" s="1295" t="s">
        <v>1389</v>
      </c>
      <c r="I245" s="1296" t="s">
        <v>1390</v>
      </c>
      <c r="J245" s="1296"/>
      <c r="K245" s="1296" t="s">
        <v>812</v>
      </c>
      <c r="L245" s="1296" t="s">
        <v>1391</v>
      </c>
      <c r="M245" s="1298">
        <v>2693.6</v>
      </c>
      <c r="N245" s="1298">
        <v>0</v>
      </c>
      <c r="O245" s="1298">
        <v>0</v>
      </c>
      <c r="P245" s="1298">
        <v>0</v>
      </c>
      <c r="Q245" s="1298">
        <v>2563</v>
      </c>
      <c r="R245" s="1298">
        <v>2563</v>
      </c>
      <c r="S245" s="1298">
        <v>25</v>
      </c>
      <c r="T245" s="1298">
        <v>12.6</v>
      </c>
      <c r="U245" s="1298">
        <v>21</v>
      </c>
      <c r="V245" s="1298">
        <v>20</v>
      </c>
      <c r="W245" s="1298">
        <v>30</v>
      </c>
      <c r="X245" s="1298">
        <v>0</v>
      </c>
      <c r="Y245" s="1298">
        <v>0</v>
      </c>
      <c r="Z245" s="1298">
        <v>0</v>
      </c>
      <c r="AA245" s="1298">
        <v>0</v>
      </c>
      <c r="AB245" s="1298">
        <v>0</v>
      </c>
      <c r="AC245" s="1298">
        <v>0</v>
      </c>
      <c r="AD245" s="1298">
        <v>0</v>
      </c>
      <c r="AE245" s="1298">
        <v>0</v>
      </c>
      <c r="AF245" s="1298">
        <v>2671.6</v>
      </c>
    </row>
    <row r="246" spans="1:32" ht="15" customHeight="1">
      <c r="A246" s="1294">
        <v>68</v>
      </c>
      <c r="B246" s="1294">
        <v>470</v>
      </c>
      <c r="C246" s="1295" t="s">
        <v>1392</v>
      </c>
      <c r="D246" s="1296" t="s">
        <v>795</v>
      </c>
      <c r="E246" s="1296" t="s">
        <v>716</v>
      </c>
      <c r="F246" s="1297">
        <v>731</v>
      </c>
      <c r="G246" s="1295" t="s">
        <v>189</v>
      </c>
      <c r="H246" s="1295" t="s">
        <v>1393</v>
      </c>
      <c r="I246" s="1296" t="s">
        <v>1394</v>
      </c>
      <c r="J246" s="1296"/>
      <c r="K246" s="1296" t="s">
        <v>954</v>
      </c>
      <c r="L246" s="1296" t="s">
        <v>808</v>
      </c>
      <c r="M246" s="1298">
        <v>1811.6</v>
      </c>
      <c r="N246" s="1298">
        <v>0</v>
      </c>
      <c r="O246" s="1298">
        <v>0</v>
      </c>
      <c r="P246" s="1298">
        <v>32.11</v>
      </c>
      <c r="Q246" s="1298">
        <v>1665</v>
      </c>
      <c r="R246" s="1298">
        <v>1665</v>
      </c>
      <c r="S246" s="1298">
        <v>25</v>
      </c>
      <c r="T246" s="1298">
        <v>11.5</v>
      </c>
      <c r="U246" s="1298">
        <v>0</v>
      </c>
      <c r="V246" s="1298">
        <v>20</v>
      </c>
      <c r="W246" s="1298">
        <v>0</v>
      </c>
      <c r="X246" s="1298">
        <v>0</v>
      </c>
      <c r="Y246" s="1298">
        <v>0</v>
      </c>
      <c r="Z246" s="1298">
        <v>0</v>
      </c>
      <c r="AA246" s="1298">
        <v>0</v>
      </c>
      <c r="AB246" s="1298">
        <v>0</v>
      </c>
      <c r="AC246" s="1298">
        <v>0</v>
      </c>
      <c r="AD246" s="1298">
        <v>0</v>
      </c>
      <c r="AE246" s="1298">
        <v>0</v>
      </c>
      <c r="AF246" s="1298">
        <v>1721.5</v>
      </c>
    </row>
    <row r="247" spans="1:32" ht="15" customHeight="1">
      <c r="A247" s="1294">
        <v>362</v>
      </c>
      <c r="B247" s="1294">
        <v>519</v>
      </c>
      <c r="C247" s="1295" t="s">
        <v>1395</v>
      </c>
      <c r="D247" s="1296" t="s">
        <v>795</v>
      </c>
      <c r="E247" s="1296" t="s">
        <v>716</v>
      </c>
      <c r="F247" s="1297">
        <v>731</v>
      </c>
      <c r="G247" s="1295" t="s">
        <v>189</v>
      </c>
      <c r="H247" s="1295" t="s">
        <v>1896</v>
      </c>
      <c r="I247" s="1296" t="s">
        <v>2093</v>
      </c>
      <c r="J247" s="1296"/>
      <c r="K247" s="1296" t="s">
        <v>2093</v>
      </c>
      <c r="L247" s="1296" t="s">
        <v>1901</v>
      </c>
      <c r="M247" s="1298">
        <v>1811.6</v>
      </c>
      <c r="N247" s="1298">
        <v>250</v>
      </c>
      <c r="O247" s="1298">
        <v>250</v>
      </c>
      <c r="P247" s="1298">
        <v>-1549.61</v>
      </c>
      <c r="Q247" s="1298">
        <v>1565</v>
      </c>
      <c r="R247" s="1298">
        <v>1565</v>
      </c>
      <c r="S247" s="1298">
        <v>30</v>
      </c>
      <c r="T247" s="1298">
        <v>12.6</v>
      </c>
      <c r="U247" s="1298">
        <v>22</v>
      </c>
      <c r="V247" s="1298">
        <v>0</v>
      </c>
      <c r="W247" s="1298">
        <v>0</v>
      </c>
      <c r="X247" s="1298">
        <v>0</v>
      </c>
      <c r="Y247" s="1298">
        <v>0</v>
      </c>
      <c r="Z247" s="1298">
        <v>0</v>
      </c>
      <c r="AA247" s="1298">
        <v>0</v>
      </c>
      <c r="AB247" s="1298">
        <v>0</v>
      </c>
      <c r="AC247" s="1298">
        <v>0</v>
      </c>
      <c r="AD247" s="1298">
        <v>0</v>
      </c>
      <c r="AE247" s="1298">
        <v>0</v>
      </c>
      <c r="AF247" s="1298">
        <v>1629.6</v>
      </c>
    </row>
    <row r="248" spans="1:32" ht="15" customHeight="1">
      <c r="A248" s="1294">
        <v>260</v>
      </c>
      <c r="B248" s="1294">
        <v>469</v>
      </c>
      <c r="C248" s="1295" t="s">
        <v>1399</v>
      </c>
      <c r="D248" s="1296" t="s">
        <v>815</v>
      </c>
      <c r="E248" s="1296" t="s">
        <v>716</v>
      </c>
      <c r="F248" s="1297">
        <v>698</v>
      </c>
      <c r="G248" s="1295" t="s">
        <v>189</v>
      </c>
      <c r="H248" s="1295" t="s">
        <v>1400</v>
      </c>
      <c r="I248" s="1296" t="s">
        <v>1222</v>
      </c>
      <c r="J248" s="1296"/>
      <c r="K248" s="1296" t="s">
        <v>1840</v>
      </c>
      <c r="L248" s="1296" t="s">
        <v>1841</v>
      </c>
      <c r="M248" s="1298">
        <v>1771.6</v>
      </c>
      <c r="N248" s="1298">
        <v>0</v>
      </c>
      <c r="O248" s="1298">
        <v>0</v>
      </c>
      <c r="P248" s="1298">
        <v>23.95</v>
      </c>
      <c r="Q248" s="1298">
        <v>1702</v>
      </c>
      <c r="R248" s="1298">
        <v>1702</v>
      </c>
      <c r="S248" s="1298">
        <v>25</v>
      </c>
      <c r="T248" s="1298">
        <v>11.5</v>
      </c>
      <c r="U248" s="1298">
        <v>17</v>
      </c>
      <c r="V248" s="1298">
        <v>20</v>
      </c>
      <c r="W248" s="1298">
        <v>0</v>
      </c>
      <c r="X248" s="1298">
        <v>0</v>
      </c>
      <c r="Y248" s="1298">
        <v>0</v>
      </c>
      <c r="Z248" s="1298">
        <v>0</v>
      </c>
      <c r="AA248" s="1298">
        <v>0</v>
      </c>
      <c r="AB248" s="1298">
        <v>0</v>
      </c>
      <c r="AC248" s="1298">
        <v>0</v>
      </c>
      <c r="AD248" s="1298">
        <v>0</v>
      </c>
      <c r="AE248" s="1298">
        <v>0</v>
      </c>
      <c r="AF248" s="1298">
        <v>1775.5</v>
      </c>
    </row>
    <row r="249" spans="1:32" ht="15" customHeight="1">
      <c r="A249" s="1294">
        <v>139</v>
      </c>
      <c r="B249" s="1294">
        <v>151</v>
      </c>
      <c r="C249" s="1295" t="s">
        <v>1401</v>
      </c>
      <c r="D249" s="1296" t="s">
        <v>815</v>
      </c>
      <c r="E249" s="1296" t="s">
        <v>716</v>
      </c>
      <c r="F249" s="1297">
        <v>698</v>
      </c>
      <c r="G249" s="1295" t="s">
        <v>189</v>
      </c>
      <c r="H249" s="1295" t="s">
        <v>1402</v>
      </c>
      <c r="I249" s="1296" t="s">
        <v>1403</v>
      </c>
      <c r="J249" s="1296"/>
      <c r="K249" s="1296" t="s">
        <v>1404</v>
      </c>
      <c r="L249" s="1296" t="s">
        <v>1405</v>
      </c>
      <c r="M249" s="1298">
        <v>1771.6</v>
      </c>
      <c r="N249" s="1298">
        <v>0</v>
      </c>
      <c r="O249" s="1298">
        <v>0</v>
      </c>
      <c r="P249" s="1298">
        <v>17.559999999999999</v>
      </c>
      <c r="Q249" s="1298">
        <v>1666</v>
      </c>
      <c r="R249" s="1298">
        <v>1666</v>
      </c>
      <c r="S249" s="1298">
        <v>25</v>
      </c>
      <c r="T249" s="1298">
        <v>12.6</v>
      </c>
      <c r="U249" s="1298">
        <v>21</v>
      </c>
      <c r="V249" s="1298">
        <v>20</v>
      </c>
      <c r="W249" s="1298">
        <v>0</v>
      </c>
      <c r="X249" s="1298">
        <v>0</v>
      </c>
      <c r="Y249" s="1298">
        <v>0</v>
      </c>
      <c r="Z249" s="1298">
        <v>0</v>
      </c>
      <c r="AA249" s="1298">
        <v>0</v>
      </c>
      <c r="AB249" s="1298">
        <v>0</v>
      </c>
      <c r="AC249" s="1298">
        <v>0</v>
      </c>
      <c r="AD249" s="1298">
        <v>0</v>
      </c>
      <c r="AE249" s="1298">
        <v>0</v>
      </c>
      <c r="AF249" s="1298">
        <v>1744.6</v>
      </c>
    </row>
    <row r="250" spans="1:32" ht="15" customHeight="1">
      <c r="A250" s="1294">
        <v>367</v>
      </c>
      <c r="B250" s="1294">
        <v>497</v>
      </c>
      <c r="C250" s="1295" t="s">
        <v>1406</v>
      </c>
      <c r="D250" s="1296" t="s">
        <v>727</v>
      </c>
      <c r="E250" s="1296" t="s">
        <v>716</v>
      </c>
      <c r="F250" s="1297">
        <v>1000</v>
      </c>
      <c r="G250" s="1295" t="s">
        <v>189</v>
      </c>
      <c r="H250" s="1295" t="s">
        <v>1886</v>
      </c>
      <c r="I250" s="1296" t="s">
        <v>982</v>
      </c>
      <c r="J250" s="1296"/>
      <c r="K250" s="1296" t="s">
        <v>982</v>
      </c>
      <c r="L250" s="1296" t="s">
        <v>1887</v>
      </c>
      <c r="M250" s="1298">
        <v>1909.6</v>
      </c>
      <c r="N250" s="1298">
        <v>250</v>
      </c>
      <c r="O250" s="1298">
        <v>250</v>
      </c>
      <c r="P250" s="1298">
        <v>46.64</v>
      </c>
      <c r="Q250" s="1298">
        <v>1775</v>
      </c>
      <c r="R250" s="1298">
        <v>1775</v>
      </c>
      <c r="S250" s="1298">
        <v>30</v>
      </c>
      <c r="T250" s="1298">
        <v>12.6</v>
      </c>
      <c r="U250" s="1298">
        <v>22</v>
      </c>
      <c r="V250" s="1298">
        <v>0</v>
      </c>
      <c r="W250" s="1298">
        <v>0</v>
      </c>
      <c r="X250" s="1298">
        <v>0</v>
      </c>
      <c r="Y250" s="1298">
        <v>0</v>
      </c>
      <c r="Z250" s="1298">
        <v>0</v>
      </c>
      <c r="AA250" s="1298">
        <v>0</v>
      </c>
      <c r="AB250" s="1298">
        <v>0</v>
      </c>
      <c r="AC250" s="1298">
        <v>0</v>
      </c>
      <c r="AD250" s="1298">
        <v>0</v>
      </c>
      <c r="AE250" s="1298">
        <v>0</v>
      </c>
      <c r="AF250" s="1298">
        <v>1839.6</v>
      </c>
    </row>
    <row r="251" spans="1:32" ht="15" customHeight="1">
      <c r="A251" s="1294">
        <v>19</v>
      </c>
      <c r="B251" s="1294">
        <v>679</v>
      </c>
      <c r="C251" s="1295" t="s">
        <v>1407</v>
      </c>
      <c r="D251" s="1296" t="s">
        <v>815</v>
      </c>
      <c r="E251" s="1296" t="s">
        <v>716</v>
      </c>
      <c r="F251" s="1297">
        <v>698</v>
      </c>
      <c r="G251" s="1295" t="s">
        <v>189</v>
      </c>
      <c r="H251" s="1295" t="s">
        <v>926</v>
      </c>
      <c r="I251" s="1296" t="s">
        <v>856</v>
      </c>
      <c r="J251" s="1296"/>
      <c r="K251" s="1296" t="s">
        <v>856</v>
      </c>
      <c r="L251" s="1296" t="s">
        <v>2262</v>
      </c>
      <c r="M251" s="1298">
        <v>1996.6</v>
      </c>
      <c r="N251" s="1298">
        <v>100</v>
      </c>
      <c r="O251" s="1298">
        <v>100</v>
      </c>
      <c r="P251" s="1298">
        <v>-4862.47</v>
      </c>
      <c r="Q251" s="1298">
        <v>1862</v>
      </c>
      <c r="R251" s="1298">
        <v>1862</v>
      </c>
      <c r="S251" s="1298">
        <v>30</v>
      </c>
      <c r="T251" s="1298">
        <v>12.6</v>
      </c>
      <c r="U251" s="1298">
        <v>22</v>
      </c>
      <c r="V251" s="1298">
        <v>20</v>
      </c>
      <c r="W251" s="1298">
        <v>0</v>
      </c>
      <c r="X251" s="1298">
        <v>0</v>
      </c>
      <c r="Y251" s="1298">
        <v>50</v>
      </c>
      <c r="Z251" s="1298">
        <v>0</v>
      </c>
      <c r="AA251" s="1298">
        <v>0</v>
      </c>
      <c r="AB251" s="1298">
        <v>-3096</v>
      </c>
      <c r="AC251" s="1298">
        <v>0</v>
      </c>
      <c r="AD251" s="1298">
        <v>0</v>
      </c>
      <c r="AE251" s="1298">
        <v>0</v>
      </c>
      <c r="AF251" s="1298">
        <v>-1099.4000000000001</v>
      </c>
    </row>
    <row r="252" spans="1:32" ht="15" customHeight="1">
      <c r="A252" s="1294">
        <v>361</v>
      </c>
      <c r="B252" s="1294">
        <v>466</v>
      </c>
      <c r="C252" s="1295" t="s">
        <v>1409</v>
      </c>
      <c r="D252" s="1296" t="s">
        <v>830</v>
      </c>
      <c r="E252" s="1296" t="s">
        <v>716</v>
      </c>
      <c r="F252" s="1297">
        <v>934</v>
      </c>
      <c r="G252" s="1295" t="s">
        <v>189</v>
      </c>
      <c r="H252" s="1295" t="s">
        <v>1888</v>
      </c>
      <c r="I252" s="1296" t="s">
        <v>1314</v>
      </c>
      <c r="J252" s="1296"/>
      <c r="K252" s="1296" t="s">
        <v>1314</v>
      </c>
      <c r="L252" s="1296" t="s">
        <v>1889</v>
      </c>
      <c r="M252" s="1298">
        <v>1909.6</v>
      </c>
      <c r="N252" s="1298">
        <v>500</v>
      </c>
      <c r="O252" s="1298">
        <v>500</v>
      </c>
      <c r="P252" s="1298">
        <v>2338.4299999999998</v>
      </c>
      <c r="Q252" s="1298">
        <v>1825</v>
      </c>
      <c r="R252" s="1298">
        <v>1825</v>
      </c>
      <c r="S252" s="1298">
        <v>30</v>
      </c>
      <c r="T252" s="1298">
        <v>12.6</v>
      </c>
      <c r="U252" s="1298">
        <v>22</v>
      </c>
      <c r="V252" s="1298">
        <v>0</v>
      </c>
      <c r="W252" s="1298">
        <v>0</v>
      </c>
      <c r="X252" s="1298">
        <v>0</v>
      </c>
      <c r="Y252" s="1298">
        <v>0</v>
      </c>
      <c r="Z252" s="1298">
        <v>0</v>
      </c>
      <c r="AA252" s="1298">
        <v>0</v>
      </c>
      <c r="AB252" s="1298">
        <v>0</v>
      </c>
      <c r="AC252" s="1298">
        <v>0</v>
      </c>
      <c r="AD252" s="1298">
        <v>0</v>
      </c>
      <c r="AE252" s="1298">
        <v>0</v>
      </c>
      <c r="AF252" s="1298">
        <v>1889.6</v>
      </c>
    </row>
    <row r="253" spans="1:32" ht="15" customHeight="1">
      <c r="A253" s="1294">
        <v>16</v>
      </c>
      <c r="B253" s="1294">
        <v>16</v>
      </c>
      <c r="C253" s="1295" t="s">
        <v>1410</v>
      </c>
      <c r="D253" s="1296" t="s">
        <v>772</v>
      </c>
      <c r="E253" s="1296" t="s">
        <v>716</v>
      </c>
      <c r="F253" s="1297">
        <v>937</v>
      </c>
      <c r="G253" s="1295" t="s">
        <v>769</v>
      </c>
      <c r="H253" s="1295" t="s">
        <v>1411</v>
      </c>
      <c r="I253" s="1296" t="s">
        <v>1412</v>
      </c>
      <c r="J253" s="1296" t="s">
        <v>1414</v>
      </c>
      <c r="K253" s="1296" t="s">
        <v>1413</v>
      </c>
      <c r="L253" s="1296" t="s">
        <v>1414</v>
      </c>
      <c r="M253" s="1298">
        <v>2265.6</v>
      </c>
      <c r="N253" s="1298">
        <v>150</v>
      </c>
      <c r="O253" s="1298">
        <v>150</v>
      </c>
      <c r="P253" s="1298">
        <v>57.62</v>
      </c>
      <c r="Q253" s="1298">
        <v>1890</v>
      </c>
      <c r="R253" s="1298">
        <v>1890</v>
      </c>
      <c r="S253" s="1298">
        <v>25</v>
      </c>
      <c r="T253" s="1298">
        <v>12.6</v>
      </c>
      <c r="U253" s="1298">
        <v>17</v>
      </c>
      <c r="V253" s="1298">
        <v>20</v>
      </c>
      <c r="W253" s="1298">
        <v>0</v>
      </c>
      <c r="X253" s="1298">
        <v>0</v>
      </c>
      <c r="Y253" s="1298">
        <v>0</v>
      </c>
      <c r="Z253" s="1298">
        <v>11.5</v>
      </c>
      <c r="AA253" s="1298">
        <v>0</v>
      </c>
      <c r="AB253" s="1298">
        <v>0</v>
      </c>
      <c r="AC253" s="1298">
        <v>0</v>
      </c>
      <c r="AD253" s="1298">
        <v>0</v>
      </c>
      <c r="AE253" s="1298">
        <v>0</v>
      </c>
      <c r="AF253" s="1298">
        <v>1976.1</v>
      </c>
    </row>
    <row r="254" spans="1:32" ht="15" customHeight="1">
      <c r="A254" s="1294">
        <v>327</v>
      </c>
      <c r="B254" s="1294">
        <v>354</v>
      </c>
      <c r="C254" s="1295" t="s">
        <v>1415</v>
      </c>
      <c r="D254" s="1296" t="s">
        <v>840</v>
      </c>
      <c r="E254" s="1296" t="s">
        <v>716</v>
      </c>
      <c r="F254" s="1297">
        <v>1235</v>
      </c>
      <c r="G254" s="1295" t="s">
        <v>189</v>
      </c>
      <c r="H254" s="1295" t="s">
        <v>1416</v>
      </c>
      <c r="I254" s="1296" t="s">
        <v>1090</v>
      </c>
      <c r="J254" s="1296"/>
      <c r="K254" s="1296" t="s">
        <v>1090</v>
      </c>
      <c r="L254" s="1296" t="s">
        <v>1417</v>
      </c>
      <c r="M254" s="1298">
        <v>2533.6</v>
      </c>
      <c r="N254" s="1298">
        <v>0</v>
      </c>
      <c r="O254" s="1298">
        <v>0</v>
      </c>
      <c r="P254" s="1298">
        <v>63.54</v>
      </c>
      <c r="Q254" s="1298">
        <v>2399</v>
      </c>
      <c r="R254" s="1298">
        <v>2399</v>
      </c>
      <c r="S254" s="1298">
        <v>25</v>
      </c>
      <c r="T254" s="1298">
        <v>12.6</v>
      </c>
      <c r="U254" s="1298">
        <v>0</v>
      </c>
      <c r="V254" s="1298">
        <v>0</v>
      </c>
      <c r="W254" s="1298">
        <v>0</v>
      </c>
      <c r="X254" s="1298">
        <v>0</v>
      </c>
      <c r="Y254" s="1298">
        <v>0</v>
      </c>
      <c r="Z254" s="1298">
        <v>0</v>
      </c>
      <c r="AA254" s="1298">
        <v>0</v>
      </c>
      <c r="AB254" s="1298">
        <v>0</v>
      </c>
      <c r="AC254" s="1298">
        <v>0</v>
      </c>
      <c r="AD254" s="1298">
        <v>0</v>
      </c>
      <c r="AE254" s="1298">
        <v>0</v>
      </c>
      <c r="AF254" s="1298">
        <v>2436.6</v>
      </c>
    </row>
    <row r="255" spans="1:32" ht="15" customHeight="1">
      <c r="A255" s="1294">
        <v>358</v>
      </c>
      <c r="B255" s="1294">
        <v>457</v>
      </c>
      <c r="C255" s="1295" t="s">
        <v>1418</v>
      </c>
      <c r="D255" s="1296" t="s">
        <v>840</v>
      </c>
      <c r="E255" s="1296" t="s">
        <v>716</v>
      </c>
      <c r="F255" s="1297">
        <v>1235</v>
      </c>
      <c r="G255" s="1295" t="s">
        <v>189</v>
      </c>
      <c r="H255" s="1295" t="s">
        <v>1890</v>
      </c>
      <c r="I255" s="1296" t="s">
        <v>1171</v>
      </c>
      <c r="J255" s="1296"/>
      <c r="K255" s="1296" t="s">
        <v>1171</v>
      </c>
      <c r="L255" s="1296" t="s">
        <v>1861</v>
      </c>
      <c r="M255" s="1298">
        <v>2533.6</v>
      </c>
      <c r="N255" s="1298">
        <v>250</v>
      </c>
      <c r="O255" s="1298">
        <v>250</v>
      </c>
      <c r="P255" s="1298">
        <v>34.57</v>
      </c>
      <c r="Q255" s="1298">
        <v>2399</v>
      </c>
      <c r="R255" s="1298">
        <v>2399</v>
      </c>
      <c r="S255" s="1298">
        <v>30</v>
      </c>
      <c r="T255" s="1298">
        <v>12.6</v>
      </c>
      <c r="U255" s="1298">
        <v>22</v>
      </c>
      <c r="V255" s="1298">
        <v>0</v>
      </c>
      <c r="W255" s="1298">
        <v>30</v>
      </c>
      <c r="X255" s="1298">
        <v>0</v>
      </c>
      <c r="Y255" s="1298">
        <v>0</v>
      </c>
      <c r="Z255" s="1298">
        <v>0</v>
      </c>
      <c r="AA255" s="1298">
        <v>0</v>
      </c>
      <c r="AB255" s="1298">
        <v>0</v>
      </c>
      <c r="AC255" s="1298">
        <v>0</v>
      </c>
      <c r="AD255" s="1298">
        <v>0</v>
      </c>
      <c r="AE255" s="1298">
        <v>0</v>
      </c>
      <c r="AF255" s="1298">
        <v>2493.6</v>
      </c>
    </row>
    <row r="256" spans="1:32" ht="15" customHeight="1">
      <c r="A256" s="1294">
        <v>377</v>
      </c>
      <c r="B256" s="1294">
        <v>524</v>
      </c>
      <c r="C256" s="1295" t="s">
        <v>1419</v>
      </c>
      <c r="D256" s="1296" t="s">
        <v>772</v>
      </c>
      <c r="E256" s="1296" t="s">
        <v>716</v>
      </c>
      <c r="F256" s="1297">
        <v>937</v>
      </c>
      <c r="G256" s="1295" t="s">
        <v>189</v>
      </c>
      <c r="H256" s="1295" t="s">
        <v>2094</v>
      </c>
      <c r="I256" s="1296" t="s">
        <v>904</v>
      </c>
      <c r="J256" s="1296"/>
      <c r="K256" s="1296" t="s">
        <v>904</v>
      </c>
      <c r="L256" s="1296" t="s">
        <v>2088</v>
      </c>
      <c r="M256" s="1298">
        <v>1739.6</v>
      </c>
      <c r="N256" s="1298">
        <v>250</v>
      </c>
      <c r="O256" s="1298">
        <v>250</v>
      </c>
      <c r="P256" s="1298">
        <v>-817.95</v>
      </c>
      <c r="Q256" s="1298">
        <v>1605</v>
      </c>
      <c r="R256" s="1298">
        <v>1605</v>
      </c>
      <c r="S256" s="1298">
        <v>30</v>
      </c>
      <c r="T256" s="1298">
        <v>12.6</v>
      </c>
      <c r="U256" s="1298">
        <v>22</v>
      </c>
      <c r="V256" s="1298">
        <v>0</v>
      </c>
      <c r="W256" s="1298">
        <v>0</v>
      </c>
      <c r="X256" s="1298">
        <v>0</v>
      </c>
      <c r="Y256" s="1298">
        <v>0</v>
      </c>
      <c r="Z256" s="1298">
        <v>0</v>
      </c>
      <c r="AA256" s="1298">
        <v>0</v>
      </c>
      <c r="AB256" s="1298">
        <v>0</v>
      </c>
      <c r="AC256" s="1298">
        <v>0</v>
      </c>
      <c r="AD256" s="1298">
        <v>0</v>
      </c>
      <c r="AE256" s="1298">
        <v>0</v>
      </c>
      <c r="AF256" s="1298">
        <v>1669.6</v>
      </c>
    </row>
    <row r="257" spans="1:32" ht="15" customHeight="1">
      <c r="A257" s="1294">
        <v>203</v>
      </c>
      <c r="B257" s="1294">
        <v>219</v>
      </c>
      <c r="C257" s="1295" t="s">
        <v>1420</v>
      </c>
      <c r="D257" s="1296" t="s">
        <v>2062</v>
      </c>
      <c r="E257" s="1296" t="s">
        <v>716</v>
      </c>
      <c r="F257" s="1297">
        <v>784</v>
      </c>
      <c r="G257" s="1295" t="s">
        <v>189</v>
      </c>
      <c r="H257" s="1295" t="s">
        <v>1421</v>
      </c>
      <c r="I257" s="1296" t="s">
        <v>1422</v>
      </c>
      <c r="J257" s="1296"/>
      <c r="K257" s="1296" t="s">
        <v>901</v>
      </c>
      <c r="L257" s="1296" t="s">
        <v>1423</v>
      </c>
      <c r="M257" s="1298">
        <v>1901.6</v>
      </c>
      <c r="N257" s="1298">
        <v>0</v>
      </c>
      <c r="O257" s="1298">
        <v>0</v>
      </c>
      <c r="P257" s="1298">
        <v>19.059999999999999</v>
      </c>
      <c r="Q257" s="1298">
        <v>1778</v>
      </c>
      <c r="R257" s="1298">
        <v>1778</v>
      </c>
      <c r="S257" s="1298">
        <v>25</v>
      </c>
      <c r="T257" s="1298">
        <v>12.6</v>
      </c>
      <c r="U257" s="1298">
        <v>21</v>
      </c>
      <c r="V257" s="1298">
        <v>20</v>
      </c>
      <c r="W257" s="1298">
        <v>0</v>
      </c>
      <c r="X257" s="1298">
        <v>0</v>
      </c>
      <c r="Y257" s="1298">
        <v>0</v>
      </c>
      <c r="Z257" s="1298">
        <v>0</v>
      </c>
      <c r="AA257" s="1298">
        <v>0</v>
      </c>
      <c r="AB257" s="1298">
        <v>0</v>
      </c>
      <c r="AC257" s="1298">
        <v>0</v>
      </c>
      <c r="AD257" s="1298">
        <v>0</v>
      </c>
      <c r="AE257" s="1298">
        <v>0</v>
      </c>
      <c r="AF257" s="1298">
        <v>1856.6</v>
      </c>
    </row>
    <row r="258" spans="1:32" ht="15" customHeight="1">
      <c r="A258" s="1294">
        <v>41</v>
      </c>
      <c r="B258" s="1294">
        <v>550</v>
      </c>
      <c r="C258" s="1295" t="s">
        <v>1424</v>
      </c>
      <c r="D258" s="1296" t="s">
        <v>1194</v>
      </c>
      <c r="E258" s="1296" t="s">
        <v>716</v>
      </c>
      <c r="F258" s="1297">
        <v>684</v>
      </c>
      <c r="G258" s="1295" t="s">
        <v>189</v>
      </c>
      <c r="H258" s="1295" t="s">
        <v>1425</v>
      </c>
      <c r="I258" s="1296" t="s">
        <v>1426</v>
      </c>
      <c r="J258" s="1296"/>
      <c r="K258" s="1296" t="s">
        <v>2095</v>
      </c>
      <c r="L258" s="1296" t="s">
        <v>899</v>
      </c>
      <c r="M258" s="1298">
        <v>1746.6</v>
      </c>
      <c r="N258" s="1298">
        <v>0</v>
      </c>
      <c r="O258" s="1298">
        <v>0</v>
      </c>
      <c r="P258" s="1298">
        <v>46.93</v>
      </c>
      <c r="Q258" s="1298">
        <v>1687</v>
      </c>
      <c r="R258" s="1298">
        <v>1687</v>
      </c>
      <c r="S258" s="1298">
        <v>30</v>
      </c>
      <c r="T258" s="1298">
        <v>12.6</v>
      </c>
      <c r="U258" s="1298">
        <v>22</v>
      </c>
      <c r="V258" s="1298">
        <v>20</v>
      </c>
      <c r="W258" s="1298">
        <v>0</v>
      </c>
      <c r="X258" s="1298">
        <v>0</v>
      </c>
      <c r="Y258" s="1298">
        <v>0</v>
      </c>
      <c r="Z258" s="1298">
        <v>0</v>
      </c>
      <c r="AA258" s="1298">
        <v>0</v>
      </c>
      <c r="AB258" s="1298">
        <v>0</v>
      </c>
      <c r="AC258" s="1298">
        <v>0</v>
      </c>
      <c r="AD258" s="1298">
        <v>0</v>
      </c>
      <c r="AE258" s="1298">
        <v>0</v>
      </c>
      <c r="AF258" s="1298">
        <v>1771.6</v>
      </c>
    </row>
    <row r="259" spans="1:32" ht="15" customHeight="1">
      <c r="A259" s="1294">
        <v>114</v>
      </c>
      <c r="B259" s="1294">
        <v>652</v>
      </c>
      <c r="C259" s="1295" t="s">
        <v>1427</v>
      </c>
      <c r="D259" s="1296" t="s">
        <v>2063</v>
      </c>
      <c r="E259" s="1296" t="s">
        <v>716</v>
      </c>
      <c r="F259" s="1297">
        <v>833</v>
      </c>
      <c r="G259" s="1295" t="s">
        <v>189</v>
      </c>
      <c r="H259" s="1295" t="s">
        <v>1428</v>
      </c>
      <c r="I259" s="1296" t="s">
        <v>1429</v>
      </c>
      <c r="J259" s="1296"/>
      <c r="K259" s="1296" t="s">
        <v>1022</v>
      </c>
      <c r="L259" s="1296" t="s">
        <v>2096</v>
      </c>
      <c r="M259" s="1298">
        <v>1980.6</v>
      </c>
      <c r="N259" s="1298">
        <v>0</v>
      </c>
      <c r="O259" s="1298">
        <v>0</v>
      </c>
      <c r="P259" s="1298">
        <v>-115.98</v>
      </c>
      <c r="Q259" s="1298">
        <v>1957</v>
      </c>
      <c r="R259" s="1298">
        <v>1957</v>
      </c>
      <c r="S259" s="1298">
        <v>30</v>
      </c>
      <c r="T259" s="1298">
        <v>12.6</v>
      </c>
      <c r="U259" s="1298">
        <v>22</v>
      </c>
      <c r="V259" s="1298">
        <v>20</v>
      </c>
      <c r="W259" s="1298">
        <v>25</v>
      </c>
      <c r="X259" s="1298">
        <v>0</v>
      </c>
      <c r="Y259" s="1298">
        <v>50</v>
      </c>
      <c r="Z259" s="1298">
        <v>0</v>
      </c>
      <c r="AA259" s="1298">
        <v>0</v>
      </c>
      <c r="AB259" s="1298">
        <v>0</v>
      </c>
      <c r="AC259" s="1298">
        <v>0</v>
      </c>
      <c r="AD259" s="1298">
        <v>0</v>
      </c>
      <c r="AE259" s="1298">
        <v>0</v>
      </c>
      <c r="AF259" s="1298">
        <v>2116.6</v>
      </c>
    </row>
    <row r="260" spans="1:32" ht="15" customHeight="1">
      <c r="A260" s="1294">
        <v>36</v>
      </c>
      <c r="B260" s="1294">
        <v>37</v>
      </c>
      <c r="C260" s="1295" t="s">
        <v>1431</v>
      </c>
      <c r="D260" s="1296" t="s">
        <v>1998</v>
      </c>
      <c r="E260" s="1296" t="s">
        <v>716</v>
      </c>
      <c r="F260" s="1297">
        <v>892</v>
      </c>
      <c r="G260" s="1295" t="s">
        <v>189</v>
      </c>
      <c r="H260" s="1295" t="s">
        <v>1432</v>
      </c>
      <c r="I260" s="1296" t="s">
        <v>1433</v>
      </c>
      <c r="J260" s="1296"/>
      <c r="K260" s="1296" t="s">
        <v>1252</v>
      </c>
      <c r="L260" s="1296" t="s">
        <v>1434</v>
      </c>
      <c r="M260" s="1298">
        <v>2015.6</v>
      </c>
      <c r="N260" s="1298">
        <v>0</v>
      </c>
      <c r="O260" s="1298">
        <v>0</v>
      </c>
      <c r="P260" s="1298">
        <v>30.01</v>
      </c>
      <c r="Q260" s="1298">
        <v>1834</v>
      </c>
      <c r="R260" s="1298">
        <v>1834</v>
      </c>
      <c r="S260" s="1298">
        <v>25</v>
      </c>
      <c r="T260" s="1298">
        <v>12.6</v>
      </c>
      <c r="U260" s="1298">
        <v>21</v>
      </c>
      <c r="V260" s="1298">
        <v>20</v>
      </c>
      <c r="W260" s="1298">
        <v>0</v>
      </c>
      <c r="X260" s="1298">
        <v>25</v>
      </c>
      <c r="Y260" s="1298">
        <v>0</v>
      </c>
      <c r="Z260" s="1298">
        <v>0</v>
      </c>
      <c r="AA260" s="1298">
        <v>0</v>
      </c>
      <c r="AB260" s="1298">
        <v>0</v>
      </c>
      <c r="AC260" s="1298">
        <v>0</v>
      </c>
      <c r="AD260" s="1298">
        <v>0</v>
      </c>
      <c r="AE260" s="1298">
        <v>0</v>
      </c>
      <c r="AF260" s="1298">
        <v>1937.6</v>
      </c>
    </row>
    <row r="261" spans="1:32" ht="15" customHeight="1">
      <c r="A261" s="1294">
        <v>373</v>
      </c>
      <c r="B261" s="1294">
        <v>508</v>
      </c>
      <c r="C261" s="1295" t="s">
        <v>1435</v>
      </c>
      <c r="D261" s="1296" t="s">
        <v>1999</v>
      </c>
      <c r="E261" s="1296" t="s">
        <v>716</v>
      </c>
      <c r="F261" s="1297">
        <v>1036</v>
      </c>
      <c r="G261" s="1295" t="s">
        <v>189</v>
      </c>
      <c r="H261" s="1295" t="s">
        <v>1891</v>
      </c>
      <c r="I261" s="1296" t="s">
        <v>721</v>
      </c>
      <c r="J261" s="1296"/>
      <c r="K261" s="1296" t="s">
        <v>721</v>
      </c>
      <c r="L261" s="1296" t="s">
        <v>1892</v>
      </c>
      <c r="M261" s="1298">
        <v>2135.6</v>
      </c>
      <c r="N261" s="1298">
        <v>250</v>
      </c>
      <c r="O261" s="1298">
        <v>250</v>
      </c>
      <c r="P261" s="1298">
        <v>78.3</v>
      </c>
      <c r="Q261" s="1298">
        <v>1971</v>
      </c>
      <c r="R261" s="1298">
        <v>1971</v>
      </c>
      <c r="S261" s="1298">
        <v>30</v>
      </c>
      <c r="T261" s="1298">
        <v>12.6</v>
      </c>
      <c r="U261" s="1298">
        <v>22</v>
      </c>
      <c r="V261" s="1298">
        <v>0</v>
      </c>
      <c r="W261" s="1298">
        <v>0</v>
      </c>
      <c r="X261" s="1298">
        <v>0</v>
      </c>
      <c r="Y261" s="1298">
        <v>0</v>
      </c>
      <c r="Z261" s="1298">
        <v>0</v>
      </c>
      <c r="AA261" s="1298">
        <v>0</v>
      </c>
      <c r="AB261" s="1298">
        <v>0</v>
      </c>
      <c r="AC261" s="1298">
        <v>0</v>
      </c>
      <c r="AD261" s="1298">
        <v>0</v>
      </c>
      <c r="AE261" s="1298">
        <v>0</v>
      </c>
      <c r="AF261" s="1298">
        <v>2035.6</v>
      </c>
    </row>
    <row r="262" spans="1:32" ht="15" customHeight="1">
      <c r="A262" s="1294">
        <v>58</v>
      </c>
      <c r="B262" s="1294">
        <v>479</v>
      </c>
      <c r="C262" s="1295" t="s">
        <v>1436</v>
      </c>
      <c r="D262" s="1296" t="s">
        <v>723</v>
      </c>
      <c r="E262" s="1296" t="s">
        <v>716</v>
      </c>
      <c r="F262" s="1297">
        <v>1156</v>
      </c>
      <c r="G262" s="1295" t="s">
        <v>189</v>
      </c>
      <c r="H262" s="1295" t="s">
        <v>1437</v>
      </c>
      <c r="I262" s="1296" t="s">
        <v>1438</v>
      </c>
      <c r="J262" s="1296"/>
      <c r="K262" s="1296" t="s">
        <v>1893</v>
      </c>
      <c r="L262" s="1296" t="s">
        <v>1861</v>
      </c>
      <c r="M262" s="1298">
        <v>2298.6</v>
      </c>
      <c r="N262" s="1298">
        <v>0</v>
      </c>
      <c r="O262" s="1298">
        <v>0</v>
      </c>
      <c r="P262" s="1298">
        <v>35.67</v>
      </c>
      <c r="Q262" s="1298">
        <v>2098</v>
      </c>
      <c r="R262" s="1298">
        <v>2098</v>
      </c>
      <c r="S262" s="1298">
        <v>25</v>
      </c>
      <c r="T262" s="1298">
        <v>11.5</v>
      </c>
      <c r="U262" s="1298">
        <v>17</v>
      </c>
      <c r="V262" s="1298">
        <v>20</v>
      </c>
      <c r="W262" s="1298">
        <v>0</v>
      </c>
      <c r="X262" s="1298">
        <v>0</v>
      </c>
      <c r="Y262" s="1298">
        <v>0</v>
      </c>
      <c r="Z262" s="1298">
        <v>0</v>
      </c>
      <c r="AA262" s="1298">
        <v>0</v>
      </c>
      <c r="AB262" s="1298">
        <v>0</v>
      </c>
      <c r="AC262" s="1298">
        <v>0</v>
      </c>
      <c r="AD262" s="1298">
        <v>0</v>
      </c>
      <c r="AE262" s="1298">
        <v>0</v>
      </c>
      <c r="AF262" s="1298">
        <v>2171.5</v>
      </c>
    </row>
    <row r="263" spans="1:32" ht="15" customHeight="1">
      <c r="A263" s="1294">
        <v>278</v>
      </c>
      <c r="B263" s="1294">
        <v>482</v>
      </c>
      <c r="C263" s="1295" t="s">
        <v>1439</v>
      </c>
      <c r="D263" s="1296" t="s">
        <v>727</v>
      </c>
      <c r="E263" s="1296" t="s">
        <v>716</v>
      </c>
      <c r="F263" s="1297">
        <v>1000</v>
      </c>
      <c r="G263" s="1295" t="s">
        <v>189</v>
      </c>
      <c r="H263" s="1295" t="s">
        <v>2097</v>
      </c>
      <c r="I263" s="1296" t="s">
        <v>1440</v>
      </c>
      <c r="J263" s="1296"/>
      <c r="K263" s="1296" t="s">
        <v>1596</v>
      </c>
      <c r="L263" s="1296" t="s">
        <v>1872</v>
      </c>
      <c r="M263" s="1298">
        <v>2120.6</v>
      </c>
      <c r="N263" s="1298">
        <v>0</v>
      </c>
      <c r="O263" s="1298">
        <v>0</v>
      </c>
      <c r="P263" s="1298">
        <v>74</v>
      </c>
      <c r="Q263" s="1298">
        <v>1986</v>
      </c>
      <c r="R263" s="1298">
        <v>1986</v>
      </c>
      <c r="S263" s="1298">
        <v>30</v>
      </c>
      <c r="T263" s="1298">
        <v>12.6</v>
      </c>
      <c r="U263" s="1298">
        <v>22</v>
      </c>
      <c r="V263" s="1298">
        <v>20</v>
      </c>
      <c r="W263" s="1298">
        <v>0</v>
      </c>
      <c r="X263" s="1298">
        <v>0</v>
      </c>
      <c r="Y263" s="1298">
        <v>0</v>
      </c>
      <c r="Z263" s="1298">
        <v>0</v>
      </c>
      <c r="AA263" s="1298">
        <v>0</v>
      </c>
      <c r="AB263" s="1298">
        <v>0</v>
      </c>
      <c r="AC263" s="1298">
        <v>0</v>
      </c>
      <c r="AD263" s="1298">
        <v>0</v>
      </c>
      <c r="AE263" s="1298">
        <v>0</v>
      </c>
      <c r="AF263" s="1298">
        <v>2070.6</v>
      </c>
    </row>
    <row r="264" spans="1:32" ht="15" customHeight="1">
      <c r="A264" s="1294">
        <v>57</v>
      </c>
      <c r="B264" s="1294">
        <v>425</v>
      </c>
      <c r="C264" s="1295" t="s">
        <v>1441</v>
      </c>
      <c r="D264" s="1296" t="s">
        <v>2024</v>
      </c>
      <c r="E264" s="1296" t="s">
        <v>716</v>
      </c>
      <c r="F264" s="1297">
        <v>1211</v>
      </c>
      <c r="G264" s="1295" t="s">
        <v>189</v>
      </c>
      <c r="H264" s="1295" t="s">
        <v>1442</v>
      </c>
      <c r="I264" s="1296" t="s">
        <v>1443</v>
      </c>
      <c r="J264" s="1296"/>
      <c r="K264" s="1296" t="s">
        <v>1297</v>
      </c>
      <c r="L264" s="1296" t="s">
        <v>1894</v>
      </c>
      <c r="M264" s="1298">
        <v>2353.6</v>
      </c>
      <c r="N264" s="1298">
        <v>0</v>
      </c>
      <c r="O264" s="1298">
        <v>0</v>
      </c>
      <c r="P264" s="1298">
        <v>113.43</v>
      </c>
      <c r="Q264" s="1298">
        <v>2121</v>
      </c>
      <c r="R264" s="1298">
        <v>2121</v>
      </c>
      <c r="S264" s="1298">
        <v>25</v>
      </c>
      <c r="T264" s="1298">
        <v>11.5</v>
      </c>
      <c r="U264" s="1298">
        <v>17</v>
      </c>
      <c r="V264" s="1298">
        <v>20</v>
      </c>
      <c r="W264" s="1298">
        <v>25</v>
      </c>
      <c r="X264" s="1298">
        <v>0</v>
      </c>
      <c r="Y264" s="1298">
        <v>0</v>
      </c>
      <c r="Z264" s="1298">
        <v>0</v>
      </c>
      <c r="AA264" s="1298">
        <v>0</v>
      </c>
      <c r="AB264" s="1298">
        <v>0</v>
      </c>
      <c r="AC264" s="1298">
        <v>0</v>
      </c>
      <c r="AD264" s="1298">
        <v>0</v>
      </c>
      <c r="AE264" s="1298">
        <v>0</v>
      </c>
      <c r="AF264" s="1298">
        <v>2219.5</v>
      </c>
    </row>
    <row r="265" spans="1:32" ht="15" customHeight="1">
      <c r="A265" s="1294">
        <v>122</v>
      </c>
      <c r="B265" s="1294">
        <v>697</v>
      </c>
      <c r="C265" s="1295" t="s">
        <v>1444</v>
      </c>
      <c r="D265" s="1296" t="s">
        <v>744</v>
      </c>
      <c r="E265" s="1296" t="s">
        <v>716</v>
      </c>
      <c r="F265" s="1297">
        <v>908</v>
      </c>
      <c r="G265" s="1295" t="s">
        <v>189</v>
      </c>
      <c r="H265" s="1295" t="s">
        <v>1445</v>
      </c>
      <c r="I265" s="1296" t="s">
        <v>1446</v>
      </c>
      <c r="J265" s="1296"/>
      <c r="K265" s="1296" t="s">
        <v>856</v>
      </c>
      <c r="L265" s="1296" t="s">
        <v>2263</v>
      </c>
      <c r="M265" s="1298">
        <v>2006.6</v>
      </c>
      <c r="N265" s="1298">
        <v>0</v>
      </c>
      <c r="O265" s="1298">
        <v>0</v>
      </c>
      <c r="P265" s="1298">
        <v>92.69</v>
      </c>
      <c r="Q265" s="1298">
        <v>1978</v>
      </c>
      <c r="R265" s="1298">
        <v>1978</v>
      </c>
      <c r="S265" s="1298">
        <v>25</v>
      </c>
      <c r="T265" s="1298">
        <v>12.6</v>
      </c>
      <c r="U265" s="1298">
        <v>17</v>
      </c>
      <c r="V265" s="1298">
        <v>20</v>
      </c>
      <c r="W265" s="1298">
        <v>0</v>
      </c>
      <c r="X265" s="1298">
        <v>0</v>
      </c>
      <c r="Y265" s="1298">
        <v>50</v>
      </c>
      <c r="Z265" s="1298">
        <v>0</v>
      </c>
      <c r="AA265" s="1298">
        <v>0</v>
      </c>
      <c r="AB265" s="1298">
        <v>0</v>
      </c>
      <c r="AC265" s="1298">
        <v>0</v>
      </c>
      <c r="AD265" s="1298">
        <v>0</v>
      </c>
      <c r="AE265" s="1298">
        <v>0</v>
      </c>
      <c r="AF265" s="1298">
        <v>2102.6</v>
      </c>
    </row>
    <row r="266" spans="1:32" ht="15" customHeight="1">
      <c r="A266" s="1294">
        <v>316</v>
      </c>
      <c r="B266" s="1294">
        <v>343</v>
      </c>
      <c r="C266" s="1295" t="s">
        <v>1447</v>
      </c>
      <c r="D266" s="1296" t="s">
        <v>723</v>
      </c>
      <c r="E266" s="1296" t="s">
        <v>716</v>
      </c>
      <c r="F266" s="1297">
        <v>1156</v>
      </c>
      <c r="G266" s="1295" t="s">
        <v>769</v>
      </c>
      <c r="H266" s="1295" t="s">
        <v>1448</v>
      </c>
      <c r="I266" s="1296" t="s">
        <v>919</v>
      </c>
      <c r="J266" s="1296" t="s">
        <v>1449</v>
      </c>
      <c r="K266" s="1296" t="s">
        <v>919</v>
      </c>
      <c r="L266" s="1296" t="s">
        <v>1449</v>
      </c>
      <c r="M266" s="1298">
        <v>2523.6</v>
      </c>
      <c r="N266" s="1298">
        <v>0</v>
      </c>
      <c r="O266" s="1298">
        <v>0</v>
      </c>
      <c r="P266" s="1298">
        <v>73.91</v>
      </c>
      <c r="Q266" s="1298">
        <v>2269</v>
      </c>
      <c r="R266" s="1298">
        <v>2269</v>
      </c>
      <c r="S266" s="1298">
        <v>25</v>
      </c>
      <c r="T266" s="1298">
        <v>12.6</v>
      </c>
      <c r="U266" s="1298">
        <v>21</v>
      </c>
      <c r="V266" s="1298">
        <v>20</v>
      </c>
      <c r="W266" s="1298">
        <v>0</v>
      </c>
      <c r="X266" s="1298">
        <v>0</v>
      </c>
      <c r="Y266" s="1298">
        <v>0</v>
      </c>
      <c r="Z266" s="1298">
        <v>0</v>
      </c>
      <c r="AA266" s="1298">
        <v>0</v>
      </c>
      <c r="AB266" s="1298">
        <v>0</v>
      </c>
      <c r="AC266" s="1298">
        <v>0</v>
      </c>
      <c r="AD266" s="1298">
        <v>0</v>
      </c>
      <c r="AE266" s="1298">
        <v>0</v>
      </c>
      <c r="AF266" s="1298">
        <v>2347.6</v>
      </c>
    </row>
    <row r="267" spans="1:32" ht="15" customHeight="1">
      <c r="A267" s="1294">
        <v>0</v>
      </c>
      <c r="B267" s="1294">
        <v>0</v>
      </c>
      <c r="C267" s="1295" t="s">
        <v>1450</v>
      </c>
      <c r="D267" s="1296" t="s">
        <v>2005</v>
      </c>
      <c r="E267" s="1296" t="s">
        <v>716</v>
      </c>
      <c r="F267" s="1297">
        <v>1102</v>
      </c>
      <c r="G267" s="1295" t="s">
        <v>731</v>
      </c>
      <c r="H267" s="1295" t="s">
        <v>185</v>
      </c>
      <c r="I267" s="1296"/>
      <c r="J267" s="1296"/>
      <c r="K267" s="1296"/>
      <c r="L267" s="1296"/>
      <c r="M267" s="1298">
        <v>2478.6</v>
      </c>
      <c r="N267" s="1298">
        <v>0</v>
      </c>
      <c r="O267" s="1298">
        <v>0</v>
      </c>
      <c r="P267" s="1298">
        <v>0</v>
      </c>
      <c r="Q267" s="1298">
        <v>0</v>
      </c>
      <c r="R267" s="1298">
        <v>0</v>
      </c>
      <c r="S267" s="1298">
        <v>0</v>
      </c>
      <c r="T267" s="1298">
        <v>0</v>
      </c>
      <c r="U267" s="1298">
        <v>0</v>
      </c>
      <c r="V267" s="1298">
        <v>0</v>
      </c>
      <c r="W267" s="1298">
        <v>0</v>
      </c>
      <c r="X267" s="1298">
        <v>0</v>
      </c>
      <c r="Y267" s="1298">
        <v>0</v>
      </c>
      <c r="Z267" s="1298">
        <v>0</v>
      </c>
      <c r="AA267" s="1298">
        <v>0</v>
      </c>
      <c r="AB267" s="1298">
        <v>0</v>
      </c>
      <c r="AC267" s="1298">
        <v>0</v>
      </c>
      <c r="AD267" s="1298">
        <v>0</v>
      </c>
      <c r="AE267" s="1298">
        <v>0</v>
      </c>
      <c r="AF267" s="1298">
        <v>0</v>
      </c>
    </row>
    <row r="268" spans="1:32" ht="15" customHeight="1">
      <c r="A268" s="1294">
        <v>443</v>
      </c>
      <c r="B268" s="1294">
        <v>702</v>
      </c>
      <c r="C268" s="1295" t="s">
        <v>1450</v>
      </c>
      <c r="D268" s="1296" t="s">
        <v>2005</v>
      </c>
      <c r="E268" s="1296" t="s">
        <v>716</v>
      </c>
      <c r="F268" s="1297">
        <v>1102</v>
      </c>
      <c r="G268" s="1295" t="s">
        <v>732</v>
      </c>
      <c r="H268" s="1295" t="s">
        <v>2264</v>
      </c>
      <c r="I268" s="1296" t="s">
        <v>1449</v>
      </c>
      <c r="J268" s="1296"/>
      <c r="K268" s="1296" t="s">
        <v>1449</v>
      </c>
      <c r="L268" s="1296" t="s">
        <v>2115</v>
      </c>
      <c r="M268" s="1298">
        <v>0</v>
      </c>
      <c r="N268" s="1298">
        <v>250</v>
      </c>
      <c r="O268" s="1298">
        <v>0</v>
      </c>
      <c r="P268" s="1298">
        <v>0</v>
      </c>
      <c r="Q268" s="1298">
        <v>2344</v>
      </c>
      <c r="R268" s="1298">
        <v>2344</v>
      </c>
      <c r="S268" s="1298">
        <v>30</v>
      </c>
      <c r="T268" s="1298">
        <v>12.6</v>
      </c>
      <c r="U268" s="1298">
        <v>22</v>
      </c>
      <c r="V268" s="1298">
        <v>20</v>
      </c>
      <c r="W268" s="1298">
        <v>0</v>
      </c>
      <c r="X268" s="1298">
        <v>0</v>
      </c>
      <c r="Y268" s="1298">
        <v>50</v>
      </c>
      <c r="Z268" s="1298">
        <v>0</v>
      </c>
      <c r="AA268" s="1298">
        <v>0</v>
      </c>
      <c r="AB268" s="1298">
        <v>0</v>
      </c>
      <c r="AC268" s="1298">
        <v>0</v>
      </c>
      <c r="AD268" s="1298">
        <v>0</v>
      </c>
      <c r="AE268" s="1298">
        <v>0</v>
      </c>
      <c r="AF268" s="1298">
        <v>2478.6</v>
      </c>
    </row>
    <row r="269" spans="1:32" ht="15" customHeight="1">
      <c r="A269" s="1294">
        <v>422</v>
      </c>
      <c r="B269" s="1294">
        <v>621</v>
      </c>
      <c r="C269" s="1295" t="s">
        <v>1451</v>
      </c>
      <c r="D269" s="1296" t="s">
        <v>744</v>
      </c>
      <c r="E269" s="1296" t="s">
        <v>716</v>
      </c>
      <c r="F269" s="1297">
        <v>908</v>
      </c>
      <c r="G269" s="1295" t="s">
        <v>189</v>
      </c>
      <c r="H269" s="1295" t="s">
        <v>2265</v>
      </c>
      <c r="I269" s="1296" t="s">
        <v>1307</v>
      </c>
      <c r="J269" s="1296"/>
      <c r="K269" s="1296" t="s">
        <v>1307</v>
      </c>
      <c r="L269" s="1296" t="s">
        <v>2266</v>
      </c>
      <c r="M269" s="1298">
        <v>2231.6</v>
      </c>
      <c r="N269" s="1298">
        <v>250</v>
      </c>
      <c r="O269" s="1298">
        <v>250</v>
      </c>
      <c r="P269" s="1298">
        <v>-1808.05</v>
      </c>
      <c r="Q269" s="1298">
        <v>1822</v>
      </c>
      <c r="R269" s="1298">
        <v>1822</v>
      </c>
      <c r="S269" s="1298">
        <v>30</v>
      </c>
      <c r="T269" s="1298">
        <v>12.6</v>
      </c>
      <c r="U269" s="1298">
        <v>22</v>
      </c>
      <c r="V269" s="1298">
        <v>0</v>
      </c>
      <c r="W269" s="1298">
        <v>0</v>
      </c>
      <c r="X269" s="1298">
        <v>0</v>
      </c>
      <c r="Y269" s="1298">
        <v>0</v>
      </c>
      <c r="Z269" s="1298">
        <v>0</v>
      </c>
      <c r="AA269" s="1298">
        <v>0</v>
      </c>
      <c r="AB269" s="1298">
        <v>0</v>
      </c>
      <c r="AC269" s="1298">
        <v>0</v>
      </c>
      <c r="AD269" s="1298">
        <v>0</v>
      </c>
      <c r="AE269" s="1298">
        <v>0</v>
      </c>
      <c r="AF269" s="1298">
        <v>1886.6</v>
      </c>
    </row>
    <row r="270" spans="1:32" ht="15" customHeight="1">
      <c r="A270" s="1294">
        <v>294</v>
      </c>
      <c r="B270" s="1294">
        <v>644</v>
      </c>
      <c r="C270" s="1295" t="s">
        <v>1452</v>
      </c>
      <c r="D270" s="1296" t="s">
        <v>2009</v>
      </c>
      <c r="E270" s="1296" t="s">
        <v>716</v>
      </c>
      <c r="F270" s="1297">
        <v>791</v>
      </c>
      <c r="G270" s="1295" t="s">
        <v>189</v>
      </c>
      <c r="H270" s="1295" t="s">
        <v>1453</v>
      </c>
      <c r="I270" s="1296" t="s">
        <v>1454</v>
      </c>
      <c r="J270" s="1296"/>
      <c r="K270" s="1296" t="s">
        <v>2267</v>
      </c>
      <c r="L270" s="1296" t="s">
        <v>2268</v>
      </c>
      <c r="M270" s="1298">
        <v>1841.6</v>
      </c>
      <c r="N270" s="1298">
        <v>0</v>
      </c>
      <c r="O270" s="1298">
        <v>0</v>
      </c>
      <c r="P270" s="1298">
        <v>67.06</v>
      </c>
      <c r="Q270" s="1298">
        <v>1777</v>
      </c>
      <c r="R270" s="1298">
        <v>1777</v>
      </c>
      <c r="S270" s="1298">
        <v>25</v>
      </c>
      <c r="T270" s="1298">
        <v>12.6</v>
      </c>
      <c r="U270" s="1298">
        <v>20</v>
      </c>
      <c r="V270" s="1298">
        <v>20</v>
      </c>
      <c r="W270" s="1298">
        <v>0</v>
      </c>
      <c r="X270" s="1298">
        <v>0</v>
      </c>
      <c r="Y270" s="1298">
        <v>50</v>
      </c>
      <c r="Z270" s="1298">
        <v>0</v>
      </c>
      <c r="AA270" s="1298">
        <v>0</v>
      </c>
      <c r="AB270" s="1298">
        <v>0</v>
      </c>
      <c r="AC270" s="1298">
        <v>0</v>
      </c>
      <c r="AD270" s="1298">
        <v>0</v>
      </c>
      <c r="AE270" s="1298">
        <v>0</v>
      </c>
      <c r="AF270" s="1298">
        <v>1904.6</v>
      </c>
    </row>
    <row r="271" spans="1:32" ht="15" customHeight="1">
      <c r="A271" s="1294">
        <v>311</v>
      </c>
      <c r="B271" s="1294">
        <v>693</v>
      </c>
      <c r="C271" s="1295" t="s">
        <v>1456</v>
      </c>
      <c r="D271" s="1296" t="s">
        <v>2010</v>
      </c>
      <c r="E271" s="1296" t="s">
        <v>716</v>
      </c>
      <c r="F271" s="1297">
        <v>958</v>
      </c>
      <c r="G271" s="1295" t="s">
        <v>189</v>
      </c>
      <c r="H271" s="1295" t="s">
        <v>1457</v>
      </c>
      <c r="I271" s="1296" t="s">
        <v>1458</v>
      </c>
      <c r="J271" s="1296"/>
      <c r="K271" s="1296" t="s">
        <v>1072</v>
      </c>
      <c r="L271" s="1296" t="s">
        <v>2262</v>
      </c>
      <c r="M271" s="1298">
        <v>2045.6</v>
      </c>
      <c r="N271" s="1298">
        <v>0</v>
      </c>
      <c r="O271" s="1298">
        <v>0</v>
      </c>
      <c r="P271" s="1298">
        <v>69.239999999999995</v>
      </c>
      <c r="Q271" s="1298">
        <v>1961</v>
      </c>
      <c r="R271" s="1298">
        <v>1961</v>
      </c>
      <c r="S271" s="1298">
        <v>25</v>
      </c>
      <c r="T271" s="1298">
        <v>12.6</v>
      </c>
      <c r="U271" s="1298">
        <v>21</v>
      </c>
      <c r="V271" s="1298">
        <v>20</v>
      </c>
      <c r="W271" s="1298">
        <v>0</v>
      </c>
      <c r="X271" s="1298">
        <v>50</v>
      </c>
      <c r="Y271" s="1298">
        <v>50</v>
      </c>
      <c r="Z271" s="1298">
        <v>0</v>
      </c>
      <c r="AA271" s="1298">
        <v>0</v>
      </c>
      <c r="AB271" s="1298">
        <v>0</v>
      </c>
      <c r="AC271" s="1298">
        <v>0</v>
      </c>
      <c r="AD271" s="1298">
        <v>0</v>
      </c>
      <c r="AE271" s="1298">
        <v>0</v>
      </c>
      <c r="AF271" s="1298">
        <v>2139.6</v>
      </c>
    </row>
    <row r="272" spans="1:32" ht="15" customHeight="1">
      <c r="A272" s="1294">
        <v>242</v>
      </c>
      <c r="B272" s="1294">
        <v>451</v>
      </c>
      <c r="C272" s="1295" t="s">
        <v>1459</v>
      </c>
      <c r="D272" s="1296" t="s">
        <v>753</v>
      </c>
      <c r="E272" s="1296" t="s">
        <v>716</v>
      </c>
      <c r="F272" s="1297">
        <v>609</v>
      </c>
      <c r="G272" s="1295" t="s">
        <v>189</v>
      </c>
      <c r="H272" s="1295" t="s">
        <v>1460</v>
      </c>
      <c r="I272" s="1296" t="s">
        <v>745</v>
      </c>
      <c r="J272" s="1296"/>
      <c r="K272" s="1296" t="s">
        <v>986</v>
      </c>
      <c r="L272" s="1296" t="s">
        <v>1854</v>
      </c>
      <c r="M272" s="1298">
        <v>1681.6</v>
      </c>
      <c r="N272" s="1298">
        <v>0</v>
      </c>
      <c r="O272" s="1298">
        <v>0</v>
      </c>
      <c r="P272" s="1298">
        <v>56.02</v>
      </c>
      <c r="Q272" s="1298">
        <v>1615</v>
      </c>
      <c r="R272" s="1298">
        <v>1615</v>
      </c>
      <c r="S272" s="1298">
        <v>25</v>
      </c>
      <c r="T272" s="1298">
        <v>12.6</v>
      </c>
      <c r="U272" s="1298">
        <v>17</v>
      </c>
      <c r="V272" s="1298">
        <v>20</v>
      </c>
      <c r="W272" s="1298">
        <v>0</v>
      </c>
      <c r="X272" s="1298">
        <v>0</v>
      </c>
      <c r="Y272" s="1298">
        <v>0</v>
      </c>
      <c r="Z272" s="1298">
        <v>0</v>
      </c>
      <c r="AA272" s="1298">
        <v>0</v>
      </c>
      <c r="AB272" s="1298">
        <v>0</v>
      </c>
      <c r="AC272" s="1298">
        <v>0</v>
      </c>
      <c r="AD272" s="1298">
        <v>0</v>
      </c>
      <c r="AE272" s="1298">
        <v>0</v>
      </c>
      <c r="AF272" s="1298">
        <v>1689.6</v>
      </c>
    </row>
    <row r="273" spans="1:32" ht="15" customHeight="1">
      <c r="A273" s="1294">
        <v>175</v>
      </c>
      <c r="B273" s="1294">
        <v>535</v>
      </c>
      <c r="C273" s="1295" t="s">
        <v>1461</v>
      </c>
      <c r="D273" s="1296" t="s">
        <v>759</v>
      </c>
      <c r="E273" s="1296" t="s">
        <v>716</v>
      </c>
      <c r="F273" s="1297">
        <v>813</v>
      </c>
      <c r="G273" s="1295" t="s">
        <v>189</v>
      </c>
      <c r="H273" s="1295" t="s">
        <v>1462</v>
      </c>
      <c r="I273" s="1296" t="s">
        <v>1463</v>
      </c>
      <c r="J273" s="1296"/>
      <c r="K273" s="1296" t="s">
        <v>1876</v>
      </c>
      <c r="L273" s="1296" t="s">
        <v>2098</v>
      </c>
      <c r="M273" s="1298">
        <v>1960.6</v>
      </c>
      <c r="N273" s="1298">
        <v>250</v>
      </c>
      <c r="O273" s="1298">
        <v>250</v>
      </c>
      <c r="P273" s="1298">
        <v>-755.07</v>
      </c>
      <c r="Q273" s="1298">
        <v>1826</v>
      </c>
      <c r="R273" s="1298">
        <v>1826</v>
      </c>
      <c r="S273" s="1298">
        <v>30</v>
      </c>
      <c r="T273" s="1298">
        <v>12.6</v>
      </c>
      <c r="U273" s="1298">
        <v>22</v>
      </c>
      <c r="V273" s="1298">
        <v>20</v>
      </c>
      <c r="W273" s="1298">
        <v>0</v>
      </c>
      <c r="X273" s="1298">
        <v>0</v>
      </c>
      <c r="Y273" s="1298">
        <v>0</v>
      </c>
      <c r="Z273" s="1298">
        <v>0</v>
      </c>
      <c r="AA273" s="1298">
        <v>0</v>
      </c>
      <c r="AB273" s="1298">
        <v>0</v>
      </c>
      <c r="AC273" s="1298">
        <v>0</v>
      </c>
      <c r="AD273" s="1298">
        <v>0</v>
      </c>
      <c r="AE273" s="1298">
        <v>0</v>
      </c>
      <c r="AF273" s="1298">
        <v>1910.6</v>
      </c>
    </row>
    <row r="274" spans="1:32" ht="15" customHeight="1">
      <c r="A274" s="1294">
        <v>199</v>
      </c>
      <c r="B274" s="1294">
        <v>213</v>
      </c>
      <c r="C274" s="1295" t="s">
        <v>1464</v>
      </c>
      <c r="D274" s="1296" t="s">
        <v>890</v>
      </c>
      <c r="E274" s="1296" t="s">
        <v>716</v>
      </c>
      <c r="F274" s="1297">
        <v>1539</v>
      </c>
      <c r="G274" s="1295" t="s">
        <v>189</v>
      </c>
      <c r="H274" s="1295" t="s">
        <v>1465</v>
      </c>
      <c r="I274" s="1296" t="s">
        <v>1466</v>
      </c>
      <c r="J274" s="1296"/>
      <c r="K274" s="1296" t="s">
        <v>1467</v>
      </c>
      <c r="L274" s="1296" t="s">
        <v>1192</v>
      </c>
      <c r="M274" s="1298">
        <v>2893.6</v>
      </c>
      <c r="N274" s="1298">
        <v>0</v>
      </c>
      <c r="O274" s="1298">
        <v>0</v>
      </c>
      <c r="P274" s="1298">
        <v>41.21</v>
      </c>
      <c r="Q274" s="1298">
        <v>2710</v>
      </c>
      <c r="R274" s="1298">
        <v>2710</v>
      </c>
      <c r="S274" s="1298">
        <v>25</v>
      </c>
      <c r="T274" s="1298">
        <v>12.6</v>
      </c>
      <c r="U274" s="1298">
        <v>21</v>
      </c>
      <c r="V274" s="1298">
        <v>20</v>
      </c>
      <c r="W274" s="1298">
        <v>25</v>
      </c>
      <c r="X274" s="1298">
        <v>0</v>
      </c>
      <c r="Y274" s="1298">
        <v>0</v>
      </c>
      <c r="Z274" s="1298">
        <v>0</v>
      </c>
      <c r="AA274" s="1298">
        <v>0</v>
      </c>
      <c r="AB274" s="1298">
        <v>0</v>
      </c>
      <c r="AC274" s="1298">
        <v>0</v>
      </c>
      <c r="AD274" s="1298">
        <v>0</v>
      </c>
      <c r="AE274" s="1298">
        <v>0</v>
      </c>
      <c r="AF274" s="1298">
        <v>2813.6</v>
      </c>
    </row>
    <row r="275" spans="1:32" ht="15" customHeight="1">
      <c r="A275" s="1294">
        <v>195</v>
      </c>
      <c r="B275" s="1294">
        <v>209</v>
      </c>
      <c r="C275" s="1295" t="s">
        <v>1468</v>
      </c>
      <c r="D275" s="1296" t="s">
        <v>2030</v>
      </c>
      <c r="E275" s="1296" t="s">
        <v>716</v>
      </c>
      <c r="F275" s="1297">
        <v>1238</v>
      </c>
      <c r="G275" s="1295" t="s">
        <v>189</v>
      </c>
      <c r="H275" s="1295" t="s">
        <v>1469</v>
      </c>
      <c r="I275" s="1296" t="s">
        <v>1470</v>
      </c>
      <c r="J275" s="1296"/>
      <c r="K275" s="1296" t="s">
        <v>1344</v>
      </c>
      <c r="L275" s="1296" t="s">
        <v>1381</v>
      </c>
      <c r="M275" s="1298">
        <v>2563.6</v>
      </c>
      <c r="N275" s="1298">
        <v>0</v>
      </c>
      <c r="O275" s="1298">
        <v>0</v>
      </c>
      <c r="P275" s="1298">
        <v>54.55</v>
      </c>
      <c r="Q275" s="1298">
        <v>2410</v>
      </c>
      <c r="R275" s="1298">
        <v>2410</v>
      </c>
      <c r="S275" s="1298">
        <v>25</v>
      </c>
      <c r="T275" s="1298">
        <v>11.5</v>
      </c>
      <c r="U275" s="1298">
        <v>17</v>
      </c>
      <c r="V275" s="1298">
        <v>20</v>
      </c>
      <c r="W275" s="1298">
        <v>0</v>
      </c>
      <c r="X275" s="1298">
        <v>0</v>
      </c>
      <c r="Y275" s="1298">
        <v>0</v>
      </c>
      <c r="Z275" s="1298">
        <v>0</v>
      </c>
      <c r="AA275" s="1298">
        <v>0</v>
      </c>
      <c r="AB275" s="1298">
        <v>0</v>
      </c>
      <c r="AC275" s="1298">
        <v>0</v>
      </c>
      <c r="AD275" s="1298">
        <v>0</v>
      </c>
      <c r="AE275" s="1298">
        <v>0</v>
      </c>
      <c r="AF275" s="1298">
        <v>2483.5</v>
      </c>
    </row>
    <row r="276" spans="1:32" ht="15" customHeight="1">
      <c r="A276" s="1294">
        <v>39</v>
      </c>
      <c r="B276" s="1294">
        <v>432</v>
      </c>
      <c r="C276" s="1295" t="s">
        <v>1471</v>
      </c>
      <c r="D276" s="1296" t="s">
        <v>1009</v>
      </c>
      <c r="E276" s="1296" t="s">
        <v>716</v>
      </c>
      <c r="F276" s="1297">
        <v>851</v>
      </c>
      <c r="G276" s="1295" t="s">
        <v>189</v>
      </c>
      <c r="H276" s="1295" t="s">
        <v>1472</v>
      </c>
      <c r="I276" s="1296" t="s">
        <v>1473</v>
      </c>
      <c r="J276" s="1296"/>
      <c r="K276" s="1296" t="s">
        <v>719</v>
      </c>
      <c r="L276" s="1296" t="s">
        <v>1895</v>
      </c>
      <c r="M276" s="1298">
        <v>2050.6</v>
      </c>
      <c r="N276" s="1298">
        <v>0</v>
      </c>
      <c r="O276" s="1298">
        <v>0</v>
      </c>
      <c r="P276" s="1298">
        <v>67.3</v>
      </c>
      <c r="Q276" s="1298">
        <v>1715</v>
      </c>
      <c r="R276" s="1298">
        <v>1715</v>
      </c>
      <c r="S276" s="1298">
        <v>25</v>
      </c>
      <c r="T276" s="1298">
        <v>12.6</v>
      </c>
      <c r="U276" s="1298">
        <v>17</v>
      </c>
      <c r="V276" s="1298">
        <v>20</v>
      </c>
      <c r="W276" s="1298">
        <v>0</v>
      </c>
      <c r="X276" s="1298">
        <v>50</v>
      </c>
      <c r="Y276" s="1298">
        <v>0</v>
      </c>
      <c r="Z276" s="1298">
        <v>11.5</v>
      </c>
      <c r="AA276" s="1298">
        <v>0</v>
      </c>
      <c r="AB276" s="1298">
        <v>0</v>
      </c>
      <c r="AC276" s="1298">
        <v>0</v>
      </c>
      <c r="AD276" s="1298">
        <v>0</v>
      </c>
      <c r="AE276" s="1298">
        <v>0</v>
      </c>
      <c r="AF276" s="1298">
        <v>1851.1</v>
      </c>
    </row>
    <row r="277" spans="1:32" ht="15" customHeight="1">
      <c r="A277" s="1294">
        <v>161</v>
      </c>
      <c r="B277" s="1294">
        <v>518</v>
      </c>
      <c r="C277" s="1295" t="s">
        <v>1475</v>
      </c>
      <c r="D277" s="1296" t="s">
        <v>840</v>
      </c>
      <c r="E277" s="1296" t="s">
        <v>716</v>
      </c>
      <c r="F277" s="1297">
        <v>1235</v>
      </c>
      <c r="G277" s="1295" t="s">
        <v>189</v>
      </c>
      <c r="H277" s="1295" t="s">
        <v>1476</v>
      </c>
      <c r="I277" s="1296" t="s">
        <v>729</v>
      </c>
      <c r="J277" s="1296"/>
      <c r="K277" s="1296" t="s">
        <v>1332</v>
      </c>
      <c r="L277" s="1296" t="s">
        <v>2099</v>
      </c>
      <c r="M277" s="1298">
        <v>2543.6</v>
      </c>
      <c r="N277" s="1298">
        <v>0</v>
      </c>
      <c r="O277" s="1298">
        <v>0</v>
      </c>
      <c r="P277" s="1298">
        <v>62.31</v>
      </c>
      <c r="Q277" s="1298">
        <v>2354</v>
      </c>
      <c r="R277" s="1298">
        <v>2354</v>
      </c>
      <c r="S277" s="1298">
        <v>30</v>
      </c>
      <c r="T277" s="1298">
        <v>12.6</v>
      </c>
      <c r="U277" s="1298">
        <v>22</v>
      </c>
      <c r="V277" s="1298">
        <v>20</v>
      </c>
      <c r="W277" s="1298">
        <v>0</v>
      </c>
      <c r="X277" s="1298">
        <v>0</v>
      </c>
      <c r="Y277" s="1298">
        <v>0</v>
      </c>
      <c r="Z277" s="1298">
        <v>0</v>
      </c>
      <c r="AA277" s="1298">
        <v>0</v>
      </c>
      <c r="AB277" s="1298">
        <v>0</v>
      </c>
      <c r="AC277" s="1298">
        <v>0</v>
      </c>
      <c r="AD277" s="1298">
        <v>0</v>
      </c>
      <c r="AE277" s="1298">
        <v>0</v>
      </c>
      <c r="AF277" s="1298">
        <v>2438.6</v>
      </c>
    </row>
    <row r="278" spans="1:32" ht="15" customHeight="1">
      <c r="A278" s="1294">
        <v>290</v>
      </c>
      <c r="B278" s="1294">
        <v>539</v>
      </c>
      <c r="C278" s="1295" t="s">
        <v>1478</v>
      </c>
      <c r="D278" s="1296" t="s">
        <v>2031</v>
      </c>
      <c r="E278" s="1296" t="s">
        <v>716</v>
      </c>
      <c r="F278" s="1297">
        <v>932</v>
      </c>
      <c r="G278" s="1295" t="s">
        <v>189</v>
      </c>
      <c r="H278" s="1295" t="s">
        <v>1479</v>
      </c>
      <c r="I278" s="1296" t="s">
        <v>1480</v>
      </c>
      <c r="J278" s="1296"/>
      <c r="K278" s="1296" t="s">
        <v>2100</v>
      </c>
      <c r="L278" s="1296" t="s">
        <v>2101</v>
      </c>
      <c r="M278" s="1298">
        <v>2055.6</v>
      </c>
      <c r="N278" s="1298">
        <v>0</v>
      </c>
      <c r="O278" s="1298">
        <v>0</v>
      </c>
      <c r="P278" s="1298">
        <v>32.53</v>
      </c>
      <c r="Q278" s="1298">
        <v>1921</v>
      </c>
      <c r="R278" s="1298">
        <v>1921</v>
      </c>
      <c r="S278" s="1298">
        <v>30</v>
      </c>
      <c r="T278" s="1298">
        <v>12.6</v>
      </c>
      <c r="U278" s="1298">
        <v>22</v>
      </c>
      <c r="V278" s="1298">
        <v>20</v>
      </c>
      <c r="W278" s="1298">
        <v>0</v>
      </c>
      <c r="X278" s="1298">
        <v>35</v>
      </c>
      <c r="Y278" s="1298">
        <v>0</v>
      </c>
      <c r="Z278" s="1298">
        <v>0</v>
      </c>
      <c r="AA278" s="1298">
        <v>0</v>
      </c>
      <c r="AB278" s="1298">
        <v>0</v>
      </c>
      <c r="AC278" s="1298">
        <v>0</v>
      </c>
      <c r="AD278" s="1298">
        <v>0</v>
      </c>
      <c r="AE278" s="1298">
        <v>0</v>
      </c>
      <c r="AF278" s="1298">
        <v>2040.6</v>
      </c>
    </row>
    <row r="279" spans="1:32" ht="15" customHeight="1">
      <c r="A279" s="1294">
        <v>72</v>
      </c>
      <c r="B279" s="1294">
        <v>455</v>
      </c>
      <c r="C279" s="1295" t="s">
        <v>1482</v>
      </c>
      <c r="D279" s="1296" t="s">
        <v>840</v>
      </c>
      <c r="E279" s="1296" t="s">
        <v>716</v>
      </c>
      <c r="F279" s="1297">
        <v>1235</v>
      </c>
      <c r="G279" s="1295" t="s">
        <v>189</v>
      </c>
      <c r="H279" s="1295" t="s">
        <v>1483</v>
      </c>
      <c r="I279" s="1296" t="s">
        <v>1484</v>
      </c>
      <c r="J279" s="1296"/>
      <c r="K279" s="1296" t="s">
        <v>1893</v>
      </c>
      <c r="L279" s="1296" t="s">
        <v>1861</v>
      </c>
      <c r="M279" s="1298">
        <v>2543.6</v>
      </c>
      <c r="N279" s="1298">
        <v>0</v>
      </c>
      <c r="O279" s="1298">
        <v>0</v>
      </c>
      <c r="P279" s="1298">
        <v>88.97</v>
      </c>
      <c r="Q279" s="1298">
        <v>2521</v>
      </c>
      <c r="R279" s="1298">
        <v>2521</v>
      </c>
      <c r="S279" s="1298">
        <v>25</v>
      </c>
      <c r="T279" s="1298">
        <v>12.6</v>
      </c>
      <c r="U279" s="1298">
        <v>17</v>
      </c>
      <c r="V279" s="1298">
        <v>20</v>
      </c>
      <c r="W279" s="1298">
        <v>50</v>
      </c>
      <c r="X279" s="1298">
        <v>0</v>
      </c>
      <c r="Y279" s="1298">
        <v>0</v>
      </c>
      <c r="Z279" s="1298">
        <v>11.5</v>
      </c>
      <c r="AA279" s="1298">
        <v>0</v>
      </c>
      <c r="AB279" s="1298">
        <v>0</v>
      </c>
      <c r="AC279" s="1298">
        <v>-1000</v>
      </c>
      <c r="AD279" s="1298">
        <v>0</v>
      </c>
      <c r="AE279" s="1298">
        <v>0</v>
      </c>
      <c r="AF279" s="1298">
        <v>1657.1</v>
      </c>
    </row>
    <row r="280" spans="1:32" ht="15" customHeight="1">
      <c r="A280" s="1294">
        <v>256</v>
      </c>
      <c r="B280" s="1294">
        <v>453</v>
      </c>
      <c r="C280" s="1295" t="s">
        <v>1485</v>
      </c>
      <c r="D280" s="1296" t="s">
        <v>2012</v>
      </c>
      <c r="E280" s="1296" t="s">
        <v>716</v>
      </c>
      <c r="F280" s="1297">
        <v>1037</v>
      </c>
      <c r="G280" s="1295" t="s">
        <v>189</v>
      </c>
      <c r="H280" s="1295" t="s">
        <v>1486</v>
      </c>
      <c r="I280" s="1296" t="s">
        <v>880</v>
      </c>
      <c r="J280" s="1296"/>
      <c r="K280" s="1296" t="s">
        <v>1297</v>
      </c>
      <c r="L280" s="1296" t="s">
        <v>1894</v>
      </c>
      <c r="M280" s="1298">
        <v>2135.6</v>
      </c>
      <c r="N280" s="1298">
        <v>0</v>
      </c>
      <c r="O280" s="1298">
        <v>0</v>
      </c>
      <c r="P280" s="1298">
        <v>67.66</v>
      </c>
      <c r="Q280" s="1298">
        <v>2091</v>
      </c>
      <c r="R280" s="1298">
        <v>2091</v>
      </c>
      <c r="S280" s="1298">
        <v>25</v>
      </c>
      <c r="T280" s="1298">
        <v>0</v>
      </c>
      <c r="U280" s="1298">
        <v>17</v>
      </c>
      <c r="V280" s="1298">
        <v>20</v>
      </c>
      <c r="W280" s="1298">
        <v>0</v>
      </c>
      <c r="X280" s="1298">
        <v>0</v>
      </c>
      <c r="Y280" s="1298">
        <v>0</v>
      </c>
      <c r="Z280" s="1298">
        <v>11.5</v>
      </c>
      <c r="AA280" s="1298">
        <v>0</v>
      </c>
      <c r="AB280" s="1298">
        <v>0</v>
      </c>
      <c r="AC280" s="1298">
        <v>0</v>
      </c>
      <c r="AD280" s="1298">
        <v>0</v>
      </c>
      <c r="AE280" s="1298">
        <v>0</v>
      </c>
      <c r="AF280" s="1298">
        <v>2164.5</v>
      </c>
    </row>
    <row r="281" spans="1:32" ht="15" customHeight="1">
      <c r="A281" s="1294">
        <v>152</v>
      </c>
      <c r="B281" s="1294">
        <v>552</v>
      </c>
      <c r="C281" s="1295" t="s">
        <v>1487</v>
      </c>
      <c r="D281" s="1296" t="s">
        <v>772</v>
      </c>
      <c r="E281" s="1296" t="s">
        <v>716</v>
      </c>
      <c r="F281" s="1297">
        <v>937</v>
      </c>
      <c r="G281" s="1295" t="s">
        <v>189</v>
      </c>
      <c r="H281" s="1295" t="s">
        <v>1488</v>
      </c>
      <c r="I281" s="1296" t="s">
        <v>922</v>
      </c>
      <c r="J281" s="1296"/>
      <c r="K281" s="1296" t="s">
        <v>2086</v>
      </c>
      <c r="L281" s="1296" t="s">
        <v>2102</v>
      </c>
      <c r="M281" s="1298">
        <v>2050.6</v>
      </c>
      <c r="N281" s="1298">
        <v>0</v>
      </c>
      <c r="O281" s="1298">
        <v>0</v>
      </c>
      <c r="P281" s="1298">
        <v>50.23</v>
      </c>
      <c r="Q281" s="1298">
        <v>1762</v>
      </c>
      <c r="R281" s="1298">
        <v>1762</v>
      </c>
      <c r="S281" s="1298">
        <v>30</v>
      </c>
      <c r="T281" s="1298">
        <v>12.6</v>
      </c>
      <c r="U281" s="1298">
        <v>22</v>
      </c>
      <c r="V281" s="1298">
        <v>20</v>
      </c>
      <c r="W281" s="1298">
        <v>0</v>
      </c>
      <c r="X281" s="1298">
        <v>0</v>
      </c>
      <c r="Y281" s="1298">
        <v>0</v>
      </c>
      <c r="Z281" s="1298">
        <v>0</v>
      </c>
      <c r="AA281" s="1298">
        <v>0</v>
      </c>
      <c r="AB281" s="1298">
        <v>0</v>
      </c>
      <c r="AC281" s="1298">
        <v>0</v>
      </c>
      <c r="AD281" s="1298">
        <v>0</v>
      </c>
      <c r="AE281" s="1298">
        <v>0</v>
      </c>
      <c r="AF281" s="1298">
        <v>1846.6</v>
      </c>
    </row>
    <row r="282" spans="1:32" ht="15" customHeight="1">
      <c r="A282" s="1294">
        <v>33</v>
      </c>
      <c r="B282" s="1294">
        <v>477</v>
      </c>
      <c r="C282" s="1295" t="s">
        <v>1489</v>
      </c>
      <c r="D282" s="1296" t="s">
        <v>775</v>
      </c>
      <c r="E282" s="1296" t="s">
        <v>716</v>
      </c>
      <c r="F282" s="1297">
        <v>1219</v>
      </c>
      <c r="G282" s="1295" t="s">
        <v>189</v>
      </c>
      <c r="H282" s="1295" t="s">
        <v>1490</v>
      </c>
      <c r="I282" s="1296" t="s">
        <v>1491</v>
      </c>
      <c r="J282" s="1296"/>
      <c r="K282" s="1296" t="s">
        <v>1256</v>
      </c>
      <c r="L282" s="1296" t="s">
        <v>1872</v>
      </c>
      <c r="M282" s="1298">
        <v>2543.6</v>
      </c>
      <c r="N282" s="1298">
        <v>0</v>
      </c>
      <c r="O282" s="1298">
        <v>0</v>
      </c>
      <c r="P282" s="1298">
        <v>19.059999999999999</v>
      </c>
      <c r="Q282" s="1298">
        <v>2251</v>
      </c>
      <c r="R282" s="1298">
        <v>2251</v>
      </c>
      <c r="S282" s="1298">
        <v>25</v>
      </c>
      <c r="T282" s="1298">
        <v>12.6</v>
      </c>
      <c r="U282" s="1298">
        <v>0</v>
      </c>
      <c r="V282" s="1298">
        <v>20</v>
      </c>
      <c r="W282" s="1298">
        <v>0</v>
      </c>
      <c r="X282" s="1298">
        <v>0</v>
      </c>
      <c r="Y282" s="1298">
        <v>0</v>
      </c>
      <c r="Z282" s="1298">
        <v>11.5</v>
      </c>
      <c r="AA282" s="1298">
        <v>0</v>
      </c>
      <c r="AB282" s="1298">
        <v>0</v>
      </c>
      <c r="AC282" s="1298">
        <v>0</v>
      </c>
      <c r="AD282" s="1298">
        <v>0</v>
      </c>
      <c r="AE282" s="1298">
        <v>0</v>
      </c>
      <c r="AF282" s="1298">
        <v>2320.1</v>
      </c>
    </row>
    <row r="283" spans="1:32" ht="15" customHeight="1">
      <c r="A283" s="1294">
        <v>178</v>
      </c>
      <c r="B283" s="1294">
        <v>562</v>
      </c>
      <c r="C283" s="1295" t="s">
        <v>1492</v>
      </c>
      <c r="D283" s="1296" t="s">
        <v>781</v>
      </c>
      <c r="E283" s="1296" t="s">
        <v>716</v>
      </c>
      <c r="F283" s="1297">
        <v>1429</v>
      </c>
      <c r="G283" s="1295" t="s">
        <v>189</v>
      </c>
      <c r="H283" s="1295" t="s">
        <v>1493</v>
      </c>
      <c r="I283" s="1296" t="s">
        <v>1494</v>
      </c>
      <c r="J283" s="1296"/>
      <c r="K283" s="1296" t="s">
        <v>1059</v>
      </c>
      <c r="L283" s="1296" t="s">
        <v>2103</v>
      </c>
      <c r="M283" s="1298">
        <v>3008.6</v>
      </c>
      <c r="N283" s="1298">
        <v>0</v>
      </c>
      <c r="O283" s="1298">
        <v>0</v>
      </c>
      <c r="P283" s="1298">
        <v>106.46</v>
      </c>
      <c r="Q283" s="1298">
        <v>2649</v>
      </c>
      <c r="R283" s="1298">
        <v>2649</v>
      </c>
      <c r="S283" s="1298">
        <v>30</v>
      </c>
      <c r="T283" s="1298">
        <v>12.6</v>
      </c>
      <c r="U283" s="1298">
        <v>22</v>
      </c>
      <c r="V283" s="1298">
        <v>20</v>
      </c>
      <c r="W283" s="1298">
        <v>0</v>
      </c>
      <c r="X283" s="1298">
        <v>35</v>
      </c>
      <c r="Y283" s="1298">
        <v>50</v>
      </c>
      <c r="Z283" s="1298">
        <v>0</v>
      </c>
      <c r="AA283" s="1298">
        <v>350</v>
      </c>
      <c r="AB283" s="1298">
        <v>0</v>
      </c>
      <c r="AC283" s="1298">
        <v>0</v>
      </c>
      <c r="AD283" s="1298">
        <v>0</v>
      </c>
      <c r="AE283" s="1298">
        <v>0</v>
      </c>
      <c r="AF283" s="1298">
        <v>3168.6</v>
      </c>
    </row>
    <row r="284" spans="1:32" ht="15" customHeight="1">
      <c r="A284" s="1294">
        <v>229</v>
      </c>
      <c r="B284" s="1294">
        <v>254</v>
      </c>
      <c r="C284" s="1295" t="s">
        <v>1496</v>
      </c>
      <c r="D284" s="1296" t="s">
        <v>2013</v>
      </c>
      <c r="E284" s="1296" t="s">
        <v>716</v>
      </c>
      <c r="F284" s="1297">
        <v>698</v>
      </c>
      <c r="G284" s="1295" t="s">
        <v>189</v>
      </c>
      <c r="H284" s="1295" t="s">
        <v>1497</v>
      </c>
      <c r="I284" s="1296" t="s">
        <v>1245</v>
      </c>
      <c r="J284" s="1296"/>
      <c r="K284" s="1296" t="s">
        <v>1498</v>
      </c>
      <c r="L284" s="1296" t="s">
        <v>1417</v>
      </c>
      <c r="M284" s="1298">
        <v>1781.6</v>
      </c>
      <c r="N284" s="1298">
        <v>0</v>
      </c>
      <c r="O284" s="1298">
        <v>0</v>
      </c>
      <c r="P284" s="1298">
        <v>57.69</v>
      </c>
      <c r="Q284" s="1298">
        <v>1651</v>
      </c>
      <c r="R284" s="1298">
        <v>1651</v>
      </c>
      <c r="S284" s="1298">
        <v>25</v>
      </c>
      <c r="T284" s="1298">
        <v>12.6</v>
      </c>
      <c r="U284" s="1298">
        <v>21</v>
      </c>
      <c r="V284" s="1298">
        <v>20</v>
      </c>
      <c r="W284" s="1298">
        <v>25</v>
      </c>
      <c r="X284" s="1298">
        <v>0</v>
      </c>
      <c r="Y284" s="1298">
        <v>0</v>
      </c>
      <c r="Z284" s="1298">
        <v>0</v>
      </c>
      <c r="AA284" s="1298">
        <v>0</v>
      </c>
      <c r="AB284" s="1298">
        <v>0</v>
      </c>
      <c r="AC284" s="1298">
        <v>0</v>
      </c>
      <c r="AD284" s="1298">
        <v>0</v>
      </c>
      <c r="AE284" s="1298">
        <v>0</v>
      </c>
      <c r="AF284" s="1298">
        <v>1754.6</v>
      </c>
    </row>
    <row r="285" spans="1:32" ht="15" customHeight="1">
      <c r="A285" s="1294">
        <v>400</v>
      </c>
      <c r="B285" s="1294">
        <v>579</v>
      </c>
      <c r="C285" s="1295" t="s">
        <v>1499</v>
      </c>
      <c r="D285" s="1296" t="s">
        <v>789</v>
      </c>
      <c r="E285" s="1296" t="s">
        <v>716</v>
      </c>
      <c r="F285" s="1297">
        <v>645</v>
      </c>
      <c r="G285" s="1295" t="s">
        <v>189</v>
      </c>
      <c r="H285" s="1295" t="s">
        <v>2104</v>
      </c>
      <c r="I285" s="1296" t="s">
        <v>1588</v>
      </c>
      <c r="J285" s="1296"/>
      <c r="K285" s="1296" t="s">
        <v>1588</v>
      </c>
      <c r="L285" s="1296" t="s">
        <v>2105</v>
      </c>
      <c r="M285" s="1298">
        <v>1501.6</v>
      </c>
      <c r="N285" s="1298">
        <v>250</v>
      </c>
      <c r="O285" s="1298">
        <v>250</v>
      </c>
      <c r="P285" s="1298">
        <v>0</v>
      </c>
      <c r="Q285" s="1298">
        <v>1367</v>
      </c>
      <c r="R285" s="1298">
        <v>1367</v>
      </c>
      <c r="S285" s="1298">
        <v>30</v>
      </c>
      <c r="T285" s="1298">
        <v>12.6</v>
      </c>
      <c r="U285" s="1298">
        <v>22</v>
      </c>
      <c r="V285" s="1298">
        <v>0</v>
      </c>
      <c r="W285" s="1298">
        <v>0</v>
      </c>
      <c r="X285" s="1298">
        <v>0</v>
      </c>
      <c r="Y285" s="1298">
        <v>0</v>
      </c>
      <c r="Z285" s="1298">
        <v>0</v>
      </c>
      <c r="AA285" s="1298">
        <v>0</v>
      </c>
      <c r="AB285" s="1298">
        <v>0</v>
      </c>
      <c r="AC285" s="1298">
        <v>0</v>
      </c>
      <c r="AD285" s="1298">
        <v>0</v>
      </c>
      <c r="AE285" s="1298">
        <v>0</v>
      </c>
      <c r="AF285" s="1298">
        <v>1431.6</v>
      </c>
    </row>
    <row r="286" spans="1:32" ht="15" customHeight="1">
      <c r="A286" s="1294">
        <v>34</v>
      </c>
      <c r="B286" s="1294">
        <v>34</v>
      </c>
      <c r="C286" s="1295" t="s">
        <v>1501</v>
      </c>
      <c r="D286" s="1296" t="s">
        <v>2013</v>
      </c>
      <c r="E286" s="1296" t="s">
        <v>716</v>
      </c>
      <c r="F286" s="1297">
        <v>698</v>
      </c>
      <c r="G286" s="1295" t="s">
        <v>189</v>
      </c>
      <c r="H286" s="1295" t="s">
        <v>1502</v>
      </c>
      <c r="I286" s="1296" t="s">
        <v>1503</v>
      </c>
      <c r="J286" s="1296"/>
      <c r="K286" s="1296" t="s">
        <v>1150</v>
      </c>
      <c r="L286" s="1296" t="s">
        <v>1504</v>
      </c>
      <c r="M286" s="1298">
        <v>1781.6</v>
      </c>
      <c r="N286" s="1298">
        <v>250</v>
      </c>
      <c r="O286" s="1298">
        <v>250</v>
      </c>
      <c r="P286" s="1298">
        <v>17.68</v>
      </c>
      <c r="Q286" s="1298">
        <v>1470</v>
      </c>
      <c r="R286" s="1298">
        <v>1470</v>
      </c>
      <c r="S286" s="1298">
        <v>25</v>
      </c>
      <c r="T286" s="1298">
        <v>12.6</v>
      </c>
      <c r="U286" s="1298">
        <v>20</v>
      </c>
      <c r="V286" s="1298">
        <v>20</v>
      </c>
      <c r="W286" s="1298">
        <v>0</v>
      </c>
      <c r="X286" s="1298">
        <v>0</v>
      </c>
      <c r="Y286" s="1298">
        <v>0</v>
      </c>
      <c r="Z286" s="1298">
        <v>0</v>
      </c>
      <c r="AA286" s="1298">
        <v>0</v>
      </c>
      <c r="AB286" s="1298">
        <v>0</v>
      </c>
      <c r="AC286" s="1298">
        <v>0</v>
      </c>
      <c r="AD286" s="1298">
        <v>0</v>
      </c>
      <c r="AE286" s="1298">
        <v>0</v>
      </c>
      <c r="AF286" s="1298">
        <v>1547.6</v>
      </c>
    </row>
    <row r="287" spans="1:32" ht="15" customHeight="1">
      <c r="A287" s="1294">
        <v>320</v>
      </c>
      <c r="B287" s="1294">
        <v>347</v>
      </c>
      <c r="C287" s="1295" t="s">
        <v>1505</v>
      </c>
      <c r="D287" s="1296" t="s">
        <v>795</v>
      </c>
      <c r="E287" s="1296" t="s">
        <v>716</v>
      </c>
      <c r="F287" s="1297">
        <v>731</v>
      </c>
      <c r="G287" s="1295" t="s">
        <v>189</v>
      </c>
      <c r="H287" s="1295" t="s">
        <v>1506</v>
      </c>
      <c r="I287" s="1296" t="s">
        <v>1179</v>
      </c>
      <c r="J287" s="1296"/>
      <c r="K287" s="1296" t="s">
        <v>1179</v>
      </c>
      <c r="L287" s="1296" t="s">
        <v>1107</v>
      </c>
      <c r="M287" s="1298">
        <v>1821.6</v>
      </c>
      <c r="N287" s="1298">
        <v>0</v>
      </c>
      <c r="O287" s="1298">
        <v>0</v>
      </c>
      <c r="P287" s="1298">
        <v>60.08</v>
      </c>
      <c r="Q287" s="1298">
        <v>1717</v>
      </c>
      <c r="R287" s="1298">
        <v>1717</v>
      </c>
      <c r="S287" s="1298">
        <v>25</v>
      </c>
      <c r="T287" s="1298">
        <v>12.6</v>
      </c>
      <c r="U287" s="1298">
        <v>21</v>
      </c>
      <c r="V287" s="1298">
        <v>20</v>
      </c>
      <c r="W287" s="1298">
        <v>0</v>
      </c>
      <c r="X287" s="1298">
        <v>0</v>
      </c>
      <c r="Y287" s="1298">
        <v>0</v>
      </c>
      <c r="Z287" s="1298">
        <v>0</v>
      </c>
      <c r="AA287" s="1298">
        <v>0</v>
      </c>
      <c r="AB287" s="1298">
        <v>0</v>
      </c>
      <c r="AC287" s="1298">
        <v>0</v>
      </c>
      <c r="AD287" s="1298">
        <v>0</v>
      </c>
      <c r="AE287" s="1298">
        <v>0</v>
      </c>
      <c r="AF287" s="1298">
        <v>1795.6</v>
      </c>
    </row>
    <row r="288" spans="1:32" ht="15" customHeight="1">
      <c r="A288" s="1294">
        <v>369</v>
      </c>
      <c r="B288" s="1294">
        <v>502</v>
      </c>
      <c r="C288" s="1295" t="s">
        <v>1507</v>
      </c>
      <c r="D288" s="1296" t="s">
        <v>799</v>
      </c>
      <c r="E288" s="1296" t="s">
        <v>716</v>
      </c>
      <c r="F288" s="1297">
        <v>1399</v>
      </c>
      <c r="G288" s="1295" t="s">
        <v>189</v>
      </c>
      <c r="H288" s="1295" t="s">
        <v>1897</v>
      </c>
      <c r="I288" s="1296" t="s">
        <v>1095</v>
      </c>
      <c r="J288" s="1296"/>
      <c r="K288" s="1296" t="s">
        <v>1095</v>
      </c>
      <c r="L288" s="1296" t="s">
        <v>1898</v>
      </c>
      <c r="M288" s="1298">
        <v>2703.6</v>
      </c>
      <c r="N288" s="1298">
        <v>250</v>
      </c>
      <c r="O288" s="1298">
        <v>250</v>
      </c>
      <c r="P288" s="1298">
        <v>80.27</v>
      </c>
      <c r="Q288" s="1298">
        <v>2474</v>
      </c>
      <c r="R288" s="1298">
        <v>2474</v>
      </c>
      <c r="S288" s="1298">
        <v>30</v>
      </c>
      <c r="T288" s="1298">
        <v>12.6</v>
      </c>
      <c r="U288" s="1298">
        <v>22</v>
      </c>
      <c r="V288" s="1298">
        <v>0</v>
      </c>
      <c r="W288" s="1298">
        <v>0</v>
      </c>
      <c r="X288" s="1298">
        <v>0</v>
      </c>
      <c r="Y288" s="1298">
        <v>0</v>
      </c>
      <c r="Z288" s="1298">
        <v>0</v>
      </c>
      <c r="AA288" s="1298">
        <v>0</v>
      </c>
      <c r="AB288" s="1298">
        <v>0</v>
      </c>
      <c r="AC288" s="1298">
        <v>0</v>
      </c>
      <c r="AD288" s="1298">
        <v>0</v>
      </c>
      <c r="AE288" s="1298">
        <v>0</v>
      </c>
      <c r="AF288" s="1298">
        <v>2538.6</v>
      </c>
    </row>
    <row r="289" spans="1:32" ht="15" customHeight="1">
      <c r="A289" s="1294">
        <v>121</v>
      </c>
      <c r="B289" s="1294">
        <v>128</v>
      </c>
      <c r="C289" s="1295" t="s">
        <v>1508</v>
      </c>
      <c r="D289" s="1296" t="s">
        <v>795</v>
      </c>
      <c r="E289" s="1296" t="s">
        <v>716</v>
      </c>
      <c r="F289" s="1297">
        <v>731</v>
      </c>
      <c r="G289" s="1295" t="s">
        <v>189</v>
      </c>
      <c r="H289" s="1295" t="s">
        <v>1509</v>
      </c>
      <c r="I289" s="1296" t="s">
        <v>1510</v>
      </c>
      <c r="J289" s="1296"/>
      <c r="K289" s="1296" t="s">
        <v>1511</v>
      </c>
      <c r="L289" s="1296" t="s">
        <v>1237</v>
      </c>
      <c r="M289" s="1298">
        <v>1821.6</v>
      </c>
      <c r="N289" s="1298">
        <v>0</v>
      </c>
      <c r="O289" s="1298">
        <v>0</v>
      </c>
      <c r="P289" s="1298">
        <v>17.97</v>
      </c>
      <c r="Q289" s="1298">
        <v>1687</v>
      </c>
      <c r="R289" s="1298">
        <v>1687</v>
      </c>
      <c r="S289" s="1298">
        <v>30</v>
      </c>
      <c r="T289" s="1298">
        <v>12.6</v>
      </c>
      <c r="U289" s="1298">
        <v>22</v>
      </c>
      <c r="V289" s="1298">
        <v>20</v>
      </c>
      <c r="W289" s="1298">
        <v>0</v>
      </c>
      <c r="X289" s="1298">
        <v>0</v>
      </c>
      <c r="Y289" s="1298">
        <v>0</v>
      </c>
      <c r="Z289" s="1298">
        <v>0</v>
      </c>
      <c r="AA289" s="1298">
        <v>350</v>
      </c>
      <c r="AB289" s="1298">
        <v>0</v>
      </c>
      <c r="AC289" s="1298">
        <v>0</v>
      </c>
      <c r="AD289" s="1298">
        <v>0</v>
      </c>
      <c r="AE289" s="1298">
        <v>0</v>
      </c>
      <c r="AF289" s="1298">
        <v>2121.6</v>
      </c>
    </row>
    <row r="290" spans="1:32" ht="15" customHeight="1">
      <c r="A290" s="1294">
        <v>95</v>
      </c>
      <c r="B290" s="1294">
        <v>478</v>
      </c>
      <c r="C290" s="1295" t="s">
        <v>1512</v>
      </c>
      <c r="D290" s="1296" t="s">
        <v>795</v>
      </c>
      <c r="E290" s="1296" t="s">
        <v>716</v>
      </c>
      <c r="F290" s="1297">
        <v>731</v>
      </c>
      <c r="G290" s="1295" t="s">
        <v>189</v>
      </c>
      <c r="H290" s="1295" t="s">
        <v>1513</v>
      </c>
      <c r="I290" s="1296" t="s">
        <v>1514</v>
      </c>
      <c r="J290" s="1296"/>
      <c r="K290" s="1296" t="s">
        <v>1893</v>
      </c>
      <c r="L290" s="1296" t="s">
        <v>1861</v>
      </c>
      <c r="M290" s="1298">
        <v>1821.6</v>
      </c>
      <c r="N290" s="1298">
        <v>0</v>
      </c>
      <c r="O290" s="1298">
        <v>0</v>
      </c>
      <c r="P290" s="1298">
        <v>51.12</v>
      </c>
      <c r="Q290" s="1298">
        <v>1690</v>
      </c>
      <c r="R290" s="1298">
        <v>1690</v>
      </c>
      <c r="S290" s="1298">
        <v>25</v>
      </c>
      <c r="T290" s="1298">
        <v>11.5</v>
      </c>
      <c r="U290" s="1298">
        <v>17</v>
      </c>
      <c r="V290" s="1298">
        <v>20</v>
      </c>
      <c r="W290" s="1298">
        <v>0</v>
      </c>
      <c r="X290" s="1298">
        <v>0</v>
      </c>
      <c r="Y290" s="1298">
        <v>0</v>
      </c>
      <c r="Z290" s="1298">
        <v>0</v>
      </c>
      <c r="AA290" s="1298">
        <v>0</v>
      </c>
      <c r="AB290" s="1298">
        <v>0</v>
      </c>
      <c r="AC290" s="1298">
        <v>0</v>
      </c>
      <c r="AD290" s="1298">
        <v>0</v>
      </c>
      <c r="AE290" s="1298">
        <v>0</v>
      </c>
      <c r="AF290" s="1298">
        <v>1763.5</v>
      </c>
    </row>
    <row r="291" spans="1:32" ht="15" customHeight="1">
      <c r="A291" s="1294">
        <v>310</v>
      </c>
      <c r="B291" s="1294">
        <v>654</v>
      </c>
      <c r="C291" s="1295" t="s">
        <v>1515</v>
      </c>
      <c r="D291" s="1296" t="s">
        <v>815</v>
      </c>
      <c r="E291" s="1296" t="s">
        <v>716</v>
      </c>
      <c r="F291" s="1297">
        <v>698</v>
      </c>
      <c r="G291" s="1295" t="s">
        <v>189</v>
      </c>
      <c r="H291" s="1295" t="s">
        <v>1516</v>
      </c>
      <c r="I291" s="1296" t="s">
        <v>1071</v>
      </c>
      <c r="J291" s="1296"/>
      <c r="K291" s="1296" t="s">
        <v>2269</v>
      </c>
      <c r="L291" s="1296" t="s">
        <v>2270</v>
      </c>
      <c r="M291" s="1298">
        <v>1781.6</v>
      </c>
      <c r="N291" s="1298">
        <v>0</v>
      </c>
      <c r="O291" s="1298">
        <v>0</v>
      </c>
      <c r="P291" s="1298">
        <v>101.08</v>
      </c>
      <c r="Q291" s="1298">
        <v>1647</v>
      </c>
      <c r="R291" s="1298">
        <v>1647</v>
      </c>
      <c r="S291" s="1298">
        <v>25</v>
      </c>
      <c r="T291" s="1298">
        <v>12.6</v>
      </c>
      <c r="U291" s="1298">
        <v>22</v>
      </c>
      <c r="V291" s="1298">
        <v>20</v>
      </c>
      <c r="W291" s="1298">
        <v>0</v>
      </c>
      <c r="X291" s="1298">
        <v>0</v>
      </c>
      <c r="Y291" s="1298">
        <v>0</v>
      </c>
      <c r="Z291" s="1298">
        <v>0</v>
      </c>
      <c r="AA291" s="1298">
        <v>0</v>
      </c>
      <c r="AB291" s="1298">
        <v>0</v>
      </c>
      <c r="AC291" s="1298">
        <v>0</v>
      </c>
      <c r="AD291" s="1298">
        <v>0</v>
      </c>
      <c r="AE291" s="1298">
        <v>0</v>
      </c>
      <c r="AF291" s="1298">
        <v>1726.6</v>
      </c>
    </row>
    <row r="292" spans="1:32" ht="15" customHeight="1">
      <c r="A292" s="1294">
        <v>204</v>
      </c>
      <c r="B292" s="1294">
        <v>220</v>
      </c>
      <c r="C292" s="1295" t="s">
        <v>1517</v>
      </c>
      <c r="D292" s="1296" t="s">
        <v>815</v>
      </c>
      <c r="E292" s="1296" t="s">
        <v>716</v>
      </c>
      <c r="F292" s="1297">
        <v>698</v>
      </c>
      <c r="G292" s="1295" t="s">
        <v>189</v>
      </c>
      <c r="H292" s="1295" t="s">
        <v>1518</v>
      </c>
      <c r="I292" s="1296" t="s">
        <v>1519</v>
      </c>
      <c r="J292" s="1296"/>
      <c r="K292" s="1296" t="s">
        <v>1520</v>
      </c>
      <c r="L292" s="1296" t="s">
        <v>1521</v>
      </c>
      <c r="M292" s="1298">
        <v>1781.6</v>
      </c>
      <c r="N292" s="1298">
        <v>0</v>
      </c>
      <c r="O292" s="1298">
        <v>0</v>
      </c>
      <c r="P292" s="1298">
        <v>31.76</v>
      </c>
      <c r="Q292" s="1298">
        <v>1580</v>
      </c>
      <c r="R292" s="1298">
        <v>1580</v>
      </c>
      <c r="S292" s="1298">
        <v>25</v>
      </c>
      <c r="T292" s="1298">
        <v>11.5</v>
      </c>
      <c r="U292" s="1298">
        <v>17</v>
      </c>
      <c r="V292" s="1298">
        <v>20</v>
      </c>
      <c r="W292" s="1298">
        <v>0</v>
      </c>
      <c r="X292" s="1298">
        <v>35</v>
      </c>
      <c r="Y292" s="1298">
        <v>0</v>
      </c>
      <c r="Z292" s="1298">
        <v>0</v>
      </c>
      <c r="AA292" s="1298">
        <v>0</v>
      </c>
      <c r="AB292" s="1298">
        <v>0</v>
      </c>
      <c r="AC292" s="1298">
        <v>0</v>
      </c>
      <c r="AD292" s="1298">
        <v>0</v>
      </c>
      <c r="AE292" s="1298">
        <v>0</v>
      </c>
      <c r="AF292" s="1298">
        <v>1688.5</v>
      </c>
    </row>
    <row r="293" spans="1:32" ht="15" customHeight="1">
      <c r="A293" s="1294">
        <v>216</v>
      </c>
      <c r="B293" s="1294">
        <v>666</v>
      </c>
      <c r="C293" s="1295" t="s">
        <v>1522</v>
      </c>
      <c r="D293" s="1296" t="s">
        <v>727</v>
      </c>
      <c r="E293" s="1296" t="s">
        <v>716</v>
      </c>
      <c r="F293" s="1297">
        <v>1000</v>
      </c>
      <c r="G293" s="1295" t="s">
        <v>189</v>
      </c>
      <c r="H293" s="1295" t="s">
        <v>1018</v>
      </c>
      <c r="I293" s="1296" t="s">
        <v>2249</v>
      </c>
      <c r="J293" s="1296"/>
      <c r="K293" s="1296" t="s">
        <v>2249</v>
      </c>
      <c r="L293" s="1296" t="s">
        <v>1019</v>
      </c>
      <c r="M293" s="1298">
        <v>2345.6</v>
      </c>
      <c r="N293" s="1298">
        <v>0</v>
      </c>
      <c r="O293" s="1298">
        <v>0</v>
      </c>
      <c r="P293" s="1298">
        <v>-2856.76</v>
      </c>
      <c r="Q293" s="1298">
        <v>2211</v>
      </c>
      <c r="R293" s="1298">
        <v>2211</v>
      </c>
      <c r="S293" s="1298">
        <v>30</v>
      </c>
      <c r="T293" s="1298">
        <v>12.6</v>
      </c>
      <c r="U293" s="1298">
        <v>22</v>
      </c>
      <c r="V293" s="1298">
        <v>20</v>
      </c>
      <c r="W293" s="1298">
        <v>0</v>
      </c>
      <c r="X293" s="1298">
        <v>0</v>
      </c>
      <c r="Y293" s="1298">
        <v>0</v>
      </c>
      <c r="Z293" s="1298">
        <v>0</v>
      </c>
      <c r="AA293" s="1298">
        <v>0</v>
      </c>
      <c r="AB293" s="1298">
        <v>0</v>
      </c>
      <c r="AC293" s="1298">
        <v>0</v>
      </c>
      <c r="AD293" s="1298">
        <v>0</v>
      </c>
      <c r="AE293" s="1298">
        <v>0</v>
      </c>
      <c r="AF293" s="1298">
        <v>2295.6</v>
      </c>
    </row>
    <row r="294" spans="1:32" ht="15" customHeight="1">
      <c r="A294" s="1294">
        <v>330</v>
      </c>
      <c r="B294" s="1294">
        <v>357</v>
      </c>
      <c r="C294" s="1295" t="s">
        <v>1523</v>
      </c>
      <c r="D294" s="1296" t="s">
        <v>815</v>
      </c>
      <c r="E294" s="1296" t="s">
        <v>716</v>
      </c>
      <c r="F294" s="1297">
        <v>698</v>
      </c>
      <c r="G294" s="1295" t="s">
        <v>189</v>
      </c>
      <c r="H294" s="1295" t="s">
        <v>1524</v>
      </c>
      <c r="I294" s="1296" t="s">
        <v>1218</v>
      </c>
      <c r="J294" s="1296"/>
      <c r="K294" s="1296" t="s">
        <v>1218</v>
      </c>
      <c r="L294" s="1296" t="s">
        <v>1525</v>
      </c>
      <c r="M294" s="1298">
        <v>1781.6</v>
      </c>
      <c r="N294" s="1298">
        <v>0</v>
      </c>
      <c r="O294" s="1298">
        <v>0</v>
      </c>
      <c r="P294" s="1298">
        <v>34.229999999999997</v>
      </c>
      <c r="Q294" s="1298">
        <v>1647</v>
      </c>
      <c r="R294" s="1298">
        <v>1647</v>
      </c>
      <c r="S294" s="1298">
        <v>25</v>
      </c>
      <c r="T294" s="1298">
        <v>12.6</v>
      </c>
      <c r="U294" s="1298">
        <v>0</v>
      </c>
      <c r="V294" s="1298">
        <v>0</v>
      </c>
      <c r="W294" s="1298">
        <v>0</v>
      </c>
      <c r="X294" s="1298">
        <v>0</v>
      </c>
      <c r="Y294" s="1298">
        <v>0</v>
      </c>
      <c r="Z294" s="1298">
        <v>0</v>
      </c>
      <c r="AA294" s="1298">
        <v>0</v>
      </c>
      <c r="AB294" s="1298">
        <v>0</v>
      </c>
      <c r="AC294" s="1298">
        <v>0</v>
      </c>
      <c r="AD294" s="1298">
        <v>0</v>
      </c>
      <c r="AE294" s="1298">
        <v>0</v>
      </c>
      <c r="AF294" s="1298">
        <v>1684.6</v>
      </c>
    </row>
    <row r="295" spans="1:32" ht="15" customHeight="1">
      <c r="A295" s="1294">
        <v>288</v>
      </c>
      <c r="B295" s="1294">
        <v>603</v>
      </c>
      <c r="C295" s="1295" t="s">
        <v>1526</v>
      </c>
      <c r="D295" s="1296" t="s">
        <v>830</v>
      </c>
      <c r="E295" s="1296" t="s">
        <v>716</v>
      </c>
      <c r="F295" s="1297">
        <v>934</v>
      </c>
      <c r="G295" s="1295" t="s">
        <v>189</v>
      </c>
      <c r="H295" s="1295" t="s">
        <v>1527</v>
      </c>
      <c r="I295" s="1296" t="s">
        <v>1528</v>
      </c>
      <c r="J295" s="1296"/>
      <c r="K295" s="1296" t="s">
        <v>2106</v>
      </c>
      <c r="L295" s="1296" t="s">
        <v>2022</v>
      </c>
      <c r="M295" s="1298">
        <v>2040.6</v>
      </c>
      <c r="N295" s="1298">
        <v>0</v>
      </c>
      <c r="O295" s="1298">
        <v>0</v>
      </c>
      <c r="P295" s="1298">
        <v>73.36</v>
      </c>
      <c r="Q295" s="1298">
        <v>1956</v>
      </c>
      <c r="R295" s="1298">
        <v>1956</v>
      </c>
      <c r="S295" s="1298">
        <v>30</v>
      </c>
      <c r="T295" s="1298">
        <v>12.6</v>
      </c>
      <c r="U295" s="1298">
        <v>22</v>
      </c>
      <c r="V295" s="1298">
        <v>20</v>
      </c>
      <c r="W295" s="1298">
        <v>0</v>
      </c>
      <c r="X295" s="1298">
        <v>0</v>
      </c>
      <c r="Y295" s="1298">
        <v>0</v>
      </c>
      <c r="Z295" s="1298">
        <v>0</v>
      </c>
      <c r="AA295" s="1298">
        <v>0</v>
      </c>
      <c r="AB295" s="1298">
        <v>0</v>
      </c>
      <c r="AC295" s="1298">
        <v>0</v>
      </c>
      <c r="AD295" s="1298">
        <v>0</v>
      </c>
      <c r="AE295" s="1298">
        <v>0</v>
      </c>
      <c r="AF295" s="1298">
        <v>2040.6</v>
      </c>
    </row>
    <row r="296" spans="1:32" ht="15" customHeight="1">
      <c r="A296" s="1294">
        <v>296</v>
      </c>
      <c r="B296" s="1294">
        <v>323</v>
      </c>
      <c r="C296" s="1295" t="s">
        <v>1529</v>
      </c>
      <c r="D296" s="1296" t="s">
        <v>772</v>
      </c>
      <c r="E296" s="1296" t="s">
        <v>716</v>
      </c>
      <c r="F296" s="1297">
        <v>937</v>
      </c>
      <c r="G296" s="1295" t="s">
        <v>769</v>
      </c>
      <c r="H296" s="1295" t="s">
        <v>1530</v>
      </c>
      <c r="I296" s="1296" t="s">
        <v>1531</v>
      </c>
      <c r="J296" s="1296" t="s">
        <v>1532</v>
      </c>
      <c r="K296" s="1296" t="s">
        <v>1531</v>
      </c>
      <c r="L296" s="1296" t="s">
        <v>1532</v>
      </c>
      <c r="M296" s="1298">
        <v>2275.6</v>
      </c>
      <c r="N296" s="1298">
        <v>0</v>
      </c>
      <c r="O296" s="1298">
        <v>0</v>
      </c>
      <c r="P296" s="1298">
        <v>45.57</v>
      </c>
      <c r="Q296" s="1298">
        <v>1966</v>
      </c>
      <c r="R296" s="1298">
        <v>1966</v>
      </c>
      <c r="S296" s="1298">
        <v>25</v>
      </c>
      <c r="T296" s="1298">
        <v>12.6</v>
      </c>
      <c r="U296" s="1298">
        <v>21</v>
      </c>
      <c r="V296" s="1298">
        <v>20</v>
      </c>
      <c r="W296" s="1298">
        <v>0</v>
      </c>
      <c r="X296" s="1298">
        <v>0</v>
      </c>
      <c r="Y296" s="1298">
        <v>0</v>
      </c>
      <c r="Z296" s="1298">
        <v>0</v>
      </c>
      <c r="AA296" s="1298">
        <v>0</v>
      </c>
      <c r="AB296" s="1298">
        <v>0</v>
      </c>
      <c r="AC296" s="1298">
        <v>0</v>
      </c>
      <c r="AD296" s="1298">
        <v>0</v>
      </c>
      <c r="AE296" s="1298">
        <v>0</v>
      </c>
      <c r="AF296" s="1298">
        <v>2044.6</v>
      </c>
    </row>
    <row r="297" spans="1:32" ht="15" customHeight="1">
      <c r="A297" s="1294">
        <v>308</v>
      </c>
      <c r="B297" s="1294">
        <v>641</v>
      </c>
      <c r="C297" s="1295" t="s">
        <v>1533</v>
      </c>
      <c r="D297" s="1296" t="s">
        <v>840</v>
      </c>
      <c r="E297" s="1296" t="s">
        <v>716</v>
      </c>
      <c r="F297" s="1297">
        <v>1235</v>
      </c>
      <c r="G297" s="1295" t="s">
        <v>189</v>
      </c>
      <c r="H297" s="1295" t="s">
        <v>1534</v>
      </c>
      <c r="I297" s="1296" t="s">
        <v>1204</v>
      </c>
      <c r="J297" s="1296"/>
      <c r="K297" s="1296" t="s">
        <v>856</v>
      </c>
      <c r="L297" s="1296" t="s">
        <v>2246</v>
      </c>
      <c r="M297" s="1298">
        <v>2543.6</v>
      </c>
      <c r="N297" s="1298">
        <v>0</v>
      </c>
      <c r="O297" s="1298">
        <v>0</v>
      </c>
      <c r="P297" s="1298">
        <v>-22.88</v>
      </c>
      <c r="Q297" s="1298">
        <v>2409</v>
      </c>
      <c r="R297" s="1298">
        <v>2409</v>
      </c>
      <c r="S297" s="1298">
        <v>25</v>
      </c>
      <c r="T297" s="1298">
        <v>12.6</v>
      </c>
      <c r="U297" s="1298">
        <v>21</v>
      </c>
      <c r="V297" s="1298">
        <v>20</v>
      </c>
      <c r="W297" s="1298">
        <v>0</v>
      </c>
      <c r="X297" s="1298">
        <v>0</v>
      </c>
      <c r="Y297" s="1298">
        <v>50</v>
      </c>
      <c r="Z297" s="1298">
        <v>0</v>
      </c>
      <c r="AA297" s="1298">
        <v>0</v>
      </c>
      <c r="AB297" s="1298">
        <v>0</v>
      </c>
      <c r="AC297" s="1298">
        <v>0</v>
      </c>
      <c r="AD297" s="1298">
        <v>0</v>
      </c>
      <c r="AE297" s="1298">
        <v>0</v>
      </c>
      <c r="AF297" s="1298">
        <v>2537.6</v>
      </c>
    </row>
    <row r="298" spans="1:32" ht="15" customHeight="1">
      <c r="A298" s="1294">
        <v>379</v>
      </c>
      <c r="B298" s="1294">
        <v>529</v>
      </c>
      <c r="C298" s="1295" t="s">
        <v>1535</v>
      </c>
      <c r="D298" s="1296" t="s">
        <v>840</v>
      </c>
      <c r="E298" s="1296" t="s">
        <v>716</v>
      </c>
      <c r="F298" s="1297">
        <v>1235</v>
      </c>
      <c r="G298" s="1295" t="s">
        <v>189</v>
      </c>
      <c r="H298" s="1295" t="s">
        <v>2107</v>
      </c>
      <c r="I298" s="1296" t="s">
        <v>2041</v>
      </c>
      <c r="J298" s="1296"/>
      <c r="K298" s="1296" t="s">
        <v>2041</v>
      </c>
      <c r="L298" s="1296" t="s">
        <v>2108</v>
      </c>
      <c r="M298" s="1298">
        <v>2768.6</v>
      </c>
      <c r="N298" s="1298">
        <v>250</v>
      </c>
      <c r="O298" s="1298">
        <v>250</v>
      </c>
      <c r="P298" s="1298">
        <v>69.040000000000006</v>
      </c>
      <c r="Q298" s="1298">
        <v>2634</v>
      </c>
      <c r="R298" s="1298">
        <v>2634</v>
      </c>
      <c r="S298" s="1298">
        <v>30</v>
      </c>
      <c r="T298" s="1298">
        <v>12.6</v>
      </c>
      <c r="U298" s="1298">
        <v>22</v>
      </c>
      <c r="V298" s="1298">
        <v>0</v>
      </c>
      <c r="W298" s="1298">
        <v>0</v>
      </c>
      <c r="X298" s="1298">
        <v>0</v>
      </c>
      <c r="Y298" s="1298">
        <v>0</v>
      </c>
      <c r="Z298" s="1298">
        <v>0</v>
      </c>
      <c r="AA298" s="1298">
        <v>0</v>
      </c>
      <c r="AB298" s="1298">
        <v>0</v>
      </c>
      <c r="AC298" s="1298">
        <v>0</v>
      </c>
      <c r="AD298" s="1298">
        <v>0</v>
      </c>
      <c r="AE298" s="1298">
        <v>0</v>
      </c>
      <c r="AF298" s="1298">
        <v>2698.6</v>
      </c>
    </row>
    <row r="299" spans="1:32" ht="15" customHeight="1">
      <c r="A299" s="1294">
        <v>295</v>
      </c>
      <c r="B299" s="1294">
        <v>653</v>
      </c>
      <c r="C299" s="1295" t="s">
        <v>1536</v>
      </c>
      <c r="D299" s="1296" t="s">
        <v>772</v>
      </c>
      <c r="E299" s="1296" t="s">
        <v>716</v>
      </c>
      <c r="F299" s="1297">
        <v>937</v>
      </c>
      <c r="G299" s="1295" t="s">
        <v>769</v>
      </c>
      <c r="H299" s="1295" t="s">
        <v>1537</v>
      </c>
      <c r="I299" s="1296" t="s">
        <v>1083</v>
      </c>
      <c r="J299" s="1296" t="s">
        <v>2271</v>
      </c>
      <c r="K299" s="1296" t="s">
        <v>2023</v>
      </c>
      <c r="L299" s="1296" t="s">
        <v>2040</v>
      </c>
      <c r="M299" s="1298">
        <v>2275.6</v>
      </c>
      <c r="N299" s="1298">
        <v>0</v>
      </c>
      <c r="O299" s="1298">
        <v>0</v>
      </c>
      <c r="P299" s="1298">
        <v>25.67</v>
      </c>
      <c r="Q299" s="1298">
        <v>1995</v>
      </c>
      <c r="R299" s="1298">
        <v>1995</v>
      </c>
      <c r="S299" s="1298">
        <v>30</v>
      </c>
      <c r="T299" s="1298">
        <v>12.6</v>
      </c>
      <c r="U299" s="1298">
        <v>22</v>
      </c>
      <c r="V299" s="1298">
        <v>20</v>
      </c>
      <c r="W299" s="1298">
        <v>0</v>
      </c>
      <c r="X299" s="1298">
        <v>0</v>
      </c>
      <c r="Y299" s="1298">
        <v>0</v>
      </c>
      <c r="Z299" s="1298">
        <v>0</v>
      </c>
      <c r="AA299" s="1298">
        <v>0</v>
      </c>
      <c r="AB299" s="1298">
        <v>0</v>
      </c>
      <c r="AC299" s="1298">
        <v>0</v>
      </c>
      <c r="AD299" s="1298">
        <v>0</v>
      </c>
      <c r="AE299" s="1298">
        <v>0</v>
      </c>
      <c r="AF299" s="1298">
        <v>2079.6</v>
      </c>
    </row>
    <row r="300" spans="1:32" ht="15" customHeight="1">
      <c r="A300" s="1294">
        <v>272</v>
      </c>
      <c r="B300" s="1294">
        <v>481</v>
      </c>
      <c r="C300" s="1295" t="s">
        <v>1538</v>
      </c>
      <c r="D300" s="1296" t="s">
        <v>2062</v>
      </c>
      <c r="E300" s="1296" t="s">
        <v>716</v>
      </c>
      <c r="F300" s="1297">
        <v>784</v>
      </c>
      <c r="G300" s="1295" t="s">
        <v>189</v>
      </c>
      <c r="H300" s="1295" t="s">
        <v>1539</v>
      </c>
      <c r="I300" s="1296" t="s">
        <v>1540</v>
      </c>
      <c r="J300" s="1296"/>
      <c r="K300" s="1296" t="s">
        <v>1899</v>
      </c>
      <c r="L300" s="1296" t="s">
        <v>1900</v>
      </c>
      <c r="M300" s="1298">
        <v>1911.6</v>
      </c>
      <c r="N300" s="1298">
        <v>0</v>
      </c>
      <c r="O300" s="1298">
        <v>0</v>
      </c>
      <c r="P300" s="1298">
        <v>51.52</v>
      </c>
      <c r="Q300" s="1298">
        <v>1752</v>
      </c>
      <c r="R300" s="1298">
        <v>1752</v>
      </c>
      <c r="S300" s="1298">
        <v>30</v>
      </c>
      <c r="T300" s="1298">
        <v>12.6</v>
      </c>
      <c r="U300" s="1298">
        <v>22</v>
      </c>
      <c r="V300" s="1298">
        <v>20</v>
      </c>
      <c r="W300" s="1298">
        <v>0</v>
      </c>
      <c r="X300" s="1298">
        <v>0</v>
      </c>
      <c r="Y300" s="1298">
        <v>0</v>
      </c>
      <c r="Z300" s="1298">
        <v>0</v>
      </c>
      <c r="AA300" s="1298">
        <v>0</v>
      </c>
      <c r="AB300" s="1298">
        <v>0</v>
      </c>
      <c r="AC300" s="1298">
        <v>0</v>
      </c>
      <c r="AD300" s="1298">
        <v>0</v>
      </c>
      <c r="AE300" s="1298">
        <v>0</v>
      </c>
      <c r="AF300" s="1298">
        <v>1836.6</v>
      </c>
    </row>
    <row r="301" spans="1:32" ht="15" customHeight="1">
      <c r="A301" s="1294">
        <v>91</v>
      </c>
      <c r="B301" s="1294">
        <v>676</v>
      </c>
      <c r="C301" s="1295" t="s">
        <v>1541</v>
      </c>
      <c r="D301" s="1296" t="s">
        <v>1194</v>
      </c>
      <c r="E301" s="1296" t="s">
        <v>716</v>
      </c>
      <c r="F301" s="1297">
        <v>684</v>
      </c>
      <c r="G301" s="1295" t="s">
        <v>189</v>
      </c>
      <c r="H301" s="1295" t="s">
        <v>1030</v>
      </c>
      <c r="I301" s="1296" t="s">
        <v>2272</v>
      </c>
      <c r="J301" s="1296"/>
      <c r="K301" s="1296" t="s">
        <v>2272</v>
      </c>
      <c r="L301" s="1296" t="s">
        <v>2273</v>
      </c>
      <c r="M301" s="1298">
        <v>1981.6</v>
      </c>
      <c r="N301" s="1298">
        <v>0</v>
      </c>
      <c r="O301" s="1298">
        <v>0</v>
      </c>
      <c r="P301" s="1298">
        <v>-3374.05</v>
      </c>
      <c r="Q301" s="1298">
        <v>1847</v>
      </c>
      <c r="R301" s="1298">
        <v>1847</v>
      </c>
      <c r="S301" s="1298">
        <v>30</v>
      </c>
      <c r="T301" s="1298">
        <v>12.6</v>
      </c>
      <c r="U301" s="1298">
        <v>22</v>
      </c>
      <c r="V301" s="1298">
        <v>20</v>
      </c>
      <c r="W301" s="1298">
        <v>30</v>
      </c>
      <c r="X301" s="1298">
        <v>0</v>
      </c>
      <c r="Y301" s="1298">
        <v>50</v>
      </c>
      <c r="Z301" s="1298">
        <v>0</v>
      </c>
      <c r="AA301" s="1298">
        <v>0</v>
      </c>
      <c r="AB301" s="1298">
        <v>-3884</v>
      </c>
      <c r="AC301" s="1298">
        <v>0</v>
      </c>
      <c r="AD301" s="1298">
        <v>0</v>
      </c>
      <c r="AE301" s="1298">
        <v>0</v>
      </c>
      <c r="AF301" s="1298">
        <v>-1872.4</v>
      </c>
    </row>
    <row r="302" spans="1:32" ht="15" customHeight="1">
      <c r="A302" s="1294">
        <v>51</v>
      </c>
      <c r="B302" s="1294">
        <v>615</v>
      </c>
      <c r="C302" s="1295" t="s">
        <v>1542</v>
      </c>
      <c r="D302" s="1296" t="s">
        <v>2063</v>
      </c>
      <c r="E302" s="1296" t="s">
        <v>716</v>
      </c>
      <c r="F302" s="1297">
        <v>833</v>
      </c>
      <c r="G302" s="1295" t="s">
        <v>189</v>
      </c>
      <c r="H302" s="1295" t="s">
        <v>1543</v>
      </c>
      <c r="I302" s="1296" t="s">
        <v>1544</v>
      </c>
      <c r="J302" s="1296"/>
      <c r="K302" s="1296" t="s">
        <v>2274</v>
      </c>
      <c r="L302" s="1296" t="s">
        <v>948</v>
      </c>
      <c r="M302" s="1298">
        <v>1990.6</v>
      </c>
      <c r="N302" s="1298">
        <v>0</v>
      </c>
      <c r="O302" s="1298">
        <v>0</v>
      </c>
      <c r="P302" s="1298">
        <v>-2140.6</v>
      </c>
      <c r="Q302" s="1298">
        <v>2056</v>
      </c>
      <c r="R302" s="1298">
        <v>2056</v>
      </c>
      <c r="S302" s="1298">
        <v>30</v>
      </c>
      <c r="T302" s="1298">
        <v>12.6</v>
      </c>
      <c r="U302" s="1298">
        <v>22</v>
      </c>
      <c r="V302" s="1298">
        <v>20</v>
      </c>
      <c r="W302" s="1298">
        <v>0</v>
      </c>
      <c r="X302" s="1298">
        <v>0</v>
      </c>
      <c r="Y302" s="1298">
        <v>0</v>
      </c>
      <c r="Z302" s="1298">
        <v>0</v>
      </c>
      <c r="AA302" s="1298">
        <v>0</v>
      </c>
      <c r="AB302" s="1298">
        <v>0</v>
      </c>
      <c r="AC302" s="1298">
        <v>0</v>
      </c>
      <c r="AD302" s="1298">
        <v>0</v>
      </c>
      <c r="AE302" s="1298">
        <v>0</v>
      </c>
      <c r="AF302" s="1298">
        <v>2140.6</v>
      </c>
    </row>
    <row r="303" spans="1:32" ht="15" customHeight="1">
      <c r="A303" s="1294">
        <v>81</v>
      </c>
      <c r="B303" s="1294">
        <v>84</v>
      </c>
      <c r="C303" s="1295" t="s">
        <v>1546</v>
      </c>
      <c r="D303" s="1296" t="s">
        <v>1998</v>
      </c>
      <c r="E303" s="1296" t="s">
        <v>716</v>
      </c>
      <c r="F303" s="1297">
        <v>892</v>
      </c>
      <c r="G303" s="1295" t="s">
        <v>189</v>
      </c>
      <c r="H303" s="1295" t="s">
        <v>1547</v>
      </c>
      <c r="I303" s="1296" t="s">
        <v>1548</v>
      </c>
      <c r="J303" s="1296"/>
      <c r="K303" s="1296" t="s">
        <v>1549</v>
      </c>
      <c r="L303" s="1296" t="s">
        <v>1550</v>
      </c>
      <c r="M303" s="1298">
        <v>2025.6</v>
      </c>
      <c r="N303" s="1298">
        <v>0</v>
      </c>
      <c r="O303" s="1298">
        <v>0</v>
      </c>
      <c r="P303" s="1298">
        <v>0</v>
      </c>
      <c r="Q303" s="1298">
        <v>1890</v>
      </c>
      <c r="R303" s="1298">
        <v>1890</v>
      </c>
      <c r="S303" s="1298">
        <v>25</v>
      </c>
      <c r="T303" s="1298">
        <v>12.6</v>
      </c>
      <c r="U303" s="1298">
        <v>20</v>
      </c>
      <c r="V303" s="1298">
        <v>20</v>
      </c>
      <c r="W303" s="1298">
        <v>25</v>
      </c>
      <c r="X303" s="1298">
        <v>0</v>
      </c>
      <c r="Y303" s="1298">
        <v>0</v>
      </c>
      <c r="Z303" s="1298">
        <v>0</v>
      </c>
      <c r="AA303" s="1298">
        <v>0</v>
      </c>
      <c r="AB303" s="1298">
        <v>0</v>
      </c>
      <c r="AC303" s="1298">
        <v>0</v>
      </c>
      <c r="AD303" s="1298">
        <v>0</v>
      </c>
      <c r="AE303" s="1298">
        <v>0</v>
      </c>
      <c r="AF303" s="1298">
        <v>1992.6</v>
      </c>
    </row>
    <row r="304" spans="1:32" ht="15" customHeight="1">
      <c r="A304" s="1294">
        <v>184</v>
      </c>
      <c r="B304" s="1294">
        <v>198</v>
      </c>
      <c r="C304" s="1295" t="s">
        <v>1551</v>
      </c>
      <c r="D304" s="1296" t="s">
        <v>1999</v>
      </c>
      <c r="E304" s="1296" t="s">
        <v>716</v>
      </c>
      <c r="F304" s="1297">
        <v>1036</v>
      </c>
      <c r="G304" s="1295" t="s">
        <v>189</v>
      </c>
      <c r="H304" s="1295" t="s">
        <v>1552</v>
      </c>
      <c r="I304" s="1296" t="s">
        <v>1553</v>
      </c>
      <c r="J304" s="1296"/>
      <c r="K304" s="1296" t="s">
        <v>1554</v>
      </c>
      <c r="L304" s="1296" t="s">
        <v>1555</v>
      </c>
      <c r="M304" s="1298">
        <v>2145.6</v>
      </c>
      <c r="N304" s="1298">
        <v>0</v>
      </c>
      <c r="O304" s="1298">
        <v>0</v>
      </c>
      <c r="P304" s="1298">
        <v>99.66</v>
      </c>
      <c r="Q304" s="1298">
        <v>1846</v>
      </c>
      <c r="R304" s="1298">
        <v>1846</v>
      </c>
      <c r="S304" s="1298">
        <v>25</v>
      </c>
      <c r="T304" s="1298">
        <v>11.5</v>
      </c>
      <c r="U304" s="1298">
        <v>20</v>
      </c>
      <c r="V304" s="1298">
        <v>20</v>
      </c>
      <c r="W304" s="1298">
        <v>0</v>
      </c>
      <c r="X304" s="1298">
        <v>0</v>
      </c>
      <c r="Y304" s="1298">
        <v>0</v>
      </c>
      <c r="Z304" s="1298">
        <v>0</v>
      </c>
      <c r="AA304" s="1298">
        <v>0</v>
      </c>
      <c r="AB304" s="1298">
        <v>0</v>
      </c>
      <c r="AC304" s="1298">
        <v>0</v>
      </c>
      <c r="AD304" s="1298">
        <v>0</v>
      </c>
      <c r="AE304" s="1298">
        <v>0</v>
      </c>
      <c r="AF304" s="1298">
        <v>1922.5</v>
      </c>
    </row>
    <row r="305" spans="1:32" ht="15" customHeight="1">
      <c r="A305" s="1294">
        <v>254</v>
      </c>
      <c r="B305" s="1294">
        <v>490</v>
      </c>
      <c r="C305" s="1295" t="s">
        <v>1556</v>
      </c>
      <c r="D305" s="1296" t="s">
        <v>723</v>
      </c>
      <c r="E305" s="1296" t="s">
        <v>716</v>
      </c>
      <c r="F305" s="1297">
        <v>1156</v>
      </c>
      <c r="G305" s="1295" t="s">
        <v>189</v>
      </c>
      <c r="H305" s="1295" t="s">
        <v>1573</v>
      </c>
      <c r="I305" s="1296" t="s">
        <v>1840</v>
      </c>
      <c r="J305" s="1296"/>
      <c r="K305" s="1296" t="s">
        <v>1840</v>
      </c>
      <c r="L305" s="1296" t="s">
        <v>1841</v>
      </c>
      <c r="M305" s="1298">
        <v>2533.6</v>
      </c>
      <c r="N305" s="1298">
        <v>250</v>
      </c>
      <c r="O305" s="1298">
        <v>250</v>
      </c>
      <c r="P305" s="1298">
        <v>71.78</v>
      </c>
      <c r="Q305" s="1298">
        <v>2249</v>
      </c>
      <c r="R305" s="1298">
        <v>2249</v>
      </c>
      <c r="S305" s="1298">
        <v>30</v>
      </c>
      <c r="T305" s="1298">
        <v>12.6</v>
      </c>
      <c r="U305" s="1298">
        <v>22</v>
      </c>
      <c r="V305" s="1298">
        <v>20</v>
      </c>
      <c r="W305" s="1298">
        <v>0</v>
      </c>
      <c r="X305" s="1298">
        <v>0</v>
      </c>
      <c r="Y305" s="1298">
        <v>0</v>
      </c>
      <c r="Z305" s="1298">
        <v>11.5</v>
      </c>
      <c r="AA305" s="1298">
        <v>0</v>
      </c>
      <c r="AB305" s="1298">
        <v>0</v>
      </c>
      <c r="AC305" s="1298">
        <v>0</v>
      </c>
      <c r="AD305" s="1298">
        <v>0</v>
      </c>
      <c r="AE305" s="1298">
        <v>0</v>
      </c>
      <c r="AF305" s="1298">
        <v>2345.1</v>
      </c>
    </row>
    <row r="306" spans="1:32" ht="15" customHeight="1">
      <c r="A306" s="1294">
        <v>213</v>
      </c>
      <c r="B306" s="1294">
        <v>233</v>
      </c>
      <c r="C306" s="1295" t="s">
        <v>1557</v>
      </c>
      <c r="D306" s="1296" t="s">
        <v>727</v>
      </c>
      <c r="E306" s="1296" t="s">
        <v>716</v>
      </c>
      <c r="F306" s="1297">
        <v>1000</v>
      </c>
      <c r="G306" s="1295" t="s">
        <v>189</v>
      </c>
      <c r="H306" s="1295" t="s">
        <v>1558</v>
      </c>
      <c r="I306" s="1296" t="s">
        <v>1559</v>
      </c>
      <c r="J306" s="1296"/>
      <c r="K306" s="1296" t="s">
        <v>1559</v>
      </c>
      <c r="L306" s="1296" t="s">
        <v>1560</v>
      </c>
      <c r="M306" s="1298">
        <v>2130.6</v>
      </c>
      <c r="N306" s="1298">
        <v>250</v>
      </c>
      <c r="O306" s="1298">
        <v>250</v>
      </c>
      <c r="P306" s="1298">
        <v>65.36</v>
      </c>
      <c r="Q306" s="1298">
        <v>1996</v>
      </c>
      <c r="R306" s="1298">
        <v>1996</v>
      </c>
      <c r="S306" s="1298">
        <v>25</v>
      </c>
      <c r="T306" s="1298">
        <v>12.6</v>
      </c>
      <c r="U306" s="1298">
        <v>0</v>
      </c>
      <c r="V306" s="1298">
        <v>20</v>
      </c>
      <c r="W306" s="1298">
        <v>0</v>
      </c>
      <c r="X306" s="1298">
        <v>35</v>
      </c>
      <c r="Y306" s="1298">
        <v>0</v>
      </c>
      <c r="Z306" s="1298">
        <v>0</v>
      </c>
      <c r="AA306" s="1298">
        <v>0</v>
      </c>
      <c r="AB306" s="1298">
        <v>0</v>
      </c>
      <c r="AC306" s="1298">
        <v>0</v>
      </c>
      <c r="AD306" s="1298">
        <v>0</v>
      </c>
      <c r="AE306" s="1298">
        <v>0</v>
      </c>
      <c r="AF306" s="1298">
        <v>2088.6</v>
      </c>
    </row>
    <row r="307" spans="1:32" ht="15" customHeight="1">
      <c r="A307" s="1294">
        <v>226</v>
      </c>
      <c r="B307" s="1294">
        <v>249</v>
      </c>
      <c r="C307" s="1295" t="s">
        <v>1561</v>
      </c>
      <c r="D307" s="1296" t="s">
        <v>2024</v>
      </c>
      <c r="E307" s="1296" t="s">
        <v>716</v>
      </c>
      <c r="F307" s="1297">
        <v>1211</v>
      </c>
      <c r="G307" s="1295" t="s">
        <v>189</v>
      </c>
      <c r="H307" s="1295" t="s">
        <v>1562</v>
      </c>
      <c r="I307" s="1296" t="s">
        <v>1563</v>
      </c>
      <c r="J307" s="1296"/>
      <c r="K307" s="1296" t="s">
        <v>1564</v>
      </c>
      <c r="L307" s="1296" t="s">
        <v>1565</v>
      </c>
      <c r="M307" s="1298">
        <v>2363.6</v>
      </c>
      <c r="N307" s="1298">
        <v>0</v>
      </c>
      <c r="O307" s="1298">
        <v>0</v>
      </c>
      <c r="P307" s="1298">
        <v>100.18</v>
      </c>
      <c r="Q307" s="1298">
        <v>2310</v>
      </c>
      <c r="R307" s="1298">
        <v>2310</v>
      </c>
      <c r="S307" s="1298">
        <v>25</v>
      </c>
      <c r="T307" s="1298">
        <v>12.6</v>
      </c>
      <c r="U307" s="1298">
        <v>17</v>
      </c>
      <c r="V307" s="1298">
        <v>20</v>
      </c>
      <c r="W307" s="1298">
        <v>0</v>
      </c>
      <c r="X307" s="1298">
        <v>0</v>
      </c>
      <c r="Y307" s="1298">
        <v>0</v>
      </c>
      <c r="Z307" s="1298">
        <v>11.5</v>
      </c>
      <c r="AA307" s="1298">
        <v>0</v>
      </c>
      <c r="AB307" s="1298">
        <v>0</v>
      </c>
      <c r="AC307" s="1298">
        <v>0</v>
      </c>
      <c r="AD307" s="1298">
        <v>0</v>
      </c>
      <c r="AE307" s="1298">
        <v>0</v>
      </c>
      <c r="AF307" s="1298">
        <v>2396.1</v>
      </c>
    </row>
    <row r="308" spans="1:32" ht="15" customHeight="1">
      <c r="A308" s="1294">
        <v>38</v>
      </c>
      <c r="B308" s="1294">
        <v>39</v>
      </c>
      <c r="C308" s="1295" t="s">
        <v>1566</v>
      </c>
      <c r="D308" s="1296" t="s">
        <v>744</v>
      </c>
      <c r="E308" s="1296" t="s">
        <v>716</v>
      </c>
      <c r="F308" s="1297">
        <v>908</v>
      </c>
      <c r="G308" s="1295" t="s">
        <v>189</v>
      </c>
      <c r="H308" s="1295" t="s">
        <v>1567</v>
      </c>
      <c r="I308" s="1296" t="s">
        <v>1568</v>
      </c>
      <c r="J308" s="1296"/>
      <c r="K308" s="1296" t="s">
        <v>862</v>
      </c>
      <c r="L308" s="1296" t="s">
        <v>1569</v>
      </c>
      <c r="M308" s="1298">
        <v>2091.6</v>
      </c>
      <c r="N308" s="1298">
        <v>250</v>
      </c>
      <c r="O308" s="1298">
        <v>250</v>
      </c>
      <c r="P308" s="1298">
        <v>50.2</v>
      </c>
      <c r="Q308" s="1298">
        <v>1876</v>
      </c>
      <c r="R308" s="1298">
        <v>1876</v>
      </c>
      <c r="S308" s="1298">
        <v>25</v>
      </c>
      <c r="T308" s="1298">
        <v>12.6</v>
      </c>
      <c r="U308" s="1298">
        <v>20</v>
      </c>
      <c r="V308" s="1298">
        <v>20</v>
      </c>
      <c r="W308" s="1298">
        <v>0</v>
      </c>
      <c r="X308" s="1298">
        <v>50</v>
      </c>
      <c r="Y308" s="1298">
        <v>0</v>
      </c>
      <c r="Z308" s="1298">
        <v>0</v>
      </c>
      <c r="AA308" s="1298">
        <v>0</v>
      </c>
      <c r="AB308" s="1298">
        <v>0</v>
      </c>
      <c r="AC308" s="1298">
        <v>0</v>
      </c>
      <c r="AD308" s="1298">
        <v>0</v>
      </c>
      <c r="AE308" s="1298">
        <v>0</v>
      </c>
      <c r="AF308" s="1298">
        <v>2003.6</v>
      </c>
    </row>
    <row r="309" spans="1:32" ht="15" customHeight="1">
      <c r="A309" s="1294">
        <v>263</v>
      </c>
      <c r="B309" s="1294">
        <v>576</v>
      </c>
      <c r="C309" s="1295" t="s">
        <v>1570</v>
      </c>
      <c r="D309" s="1296" t="s">
        <v>723</v>
      </c>
      <c r="E309" s="1296" t="s">
        <v>716</v>
      </c>
      <c r="F309" s="1297">
        <v>1156</v>
      </c>
      <c r="G309" s="1295" t="s">
        <v>189</v>
      </c>
      <c r="H309" s="1295" t="s">
        <v>1571</v>
      </c>
      <c r="I309" s="1296" t="s">
        <v>1230</v>
      </c>
      <c r="J309" s="1296"/>
      <c r="K309" s="1296" t="s">
        <v>2014</v>
      </c>
      <c r="L309" s="1296" t="s">
        <v>2049</v>
      </c>
      <c r="M309" s="1298">
        <v>2308.6</v>
      </c>
      <c r="N309" s="1298">
        <v>0</v>
      </c>
      <c r="O309" s="1298">
        <v>0</v>
      </c>
      <c r="P309" s="1298">
        <v>67.39</v>
      </c>
      <c r="Q309" s="1298">
        <v>2347</v>
      </c>
      <c r="R309" s="1298">
        <v>2347</v>
      </c>
      <c r="S309" s="1298">
        <v>30</v>
      </c>
      <c r="T309" s="1298">
        <v>12.6</v>
      </c>
      <c r="U309" s="1298">
        <v>22</v>
      </c>
      <c r="V309" s="1298">
        <v>20</v>
      </c>
      <c r="W309" s="1298">
        <v>0</v>
      </c>
      <c r="X309" s="1298">
        <v>0</v>
      </c>
      <c r="Y309" s="1298">
        <v>0</v>
      </c>
      <c r="Z309" s="1298">
        <v>0</v>
      </c>
      <c r="AA309" s="1298">
        <v>0</v>
      </c>
      <c r="AB309" s="1298">
        <v>0</v>
      </c>
      <c r="AC309" s="1298">
        <v>0</v>
      </c>
      <c r="AD309" s="1298">
        <v>0</v>
      </c>
      <c r="AE309" s="1298">
        <v>0</v>
      </c>
      <c r="AF309" s="1298">
        <v>2431.6</v>
      </c>
    </row>
    <row r="310" spans="1:32" ht="15" customHeight="1">
      <c r="A310" s="1294">
        <v>406</v>
      </c>
      <c r="B310" s="1294">
        <v>590</v>
      </c>
      <c r="C310" s="1295" t="s">
        <v>1572</v>
      </c>
      <c r="D310" s="1296" t="s">
        <v>2005</v>
      </c>
      <c r="E310" s="1296" t="s">
        <v>716</v>
      </c>
      <c r="F310" s="1297">
        <v>1102</v>
      </c>
      <c r="G310" s="1295" t="s">
        <v>189</v>
      </c>
      <c r="H310" s="1295" t="s">
        <v>2109</v>
      </c>
      <c r="I310" s="1296" t="s">
        <v>1323</v>
      </c>
      <c r="J310" s="1296"/>
      <c r="K310" s="1296" t="s">
        <v>1323</v>
      </c>
      <c r="L310" s="1296" t="s">
        <v>2110</v>
      </c>
      <c r="M310" s="1298">
        <v>2292.6</v>
      </c>
      <c r="N310" s="1298">
        <v>250</v>
      </c>
      <c r="O310" s="1298">
        <v>250</v>
      </c>
      <c r="P310" s="1298">
        <v>-2269.31</v>
      </c>
      <c r="Q310" s="1298">
        <v>2158</v>
      </c>
      <c r="R310" s="1298">
        <v>2158</v>
      </c>
      <c r="S310" s="1298">
        <v>30</v>
      </c>
      <c r="T310" s="1298">
        <v>12.6</v>
      </c>
      <c r="U310" s="1298">
        <v>22</v>
      </c>
      <c r="V310" s="1298">
        <v>0</v>
      </c>
      <c r="W310" s="1298">
        <v>0</v>
      </c>
      <c r="X310" s="1298">
        <v>0</v>
      </c>
      <c r="Y310" s="1298">
        <v>0</v>
      </c>
      <c r="Z310" s="1298">
        <v>0</v>
      </c>
      <c r="AA310" s="1298">
        <v>0</v>
      </c>
      <c r="AB310" s="1298">
        <v>0</v>
      </c>
      <c r="AC310" s="1298">
        <v>0</v>
      </c>
      <c r="AD310" s="1298">
        <v>0</v>
      </c>
      <c r="AE310" s="1298">
        <v>0</v>
      </c>
      <c r="AF310" s="1298">
        <v>2222.6</v>
      </c>
    </row>
    <row r="311" spans="1:32" ht="15" customHeight="1">
      <c r="A311" s="1294">
        <v>82</v>
      </c>
      <c r="B311" s="1294">
        <v>86</v>
      </c>
      <c r="C311" s="1295" t="s">
        <v>1574</v>
      </c>
      <c r="D311" s="1296" t="s">
        <v>744</v>
      </c>
      <c r="E311" s="1296" t="s">
        <v>716</v>
      </c>
      <c r="F311" s="1297">
        <v>908</v>
      </c>
      <c r="G311" s="1295" t="s">
        <v>189</v>
      </c>
      <c r="H311" s="1295" t="s">
        <v>1575</v>
      </c>
      <c r="I311" s="1296" t="s">
        <v>1576</v>
      </c>
      <c r="J311" s="1296"/>
      <c r="K311" s="1296" t="s">
        <v>734</v>
      </c>
      <c r="L311" s="1296" t="s">
        <v>1901</v>
      </c>
      <c r="M311" s="1298">
        <v>2091.6</v>
      </c>
      <c r="N311" s="1298">
        <v>1805</v>
      </c>
      <c r="O311" s="1298">
        <v>1805</v>
      </c>
      <c r="P311" s="1298">
        <v>71.680000000000007</v>
      </c>
      <c r="Q311" s="1298">
        <v>1924</v>
      </c>
      <c r="R311" s="1298">
        <v>1924</v>
      </c>
      <c r="S311" s="1298">
        <v>25</v>
      </c>
      <c r="T311" s="1298">
        <v>12.6</v>
      </c>
      <c r="U311" s="1298">
        <v>21</v>
      </c>
      <c r="V311" s="1298">
        <v>20</v>
      </c>
      <c r="W311" s="1298">
        <v>0</v>
      </c>
      <c r="X311" s="1298">
        <v>0</v>
      </c>
      <c r="Y311" s="1298">
        <v>0</v>
      </c>
      <c r="Z311" s="1298">
        <v>0</v>
      </c>
      <c r="AA311" s="1298">
        <v>0</v>
      </c>
      <c r="AB311" s="1298">
        <v>0</v>
      </c>
      <c r="AC311" s="1298">
        <v>0</v>
      </c>
      <c r="AD311" s="1298">
        <v>0</v>
      </c>
      <c r="AE311" s="1298">
        <v>0</v>
      </c>
      <c r="AF311" s="1298">
        <v>2002.6</v>
      </c>
    </row>
    <row r="312" spans="1:32" ht="15" customHeight="1">
      <c r="A312" s="1294">
        <v>398</v>
      </c>
      <c r="B312" s="1294">
        <v>577</v>
      </c>
      <c r="C312" s="1295" t="s">
        <v>1577</v>
      </c>
      <c r="D312" s="1296" t="s">
        <v>2009</v>
      </c>
      <c r="E312" s="1296" t="s">
        <v>716</v>
      </c>
      <c r="F312" s="1297">
        <v>791</v>
      </c>
      <c r="G312" s="1295" t="s">
        <v>189</v>
      </c>
      <c r="H312" s="1295" t="s">
        <v>2111</v>
      </c>
      <c r="I312" s="1296" t="s">
        <v>2112</v>
      </c>
      <c r="J312" s="1296"/>
      <c r="K312" s="1296" t="s">
        <v>2112</v>
      </c>
      <c r="L312" s="1296" t="s">
        <v>2113</v>
      </c>
      <c r="M312" s="1298">
        <v>1926.6</v>
      </c>
      <c r="N312" s="1298">
        <v>250</v>
      </c>
      <c r="O312" s="1298">
        <v>250</v>
      </c>
      <c r="P312" s="1298">
        <v>-41.85</v>
      </c>
      <c r="Q312" s="1298">
        <v>1792</v>
      </c>
      <c r="R312" s="1298">
        <v>1792</v>
      </c>
      <c r="S312" s="1298">
        <v>30</v>
      </c>
      <c r="T312" s="1298">
        <v>12.6</v>
      </c>
      <c r="U312" s="1298">
        <v>22</v>
      </c>
      <c r="V312" s="1298">
        <v>0</v>
      </c>
      <c r="W312" s="1298">
        <v>0</v>
      </c>
      <c r="X312" s="1298">
        <v>0</v>
      </c>
      <c r="Y312" s="1298">
        <v>0</v>
      </c>
      <c r="Z312" s="1298">
        <v>0</v>
      </c>
      <c r="AA312" s="1298">
        <v>0</v>
      </c>
      <c r="AB312" s="1298">
        <v>0</v>
      </c>
      <c r="AC312" s="1298">
        <v>0</v>
      </c>
      <c r="AD312" s="1298">
        <v>0</v>
      </c>
      <c r="AE312" s="1298">
        <v>0</v>
      </c>
      <c r="AF312" s="1298">
        <v>1856.6</v>
      </c>
    </row>
    <row r="313" spans="1:32" ht="15" customHeight="1">
      <c r="A313" s="1294">
        <v>46</v>
      </c>
      <c r="B313" s="1294">
        <v>48</v>
      </c>
      <c r="C313" s="1295" t="s">
        <v>1578</v>
      </c>
      <c r="D313" s="1296" t="s">
        <v>2010</v>
      </c>
      <c r="E313" s="1296" t="s">
        <v>716</v>
      </c>
      <c r="F313" s="1297">
        <v>958</v>
      </c>
      <c r="G313" s="1295" t="s">
        <v>189</v>
      </c>
      <c r="H313" s="1295" t="s">
        <v>1579</v>
      </c>
      <c r="I313" s="1296" t="s">
        <v>1580</v>
      </c>
      <c r="J313" s="1296"/>
      <c r="K313" s="1296" t="s">
        <v>1252</v>
      </c>
      <c r="L313" s="1296" t="s">
        <v>1434</v>
      </c>
      <c r="M313" s="1298">
        <v>2055.6</v>
      </c>
      <c r="N313" s="1298">
        <v>0</v>
      </c>
      <c r="O313" s="1298">
        <v>0</v>
      </c>
      <c r="P313" s="1298">
        <v>0</v>
      </c>
      <c r="Q313" s="1298">
        <v>1973</v>
      </c>
      <c r="R313" s="1298">
        <v>1973</v>
      </c>
      <c r="S313" s="1298">
        <v>25</v>
      </c>
      <c r="T313" s="1298">
        <v>12.6</v>
      </c>
      <c r="U313" s="1298">
        <v>0</v>
      </c>
      <c r="V313" s="1298">
        <v>20</v>
      </c>
      <c r="W313" s="1298">
        <v>0</v>
      </c>
      <c r="X313" s="1298">
        <v>20</v>
      </c>
      <c r="Y313" s="1298">
        <v>0</v>
      </c>
      <c r="Z313" s="1298">
        <v>0</v>
      </c>
      <c r="AA313" s="1298">
        <v>0</v>
      </c>
      <c r="AB313" s="1298">
        <v>0</v>
      </c>
      <c r="AC313" s="1298">
        <v>0</v>
      </c>
      <c r="AD313" s="1298">
        <v>0</v>
      </c>
      <c r="AE313" s="1298">
        <v>0</v>
      </c>
      <c r="AF313" s="1298">
        <v>2050.6</v>
      </c>
    </row>
    <row r="314" spans="1:32" ht="15" customHeight="1">
      <c r="A314" s="1294">
        <v>281</v>
      </c>
      <c r="B314" s="1294">
        <v>569</v>
      </c>
      <c r="C314" s="1295" t="s">
        <v>1581</v>
      </c>
      <c r="D314" s="1296" t="s">
        <v>753</v>
      </c>
      <c r="E314" s="1296" t="s">
        <v>716</v>
      </c>
      <c r="F314" s="1297">
        <v>609</v>
      </c>
      <c r="G314" s="1295" t="s">
        <v>189</v>
      </c>
      <c r="H314" s="1295" t="s">
        <v>903</v>
      </c>
      <c r="I314" s="1296" t="s">
        <v>1495</v>
      </c>
      <c r="J314" s="1296"/>
      <c r="K314" s="1296" t="s">
        <v>1495</v>
      </c>
      <c r="L314" s="1296" t="s">
        <v>2047</v>
      </c>
      <c r="M314" s="1298">
        <v>1541.6</v>
      </c>
      <c r="N314" s="1298">
        <v>0.01</v>
      </c>
      <c r="O314" s="1298">
        <v>0</v>
      </c>
      <c r="P314" s="1298">
        <v>63.22</v>
      </c>
      <c r="Q314" s="1298">
        <v>1407</v>
      </c>
      <c r="R314" s="1298">
        <v>1407</v>
      </c>
      <c r="S314" s="1298">
        <v>30</v>
      </c>
      <c r="T314" s="1298">
        <v>12.6</v>
      </c>
      <c r="U314" s="1298">
        <v>22</v>
      </c>
      <c r="V314" s="1298">
        <v>20</v>
      </c>
      <c r="W314" s="1298">
        <v>0</v>
      </c>
      <c r="X314" s="1298">
        <v>0</v>
      </c>
      <c r="Y314" s="1298">
        <v>0</v>
      </c>
      <c r="Z314" s="1298">
        <v>0</v>
      </c>
      <c r="AA314" s="1298">
        <v>0</v>
      </c>
      <c r="AB314" s="1298">
        <v>0</v>
      </c>
      <c r="AC314" s="1298">
        <v>0</v>
      </c>
      <c r="AD314" s="1298">
        <v>0</v>
      </c>
      <c r="AE314" s="1298">
        <v>0</v>
      </c>
      <c r="AF314" s="1298">
        <v>1491.6</v>
      </c>
    </row>
    <row r="315" spans="1:32" ht="15" customHeight="1">
      <c r="A315" s="1294">
        <v>24</v>
      </c>
      <c r="B315" s="1294">
        <v>427</v>
      </c>
      <c r="C315" s="1295" t="s">
        <v>1582</v>
      </c>
      <c r="D315" s="1296" t="s">
        <v>759</v>
      </c>
      <c r="E315" s="1296" t="s">
        <v>716</v>
      </c>
      <c r="F315" s="1297">
        <v>813</v>
      </c>
      <c r="G315" s="1295" t="s">
        <v>769</v>
      </c>
      <c r="H315" s="1295" t="s">
        <v>1583</v>
      </c>
      <c r="I315" s="1296" t="s">
        <v>1584</v>
      </c>
      <c r="J315" s="1296" t="s">
        <v>2275</v>
      </c>
      <c r="K315" s="1296" t="s">
        <v>1102</v>
      </c>
      <c r="L315" s="1296" t="s">
        <v>1838</v>
      </c>
      <c r="M315" s="1298">
        <v>2195.6</v>
      </c>
      <c r="N315" s="1298">
        <v>100</v>
      </c>
      <c r="O315" s="1298">
        <v>100</v>
      </c>
      <c r="P315" s="1298">
        <v>36.29</v>
      </c>
      <c r="Q315" s="1298">
        <v>1975</v>
      </c>
      <c r="R315" s="1298">
        <v>1975</v>
      </c>
      <c r="S315" s="1298">
        <v>25</v>
      </c>
      <c r="T315" s="1298">
        <v>12.6</v>
      </c>
      <c r="U315" s="1298">
        <v>17</v>
      </c>
      <c r="V315" s="1298">
        <v>20</v>
      </c>
      <c r="W315" s="1298">
        <v>0</v>
      </c>
      <c r="X315" s="1298">
        <v>0</v>
      </c>
      <c r="Y315" s="1298">
        <v>0</v>
      </c>
      <c r="Z315" s="1298">
        <v>0</v>
      </c>
      <c r="AA315" s="1298">
        <v>0</v>
      </c>
      <c r="AB315" s="1298">
        <v>0</v>
      </c>
      <c r="AC315" s="1298">
        <v>0</v>
      </c>
      <c r="AD315" s="1298">
        <v>0</v>
      </c>
      <c r="AE315" s="1298">
        <v>0</v>
      </c>
      <c r="AF315" s="1298">
        <v>2049.6</v>
      </c>
    </row>
    <row r="316" spans="1:32" ht="15" customHeight="1">
      <c r="A316" s="1294">
        <v>26</v>
      </c>
      <c r="B316" s="1294">
        <v>607</v>
      </c>
      <c r="C316" s="1295" t="s">
        <v>1585</v>
      </c>
      <c r="D316" s="1296" t="s">
        <v>890</v>
      </c>
      <c r="E316" s="1296" t="s">
        <v>716</v>
      </c>
      <c r="F316" s="1297">
        <v>1539</v>
      </c>
      <c r="G316" s="1295" t="s">
        <v>189</v>
      </c>
      <c r="H316" s="1295" t="s">
        <v>1586</v>
      </c>
      <c r="I316" s="1296" t="s">
        <v>1587</v>
      </c>
      <c r="J316" s="1296"/>
      <c r="K316" s="1296" t="s">
        <v>2114</v>
      </c>
      <c r="L316" s="1296" t="s">
        <v>2115</v>
      </c>
      <c r="M316" s="1298">
        <v>2903.6</v>
      </c>
      <c r="N316" s="1298">
        <v>200</v>
      </c>
      <c r="O316" s="1298">
        <v>200</v>
      </c>
      <c r="P316" s="1298">
        <v>42.94</v>
      </c>
      <c r="Q316" s="1298">
        <v>3077</v>
      </c>
      <c r="R316" s="1298">
        <v>3077</v>
      </c>
      <c r="S316" s="1298">
        <v>30</v>
      </c>
      <c r="T316" s="1298">
        <v>12.6</v>
      </c>
      <c r="U316" s="1298">
        <v>22</v>
      </c>
      <c r="V316" s="1298">
        <v>20</v>
      </c>
      <c r="W316" s="1298">
        <v>0</v>
      </c>
      <c r="X316" s="1298">
        <v>0</v>
      </c>
      <c r="Y316" s="1298">
        <v>0</v>
      </c>
      <c r="Z316" s="1298">
        <v>0</v>
      </c>
      <c r="AA316" s="1298">
        <v>0</v>
      </c>
      <c r="AB316" s="1298">
        <v>0</v>
      </c>
      <c r="AC316" s="1298">
        <v>0</v>
      </c>
      <c r="AD316" s="1298">
        <v>0</v>
      </c>
      <c r="AE316" s="1298">
        <v>0</v>
      </c>
      <c r="AF316" s="1298">
        <v>3161.6</v>
      </c>
    </row>
    <row r="317" spans="1:32" ht="15" customHeight="1">
      <c r="A317" s="1294">
        <v>103</v>
      </c>
      <c r="B317" s="1294">
        <v>468</v>
      </c>
      <c r="C317" s="1295" t="s">
        <v>1589</v>
      </c>
      <c r="D317" s="1296" t="s">
        <v>1590</v>
      </c>
      <c r="E317" s="1296" t="s">
        <v>716</v>
      </c>
      <c r="F317" s="1297">
        <v>1075</v>
      </c>
      <c r="G317" s="1295" t="s">
        <v>189</v>
      </c>
      <c r="H317" s="1295" t="s">
        <v>1591</v>
      </c>
      <c r="I317" s="1296" t="s">
        <v>1592</v>
      </c>
      <c r="J317" s="1296"/>
      <c r="K317" s="1296" t="s">
        <v>934</v>
      </c>
      <c r="L317" s="1296" t="s">
        <v>1852</v>
      </c>
      <c r="M317" s="1298">
        <v>2205.6</v>
      </c>
      <c r="N317" s="1298">
        <v>0</v>
      </c>
      <c r="O317" s="1298">
        <v>0</v>
      </c>
      <c r="P317" s="1298">
        <v>66.72</v>
      </c>
      <c r="Q317" s="1298">
        <v>2024</v>
      </c>
      <c r="R317" s="1298">
        <v>2024</v>
      </c>
      <c r="S317" s="1298">
        <v>25</v>
      </c>
      <c r="T317" s="1298">
        <v>12.6</v>
      </c>
      <c r="U317" s="1298">
        <v>17</v>
      </c>
      <c r="V317" s="1298">
        <v>20</v>
      </c>
      <c r="W317" s="1298">
        <v>0</v>
      </c>
      <c r="X317" s="1298">
        <v>0</v>
      </c>
      <c r="Y317" s="1298">
        <v>0</v>
      </c>
      <c r="Z317" s="1298">
        <v>11.5</v>
      </c>
      <c r="AA317" s="1298">
        <v>0</v>
      </c>
      <c r="AB317" s="1298">
        <v>0</v>
      </c>
      <c r="AC317" s="1298">
        <v>0</v>
      </c>
      <c r="AD317" s="1298">
        <v>0</v>
      </c>
      <c r="AE317" s="1298">
        <v>0</v>
      </c>
      <c r="AF317" s="1298">
        <v>2110.1</v>
      </c>
    </row>
    <row r="318" spans="1:32" ht="15" customHeight="1">
      <c r="A318" s="1294">
        <v>351</v>
      </c>
      <c r="B318" s="1294">
        <v>440</v>
      </c>
      <c r="C318" s="1295" t="s">
        <v>1593</v>
      </c>
      <c r="D318" s="1296" t="s">
        <v>1594</v>
      </c>
      <c r="E318" s="1296" t="s">
        <v>716</v>
      </c>
      <c r="F318" s="1297">
        <v>1475</v>
      </c>
      <c r="G318" s="1295" t="s">
        <v>189</v>
      </c>
      <c r="H318" s="1295" t="s">
        <v>1902</v>
      </c>
      <c r="I318" s="1296" t="s">
        <v>982</v>
      </c>
      <c r="J318" s="1296"/>
      <c r="K318" s="1296" t="s">
        <v>982</v>
      </c>
      <c r="L318" s="1296" t="s">
        <v>1887</v>
      </c>
      <c r="M318" s="1298">
        <v>2788.6</v>
      </c>
      <c r="N318" s="1298">
        <v>250</v>
      </c>
      <c r="O318" s="1298">
        <v>250</v>
      </c>
      <c r="P318" s="1298">
        <v>74.22</v>
      </c>
      <c r="Q318" s="1298">
        <v>2654</v>
      </c>
      <c r="R318" s="1298">
        <v>2654</v>
      </c>
      <c r="S318" s="1298">
        <v>25</v>
      </c>
      <c r="T318" s="1298">
        <v>12.6</v>
      </c>
      <c r="U318" s="1298">
        <v>0</v>
      </c>
      <c r="V318" s="1298">
        <v>0</v>
      </c>
      <c r="W318" s="1298">
        <v>0</v>
      </c>
      <c r="X318" s="1298">
        <v>0</v>
      </c>
      <c r="Y318" s="1298">
        <v>0</v>
      </c>
      <c r="Z318" s="1298">
        <v>0</v>
      </c>
      <c r="AA318" s="1298">
        <v>0</v>
      </c>
      <c r="AB318" s="1298">
        <v>0</v>
      </c>
      <c r="AC318" s="1298">
        <v>0</v>
      </c>
      <c r="AD318" s="1298">
        <v>0</v>
      </c>
      <c r="AE318" s="1298">
        <v>0</v>
      </c>
      <c r="AF318" s="1298">
        <v>2691.6</v>
      </c>
    </row>
    <row r="319" spans="1:32" ht="15" customHeight="1">
      <c r="A319" s="1294">
        <v>383</v>
      </c>
      <c r="B319" s="1294">
        <v>543</v>
      </c>
      <c r="C319" s="1295" t="s">
        <v>1595</v>
      </c>
      <c r="D319" s="1296" t="s">
        <v>830</v>
      </c>
      <c r="E319" s="1296" t="s">
        <v>716</v>
      </c>
      <c r="F319" s="1297">
        <v>934</v>
      </c>
      <c r="G319" s="1295" t="s">
        <v>189</v>
      </c>
      <c r="H319" s="1295" t="s">
        <v>2116</v>
      </c>
      <c r="I319" s="1296" t="s">
        <v>2117</v>
      </c>
      <c r="J319" s="1296"/>
      <c r="K319" s="1296" t="s">
        <v>2117</v>
      </c>
      <c r="L319" s="1296" t="s">
        <v>2118</v>
      </c>
      <c r="M319" s="1298">
        <v>2050.6</v>
      </c>
      <c r="N319" s="1298">
        <v>250</v>
      </c>
      <c r="O319" s="1298">
        <v>250</v>
      </c>
      <c r="P319" s="1298">
        <v>0</v>
      </c>
      <c r="Q319" s="1298">
        <v>1800</v>
      </c>
      <c r="R319" s="1298">
        <v>1800</v>
      </c>
      <c r="S319" s="1298">
        <v>30</v>
      </c>
      <c r="T319" s="1298">
        <v>12.6</v>
      </c>
      <c r="U319" s="1298">
        <v>22</v>
      </c>
      <c r="V319" s="1298">
        <v>0</v>
      </c>
      <c r="W319" s="1298">
        <v>0</v>
      </c>
      <c r="X319" s="1298">
        <v>0</v>
      </c>
      <c r="Y319" s="1298">
        <v>0</v>
      </c>
      <c r="Z319" s="1298">
        <v>0</v>
      </c>
      <c r="AA319" s="1298">
        <v>0</v>
      </c>
      <c r="AB319" s="1298">
        <v>0</v>
      </c>
      <c r="AC319" s="1298">
        <v>0</v>
      </c>
      <c r="AD319" s="1298">
        <v>0</v>
      </c>
      <c r="AE319" s="1298">
        <v>0</v>
      </c>
      <c r="AF319" s="1298">
        <v>1864.6</v>
      </c>
    </row>
    <row r="320" spans="1:32" ht="15" customHeight="1">
      <c r="A320" s="1294">
        <v>52</v>
      </c>
      <c r="B320" s="1294">
        <v>605</v>
      </c>
      <c r="C320" s="1295" t="s">
        <v>1597</v>
      </c>
      <c r="D320" s="1296" t="s">
        <v>772</v>
      </c>
      <c r="E320" s="1296" t="s">
        <v>716</v>
      </c>
      <c r="F320" s="1297">
        <v>937</v>
      </c>
      <c r="G320" s="1295" t="s">
        <v>189</v>
      </c>
      <c r="H320" s="1295" t="s">
        <v>1598</v>
      </c>
      <c r="I320" s="1296" t="s">
        <v>1105</v>
      </c>
      <c r="J320" s="1296"/>
      <c r="K320" s="1296" t="s">
        <v>2000</v>
      </c>
      <c r="L320" s="1296" t="s">
        <v>2001</v>
      </c>
      <c r="M320" s="1298">
        <v>2060.6</v>
      </c>
      <c r="N320" s="1298">
        <v>0</v>
      </c>
      <c r="O320" s="1298">
        <v>0</v>
      </c>
      <c r="P320" s="1298">
        <v>-1809.04</v>
      </c>
      <c r="Q320" s="1298">
        <v>1797</v>
      </c>
      <c r="R320" s="1298">
        <v>1797</v>
      </c>
      <c r="S320" s="1298">
        <v>30</v>
      </c>
      <c r="T320" s="1298">
        <v>12.6</v>
      </c>
      <c r="U320" s="1298">
        <v>22</v>
      </c>
      <c r="V320" s="1298">
        <v>20</v>
      </c>
      <c r="W320" s="1298">
        <v>0</v>
      </c>
      <c r="X320" s="1298">
        <v>0</v>
      </c>
      <c r="Y320" s="1298">
        <v>0</v>
      </c>
      <c r="Z320" s="1298">
        <v>0</v>
      </c>
      <c r="AA320" s="1298">
        <v>0</v>
      </c>
      <c r="AB320" s="1298">
        <v>0</v>
      </c>
      <c r="AC320" s="1298">
        <v>0</v>
      </c>
      <c r="AD320" s="1298">
        <v>0</v>
      </c>
      <c r="AE320" s="1298">
        <v>0</v>
      </c>
      <c r="AF320" s="1298">
        <v>1881.6</v>
      </c>
    </row>
    <row r="321" spans="1:32" ht="15" customHeight="1">
      <c r="A321" s="1294">
        <v>345</v>
      </c>
      <c r="B321" s="1294">
        <v>404</v>
      </c>
      <c r="C321" s="1295" t="s">
        <v>1600</v>
      </c>
      <c r="D321" s="1296" t="s">
        <v>840</v>
      </c>
      <c r="E321" s="1296" t="s">
        <v>716</v>
      </c>
      <c r="F321" s="1297">
        <v>1235</v>
      </c>
      <c r="G321" s="1295" t="s">
        <v>189</v>
      </c>
      <c r="H321" s="1295" t="s">
        <v>1601</v>
      </c>
      <c r="I321" s="1296" t="s">
        <v>1474</v>
      </c>
      <c r="J321" s="1296"/>
      <c r="K321" s="1296" t="s">
        <v>1474</v>
      </c>
      <c r="L321" s="1296" t="s">
        <v>1602</v>
      </c>
      <c r="M321" s="1298">
        <v>2493.6</v>
      </c>
      <c r="N321" s="1298">
        <v>250</v>
      </c>
      <c r="O321" s="1298">
        <v>250</v>
      </c>
      <c r="P321" s="1298">
        <v>97.32</v>
      </c>
      <c r="Q321" s="1298">
        <v>2359</v>
      </c>
      <c r="R321" s="1298">
        <v>2359</v>
      </c>
      <c r="S321" s="1298">
        <v>25</v>
      </c>
      <c r="T321" s="1298">
        <v>12.6</v>
      </c>
      <c r="U321" s="1298">
        <v>0</v>
      </c>
      <c r="V321" s="1298">
        <v>0</v>
      </c>
      <c r="W321" s="1298">
        <v>0</v>
      </c>
      <c r="X321" s="1298">
        <v>0</v>
      </c>
      <c r="Y321" s="1298">
        <v>0</v>
      </c>
      <c r="Z321" s="1298">
        <v>0</v>
      </c>
      <c r="AA321" s="1298">
        <v>0</v>
      </c>
      <c r="AB321" s="1298">
        <v>0</v>
      </c>
      <c r="AC321" s="1298">
        <v>0</v>
      </c>
      <c r="AD321" s="1298">
        <v>0</v>
      </c>
      <c r="AE321" s="1298">
        <v>0</v>
      </c>
      <c r="AF321" s="1298">
        <v>2396.6</v>
      </c>
    </row>
    <row r="322" spans="1:32" ht="15" customHeight="1">
      <c r="A322" s="1294">
        <v>31</v>
      </c>
      <c r="B322" s="1294">
        <v>593</v>
      </c>
      <c r="C322" s="1295" t="s">
        <v>1603</v>
      </c>
      <c r="D322" s="1296" t="s">
        <v>840</v>
      </c>
      <c r="E322" s="1296" t="s">
        <v>716</v>
      </c>
      <c r="F322" s="1297">
        <v>1235</v>
      </c>
      <c r="G322" s="1295" t="s">
        <v>189</v>
      </c>
      <c r="H322" s="1295" t="s">
        <v>1604</v>
      </c>
      <c r="I322" s="1296" t="s">
        <v>1605</v>
      </c>
      <c r="J322" s="1296"/>
      <c r="K322" s="1296" t="s">
        <v>1141</v>
      </c>
      <c r="L322" s="1296" t="s">
        <v>2119</v>
      </c>
      <c r="M322" s="1298">
        <v>2553.6</v>
      </c>
      <c r="N322" s="1298">
        <v>250</v>
      </c>
      <c r="O322" s="1298">
        <v>250</v>
      </c>
      <c r="P322" s="1298">
        <v>-2221.7399999999998</v>
      </c>
      <c r="Q322" s="1298">
        <v>2082</v>
      </c>
      <c r="R322" s="1298">
        <v>2082</v>
      </c>
      <c r="S322" s="1298">
        <v>30</v>
      </c>
      <c r="T322" s="1298">
        <v>12.6</v>
      </c>
      <c r="U322" s="1298">
        <v>22</v>
      </c>
      <c r="V322" s="1298">
        <v>20</v>
      </c>
      <c r="W322" s="1298">
        <v>0</v>
      </c>
      <c r="X322" s="1298">
        <v>0</v>
      </c>
      <c r="Y322" s="1298">
        <v>0</v>
      </c>
      <c r="Z322" s="1298">
        <v>0</v>
      </c>
      <c r="AA322" s="1298">
        <v>0</v>
      </c>
      <c r="AB322" s="1298">
        <v>0</v>
      </c>
      <c r="AC322" s="1298">
        <v>0</v>
      </c>
      <c r="AD322" s="1298">
        <v>0</v>
      </c>
      <c r="AE322" s="1298">
        <v>0</v>
      </c>
      <c r="AF322" s="1298">
        <v>2166.6</v>
      </c>
    </row>
    <row r="323" spans="1:32" ht="15" customHeight="1">
      <c r="A323" s="1294">
        <v>234</v>
      </c>
      <c r="B323" s="1294">
        <v>434</v>
      </c>
      <c r="C323" s="1295" t="s">
        <v>1606</v>
      </c>
      <c r="D323" s="1296" t="s">
        <v>772</v>
      </c>
      <c r="E323" s="1296" t="s">
        <v>716</v>
      </c>
      <c r="F323" s="1297">
        <v>937</v>
      </c>
      <c r="G323" s="1295" t="s">
        <v>189</v>
      </c>
      <c r="H323" s="1295" t="s">
        <v>1607</v>
      </c>
      <c r="I323" s="1296" t="s">
        <v>1255</v>
      </c>
      <c r="J323" s="1296"/>
      <c r="K323" s="1296" t="s">
        <v>734</v>
      </c>
      <c r="L323" s="1296" t="s">
        <v>735</v>
      </c>
      <c r="M323" s="1298">
        <v>2060.6</v>
      </c>
      <c r="N323" s="1298">
        <v>0</v>
      </c>
      <c r="O323" s="1298">
        <v>0</v>
      </c>
      <c r="P323" s="1298">
        <v>84.24</v>
      </c>
      <c r="Q323" s="1298">
        <v>1907</v>
      </c>
      <c r="R323" s="1298">
        <v>1907</v>
      </c>
      <c r="S323" s="1298">
        <v>25</v>
      </c>
      <c r="T323" s="1298">
        <v>12.6</v>
      </c>
      <c r="U323" s="1298">
        <v>17</v>
      </c>
      <c r="V323" s="1298">
        <v>20</v>
      </c>
      <c r="W323" s="1298">
        <v>0</v>
      </c>
      <c r="X323" s="1298">
        <v>0</v>
      </c>
      <c r="Y323" s="1298">
        <v>0</v>
      </c>
      <c r="Z323" s="1298">
        <v>11.5</v>
      </c>
      <c r="AA323" s="1298">
        <v>0</v>
      </c>
      <c r="AB323" s="1298">
        <v>0</v>
      </c>
      <c r="AC323" s="1298">
        <v>0</v>
      </c>
      <c r="AD323" s="1298">
        <v>0</v>
      </c>
      <c r="AE323" s="1298">
        <v>0</v>
      </c>
      <c r="AF323" s="1298">
        <v>1993.1</v>
      </c>
    </row>
    <row r="324" spans="1:32" ht="15" customHeight="1">
      <c r="A324" s="1299"/>
      <c r="B324" s="1300"/>
      <c r="C324" s="1300"/>
      <c r="D324" s="1300"/>
      <c r="E324" s="1300"/>
      <c r="F324" s="1300"/>
      <c r="G324" s="1300"/>
      <c r="H324" s="1300"/>
      <c r="I324" s="1300"/>
      <c r="J324" s="1300"/>
      <c r="K324" s="1300"/>
      <c r="L324" s="1300"/>
      <c r="M324" s="1300"/>
      <c r="N324" s="1300"/>
      <c r="O324" s="1300"/>
      <c r="P324" s="1300"/>
      <c r="Q324" s="1300"/>
      <c r="R324" s="1300"/>
      <c r="S324" s="1300"/>
      <c r="T324" s="1300"/>
      <c r="U324" s="1300"/>
      <c r="V324" s="1300"/>
      <c r="W324" s="1300"/>
      <c r="X324" s="1300"/>
      <c r="Y324" s="1300"/>
      <c r="Z324" s="1300"/>
      <c r="AA324" s="1300"/>
      <c r="AB324" s="1300"/>
      <c r="AC324" s="1300"/>
      <c r="AD324" s="1300"/>
      <c r="AE324" s="1300"/>
      <c r="AF324" s="1301"/>
    </row>
    <row r="325" spans="1:32" ht="15" customHeight="1">
      <c r="A325" s="1302" t="s">
        <v>190</v>
      </c>
      <c r="B325" s="1329"/>
      <c r="C325" s="1329"/>
      <c r="D325" s="1329"/>
      <c r="E325" s="1329"/>
      <c r="F325" s="1329"/>
      <c r="G325" s="1329"/>
      <c r="H325" s="1329"/>
      <c r="I325" s="1329"/>
      <c r="J325" s="1329"/>
      <c r="K325" s="1329"/>
      <c r="L325" s="1329"/>
      <c r="M325" s="1303">
        <v>642939.80000000005</v>
      </c>
      <c r="N325" s="1303">
        <v>35061.01</v>
      </c>
      <c r="O325" s="1303">
        <v>33761</v>
      </c>
      <c r="P325" s="1303">
        <v>-59016.67</v>
      </c>
      <c r="Q325" s="1303">
        <v>505260</v>
      </c>
      <c r="R325" s="1303">
        <v>505260</v>
      </c>
      <c r="S325" s="1303">
        <v>7150</v>
      </c>
      <c r="T325" s="1303">
        <v>3214.5</v>
      </c>
      <c r="U325" s="1303">
        <v>4837</v>
      </c>
      <c r="V325" s="1303">
        <v>4000</v>
      </c>
      <c r="W325" s="1303">
        <v>1320</v>
      </c>
      <c r="X325" s="1303">
        <v>1175</v>
      </c>
      <c r="Y325" s="1303">
        <v>1300</v>
      </c>
      <c r="Z325" s="1303">
        <v>356.5</v>
      </c>
      <c r="AA325" s="1303">
        <v>3150</v>
      </c>
      <c r="AB325" s="1303">
        <v>-14144.61</v>
      </c>
      <c r="AC325" s="1303">
        <v>-5377.46</v>
      </c>
      <c r="AD325" s="1303">
        <v>5</v>
      </c>
      <c r="AE325" s="1303">
        <v>-1897</v>
      </c>
      <c r="AF325" s="1303">
        <v>510348.93</v>
      </c>
    </row>
    <row r="326" spans="1:32" ht="15" customHeight="1">
      <c r="A326" s="1137"/>
      <c r="B326" s="1137"/>
      <c r="C326" s="1138"/>
      <c r="D326" s="1139"/>
      <c r="E326" s="1139"/>
      <c r="F326" s="1140"/>
      <c r="G326" s="1138"/>
      <c r="H326" s="1138"/>
      <c r="I326" s="1139"/>
      <c r="J326" s="1139"/>
      <c r="K326" s="1139"/>
      <c r="L326" s="1139"/>
      <c r="M326" s="1141"/>
      <c r="N326" s="1141"/>
      <c r="O326" s="1141"/>
      <c r="P326" s="1141"/>
      <c r="Q326" s="1141"/>
      <c r="R326" s="1141"/>
      <c r="S326" s="1141"/>
      <c r="T326" s="1141"/>
      <c r="U326" s="1141"/>
      <c r="V326" s="1141"/>
      <c r="W326" s="1141"/>
      <c r="X326" s="1141"/>
      <c r="Y326" s="1141"/>
      <c r="Z326" s="1141"/>
      <c r="AA326" s="1141"/>
      <c r="AB326" s="1141"/>
      <c r="AC326" s="1141"/>
      <c r="AD326" s="1141"/>
    </row>
    <row r="327" spans="1:32" ht="15" customHeight="1">
      <c r="A327" s="1142"/>
      <c r="B327" s="1142"/>
      <c r="C327" s="869"/>
      <c r="D327" s="1143"/>
      <c r="E327" s="1143"/>
      <c r="F327" s="1106"/>
      <c r="G327" s="869"/>
      <c r="H327" s="869"/>
      <c r="I327" s="1143"/>
      <c r="J327" s="1143"/>
      <c r="K327" s="1143"/>
      <c r="L327" s="1143"/>
      <c r="M327" s="1107"/>
      <c r="N327" s="1107"/>
      <c r="O327" s="1107"/>
      <c r="P327" s="1107"/>
      <c r="Q327" s="1107"/>
      <c r="R327" s="1107"/>
      <c r="S327" s="1107"/>
      <c r="T327" s="1107"/>
      <c r="U327" s="1107"/>
      <c r="V327" s="1107"/>
      <c r="W327" s="1107"/>
      <c r="X327" s="1107"/>
      <c r="Y327" s="1107"/>
      <c r="Z327" s="1107"/>
      <c r="AA327" s="1107"/>
      <c r="AB327" s="1107"/>
      <c r="AC327" s="1107"/>
      <c r="AD327" s="1107"/>
    </row>
    <row r="328" spans="1:32" ht="15" customHeight="1">
      <c r="A328" s="1142"/>
      <c r="B328" s="1142"/>
      <c r="C328" s="869"/>
      <c r="D328" s="1143"/>
      <c r="E328" s="1143"/>
      <c r="F328" s="1106"/>
      <c r="G328" s="869"/>
      <c r="H328" s="869"/>
      <c r="I328" s="1143"/>
      <c r="J328" s="1143"/>
      <c r="K328" s="1143"/>
      <c r="L328" s="1143"/>
      <c r="M328" s="1107"/>
      <c r="N328" s="1107"/>
      <c r="O328" s="1107"/>
      <c r="P328" s="1107"/>
      <c r="Q328" s="1107"/>
      <c r="R328" s="1107"/>
      <c r="S328" s="1107"/>
      <c r="T328" s="1107"/>
      <c r="U328" s="1107"/>
      <c r="V328" s="1107"/>
      <c r="W328" s="1107"/>
      <c r="X328" s="1107"/>
      <c r="Y328" s="1107"/>
      <c r="Z328" s="1107"/>
      <c r="AA328" s="1107"/>
      <c r="AB328" s="1107"/>
      <c r="AC328" s="1107"/>
      <c r="AD328" s="1107"/>
    </row>
    <row r="329" spans="1:32" ht="15" customHeight="1">
      <c r="A329" s="1142"/>
      <c r="B329" s="1142"/>
      <c r="C329" s="869"/>
      <c r="D329" s="1143"/>
      <c r="E329" s="1143"/>
      <c r="F329" s="1106"/>
      <c r="G329" s="869"/>
      <c r="H329" s="869"/>
      <c r="I329" s="1143"/>
      <c r="J329" s="1143"/>
      <c r="K329" s="1143"/>
      <c r="L329" s="1143"/>
      <c r="M329" s="1107"/>
      <c r="N329" s="1107"/>
      <c r="O329" s="1107"/>
      <c r="P329" s="1107"/>
      <c r="Q329" s="1107"/>
      <c r="R329" s="1107"/>
      <c r="S329" s="1107"/>
      <c r="T329" s="1107"/>
      <c r="U329" s="1107"/>
      <c r="V329" s="1107"/>
      <c r="W329" s="1107"/>
      <c r="X329" s="1107"/>
      <c r="Y329" s="1107"/>
      <c r="Z329" s="1107"/>
      <c r="AA329" s="1107"/>
      <c r="AB329" s="1107"/>
      <c r="AC329" s="1107"/>
      <c r="AD329" s="1107"/>
    </row>
    <row r="330" spans="1:32" ht="15" customHeight="1">
      <c r="A330" s="1142"/>
      <c r="B330" s="1142"/>
      <c r="C330" s="869"/>
      <c r="D330" s="1143"/>
      <c r="E330" s="1143"/>
      <c r="F330" s="1106"/>
      <c r="G330" s="869"/>
      <c r="H330" s="869"/>
      <c r="I330" s="1143"/>
      <c r="J330" s="1143"/>
      <c r="K330" s="1143"/>
      <c r="L330" s="1143"/>
      <c r="M330" s="1107"/>
      <c r="N330" s="1107"/>
      <c r="O330" s="1107"/>
      <c r="P330" s="1107"/>
      <c r="Q330" s="1107"/>
      <c r="R330" s="1107"/>
      <c r="S330" s="1107"/>
      <c r="T330" s="1107"/>
      <c r="U330" s="1107"/>
      <c r="V330" s="1107"/>
      <c r="W330" s="1107"/>
      <c r="X330" s="1107"/>
      <c r="Y330" s="1107"/>
      <c r="Z330" s="1107"/>
      <c r="AA330" s="1107"/>
      <c r="AB330" s="1107"/>
      <c r="AC330" s="1107"/>
      <c r="AD330" s="1107"/>
    </row>
    <row r="331" spans="1:32" ht="15" customHeight="1">
      <c r="A331" s="1142"/>
      <c r="B331" s="1142"/>
      <c r="C331" s="869"/>
      <c r="D331" s="1143"/>
      <c r="E331" s="1143"/>
      <c r="F331" s="1106"/>
      <c r="G331" s="869"/>
      <c r="H331" s="869"/>
      <c r="I331" s="1143"/>
      <c r="J331" s="1143"/>
      <c r="K331" s="1143"/>
      <c r="L331" s="1143"/>
      <c r="M331" s="1107"/>
      <c r="N331" s="1107"/>
      <c r="O331" s="1107"/>
      <c r="P331" s="1107"/>
      <c r="Q331" s="1107"/>
      <c r="R331" s="1107"/>
      <c r="S331" s="1107"/>
      <c r="T331" s="1107"/>
      <c r="U331" s="1107"/>
      <c r="V331" s="1107"/>
      <c r="W331" s="1107"/>
      <c r="X331" s="1107"/>
      <c r="Y331" s="1107"/>
      <c r="Z331" s="1107"/>
      <c r="AA331" s="1107"/>
      <c r="AB331" s="1107"/>
      <c r="AC331" s="1107"/>
      <c r="AD331" s="1107"/>
    </row>
    <row r="332" spans="1:32" ht="15" customHeight="1">
      <c r="A332" s="1142"/>
      <c r="B332" s="1142"/>
      <c r="C332" s="869"/>
      <c r="D332" s="1143"/>
      <c r="E332" s="1143"/>
      <c r="F332" s="1106"/>
      <c r="G332" s="869"/>
      <c r="H332" s="869"/>
      <c r="I332" s="1143"/>
      <c r="J332" s="1143"/>
      <c r="K332" s="1143"/>
      <c r="L332" s="1143"/>
      <c r="M332" s="1107"/>
      <c r="N332" s="1107"/>
      <c r="O332" s="1107"/>
      <c r="P332" s="1107"/>
      <c r="Q332" s="1107"/>
      <c r="R332" s="1107"/>
      <c r="S332" s="1107"/>
      <c r="T332" s="1107"/>
      <c r="U332" s="1107"/>
      <c r="V332" s="1107"/>
      <c r="W332" s="1107"/>
      <c r="X332" s="1107"/>
      <c r="Y332" s="1107"/>
      <c r="Z332" s="1107"/>
      <c r="AA332" s="1107"/>
      <c r="AB332" s="1107"/>
      <c r="AC332" s="1107"/>
      <c r="AD332" s="1107"/>
    </row>
    <row r="333" spans="1:32" ht="15" customHeight="1">
      <c r="A333" s="1142"/>
      <c r="B333" s="1142"/>
      <c r="C333" s="869"/>
      <c r="D333" s="1143"/>
      <c r="E333" s="1143"/>
      <c r="F333" s="1106"/>
      <c r="G333" s="869"/>
      <c r="H333" s="869"/>
      <c r="I333" s="1143"/>
      <c r="J333" s="1143"/>
      <c r="K333" s="1143"/>
      <c r="L333" s="1143"/>
      <c r="M333" s="1107"/>
      <c r="N333" s="1107"/>
      <c r="O333" s="1107"/>
      <c r="P333" s="1107"/>
      <c r="Q333" s="1107"/>
      <c r="R333" s="1107"/>
      <c r="S333" s="1107"/>
      <c r="T333" s="1107"/>
      <c r="U333" s="1107"/>
      <c r="V333" s="1107"/>
      <c r="W333" s="1107"/>
      <c r="X333" s="1107"/>
      <c r="Y333" s="1107"/>
      <c r="Z333" s="1107"/>
      <c r="AA333" s="1107"/>
      <c r="AB333" s="1107"/>
      <c r="AC333" s="1107"/>
      <c r="AD333" s="1107"/>
    </row>
    <row r="334" spans="1:32" ht="15" customHeight="1">
      <c r="A334" s="1142"/>
      <c r="B334" s="1142"/>
      <c r="C334" s="869"/>
      <c r="D334" s="1143"/>
      <c r="E334" s="1143"/>
      <c r="F334" s="1106"/>
      <c r="G334" s="869"/>
      <c r="H334" s="869"/>
      <c r="I334" s="1143"/>
      <c r="J334" s="1143"/>
      <c r="K334" s="1143"/>
      <c r="L334" s="1143"/>
      <c r="M334" s="1107"/>
      <c r="N334" s="1107"/>
      <c r="O334" s="1107"/>
      <c r="P334" s="1107"/>
      <c r="Q334" s="1107"/>
      <c r="R334" s="1107"/>
      <c r="S334" s="1107"/>
      <c r="T334" s="1107"/>
      <c r="U334" s="1107"/>
      <c r="V334" s="1107"/>
      <c r="W334" s="1107"/>
      <c r="X334" s="1107"/>
      <c r="Y334" s="1107"/>
      <c r="Z334" s="1107"/>
      <c r="AA334" s="1107"/>
      <c r="AB334" s="1107"/>
      <c r="AC334" s="1107"/>
      <c r="AD334" s="1107"/>
    </row>
    <row r="335" spans="1:32" ht="15" customHeight="1">
      <c r="A335" s="1142"/>
      <c r="B335" s="1142"/>
      <c r="C335" s="869"/>
      <c r="D335" s="1143"/>
      <c r="E335" s="1143"/>
      <c r="F335" s="1106"/>
      <c r="G335" s="869"/>
      <c r="H335" s="869"/>
      <c r="I335" s="1143"/>
      <c r="J335" s="1143"/>
      <c r="K335" s="1143"/>
      <c r="L335" s="1143"/>
      <c r="M335" s="1107"/>
      <c r="N335" s="1107"/>
      <c r="O335" s="1107"/>
      <c r="P335" s="1107"/>
      <c r="Q335" s="1107"/>
      <c r="R335" s="1107"/>
      <c r="S335" s="1107"/>
      <c r="T335" s="1107"/>
      <c r="U335" s="1107"/>
      <c r="V335" s="1107"/>
      <c r="W335" s="1107"/>
      <c r="X335" s="1107"/>
      <c r="Y335" s="1107"/>
      <c r="Z335" s="1107"/>
      <c r="AA335" s="1107"/>
      <c r="AB335" s="1107"/>
      <c r="AC335" s="1107"/>
      <c r="AD335" s="1107"/>
    </row>
    <row r="336" spans="1:32">
      <c r="A336" s="1142"/>
      <c r="B336" s="1142"/>
      <c r="C336" s="869"/>
      <c r="D336" s="1143"/>
      <c r="E336" s="1143"/>
      <c r="F336" s="1106"/>
      <c r="G336" s="869"/>
      <c r="H336" s="869"/>
      <c r="I336" s="1143"/>
      <c r="J336" s="1143"/>
      <c r="K336" s="1143"/>
      <c r="L336" s="1143"/>
      <c r="M336" s="1107"/>
      <c r="N336" s="1107"/>
      <c r="O336" s="1107"/>
      <c r="P336" s="1107"/>
      <c r="Q336" s="1107"/>
      <c r="R336" s="1107"/>
      <c r="S336" s="1107"/>
      <c r="T336" s="1107"/>
      <c r="U336" s="1107"/>
      <c r="V336" s="1107"/>
      <c r="W336" s="1107"/>
      <c r="X336" s="1107"/>
      <c r="Y336" s="1107"/>
      <c r="Z336" s="1107"/>
      <c r="AA336" s="1107"/>
      <c r="AB336" s="1107"/>
      <c r="AC336" s="1107"/>
      <c r="AD336" s="1107"/>
    </row>
    <row r="337" spans="1:30">
      <c r="A337" s="1142"/>
      <c r="B337" s="1142"/>
      <c r="C337" s="869"/>
      <c r="D337" s="1143"/>
      <c r="E337" s="1143"/>
      <c r="F337" s="1106"/>
      <c r="G337" s="869"/>
      <c r="H337" s="869"/>
      <c r="I337" s="1143"/>
      <c r="J337" s="1143"/>
      <c r="K337" s="1143"/>
      <c r="L337" s="1143"/>
      <c r="M337" s="1107"/>
      <c r="N337" s="1107"/>
      <c r="O337" s="1107"/>
      <c r="P337" s="1107"/>
      <c r="Q337" s="1107"/>
      <c r="R337" s="1107"/>
      <c r="S337" s="1107"/>
      <c r="T337" s="1107"/>
      <c r="U337" s="1107"/>
      <c r="V337" s="1107"/>
      <c r="W337" s="1107"/>
      <c r="X337" s="1107"/>
      <c r="Y337" s="1107"/>
      <c r="Z337" s="1107"/>
      <c r="AA337" s="1107"/>
      <c r="AB337" s="1107"/>
      <c r="AC337" s="1107"/>
      <c r="AD337" s="1107"/>
    </row>
    <row r="338" spans="1:30">
      <c r="A338" s="1142"/>
      <c r="B338" s="1142"/>
      <c r="C338" s="869"/>
      <c r="D338" s="1143"/>
      <c r="E338" s="1143"/>
      <c r="F338" s="1106"/>
      <c r="G338" s="869"/>
      <c r="H338" s="869"/>
      <c r="I338" s="1143"/>
      <c r="J338" s="1143"/>
      <c r="K338" s="1143"/>
      <c r="L338" s="1143"/>
      <c r="M338" s="1107"/>
      <c r="N338" s="1107"/>
      <c r="O338" s="1107"/>
      <c r="P338" s="1107"/>
      <c r="Q338" s="1107"/>
      <c r="R338" s="1107"/>
      <c r="S338" s="1107"/>
      <c r="T338" s="1107"/>
      <c r="U338" s="1107"/>
      <c r="V338" s="1107"/>
      <c r="W338" s="1107"/>
      <c r="X338" s="1107"/>
      <c r="Y338" s="1107"/>
      <c r="Z338" s="1107"/>
      <c r="AA338" s="1107"/>
      <c r="AB338" s="1107"/>
      <c r="AC338" s="1107"/>
      <c r="AD338" s="1107"/>
    </row>
    <row r="339" spans="1:30">
      <c r="A339" s="1142"/>
      <c r="B339" s="1142"/>
      <c r="C339" s="869"/>
      <c r="D339" s="1143"/>
      <c r="E339" s="1143"/>
      <c r="F339" s="1106"/>
      <c r="G339" s="869"/>
      <c r="H339" s="869"/>
      <c r="I339" s="1143"/>
      <c r="J339" s="1143"/>
      <c r="K339" s="1143"/>
      <c r="L339" s="1143"/>
      <c r="M339" s="1107"/>
      <c r="N339" s="1107"/>
      <c r="O339" s="1107"/>
      <c r="P339" s="1107"/>
      <c r="Q339" s="1107"/>
      <c r="R339" s="1107"/>
      <c r="S339" s="1107"/>
      <c r="T339" s="1107"/>
      <c r="U339" s="1107"/>
      <c r="V339" s="1107"/>
      <c r="W339" s="1107"/>
      <c r="X339" s="1107"/>
      <c r="Y339" s="1107"/>
      <c r="Z339" s="1107"/>
      <c r="AA339" s="1107"/>
      <c r="AB339" s="1107"/>
      <c r="AC339" s="1107"/>
      <c r="AD339" s="1107"/>
    </row>
    <row r="340" spans="1:30" hidden="1" outlineLevel="1">
      <c r="A340" s="1142"/>
      <c r="B340" s="1142"/>
      <c r="C340" s="869"/>
      <c r="D340" s="1143"/>
      <c r="E340" s="1143"/>
      <c r="F340" s="1106"/>
      <c r="G340" s="869"/>
      <c r="H340" s="869"/>
      <c r="I340" s="1143"/>
      <c r="J340" s="1143"/>
      <c r="K340" s="1143"/>
      <c r="L340" s="1143"/>
      <c r="M340" s="1107"/>
      <c r="N340" s="1107"/>
      <c r="O340" s="1107"/>
      <c r="P340" s="1107"/>
      <c r="Q340" s="1107"/>
      <c r="R340" s="1107"/>
      <c r="S340" s="1107"/>
      <c r="T340" s="1107"/>
      <c r="U340" s="1107"/>
      <c r="V340" s="1107"/>
      <c r="W340" s="1107"/>
      <c r="X340" s="1107"/>
      <c r="Y340" s="1107"/>
      <c r="Z340" s="1107"/>
      <c r="AA340" s="1107"/>
      <c r="AB340" s="1107"/>
      <c r="AC340" s="1107"/>
      <c r="AD340" s="1107"/>
    </row>
    <row r="341" spans="1:30" hidden="1" outlineLevel="1">
      <c r="A341" s="1142"/>
      <c r="B341" s="1142"/>
      <c r="C341" s="869"/>
      <c r="D341" s="1143"/>
      <c r="E341" s="1143"/>
      <c r="F341" s="1106"/>
      <c r="G341" s="869"/>
      <c r="H341" s="869"/>
      <c r="I341" s="1143"/>
      <c r="J341" s="1143"/>
      <c r="K341" s="1143"/>
      <c r="L341" s="1143"/>
      <c r="M341" s="1107"/>
      <c r="N341" s="1107"/>
      <c r="O341" s="1107"/>
      <c r="P341" s="1107"/>
      <c r="Q341" s="1107"/>
      <c r="R341" s="1107"/>
      <c r="S341" s="1107"/>
      <c r="T341" s="1107"/>
      <c r="U341" s="1107"/>
      <c r="V341" s="1107"/>
      <c r="W341" s="1107"/>
      <c r="X341" s="1107"/>
      <c r="Y341" s="1107"/>
      <c r="Z341" s="1107"/>
      <c r="AA341" s="1107"/>
      <c r="AB341" s="1107"/>
      <c r="AC341" s="1107"/>
      <c r="AD341" s="1107"/>
    </row>
    <row r="342" spans="1:30" hidden="1" outlineLevel="1">
      <c r="A342" s="1142"/>
      <c r="B342" s="1142"/>
      <c r="C342" s="869"/>
      <c r="D342" s="1143"/>
      <c r="E342" s="1143"/>
      <c r="F342" s="1106"/>
      <c r="G342" s="869"/>
      <c r="H342" s="869"/>
      <c r="I342" s="1143"/>
      <c r="J342" s="1143"/>
      <c r="K342" s="1143"/>
      <c r="L342" s="1143"/>
      <c r="M342" s="1107"/>
      <c r="N342" s="1107"/>
      <c r="O342" s="1107"/>
      <c r="P342" s="1107"/>
      <c r="Q342" s="1107"/>
      <c r="R342" s="1107"/>
      <c r="S342" s="1107"/>
      <c r="T342" s="1107"/>
      <c r="U342" s="1107"/>
      <c r="V342" s="1107"/>
      <c r="W342" s="1107"/>
      <c r="X342" s="1107"/>
      <c r="Y342" s="1107"/>
      <c r="Z342" s="1107"/>
      <c r="AA342" s="1107"/>
      <c r="AB342" s="1107"/>
      <c r="AC342" s="1107"/>
      <c r="AD342" s="1107"/>
    </row>
    <row r="343" spans="1:30" hidden="1" outlineLevel="1">
      <c r="A343" s="1142"/>
      <c r="B343" s="1142"/>
      <c r="C343" s="869"/>
      <c r="D343" s="1143"/>
      <c r="E343" s="1143"/>
      <c r="F343" s="1106"/>
      <c r="G343" s="869"/>
      <c r="H343" s="869"/>
      <c r="I343" s="1143"/>
      <c r="J343" s="1143"/>
      <c r="K343" s="1143"/>
      <c r="L343" s="1143"/>
      <c r="M343" s="1107"/>
      <c r="N343" s="1107"/>
      <c r="O343" s="1107"/>
      <c r="P343" s="1107"/>
      <c r="Q343" s="1107"/>
      <c r="R343" s="1107"/>
      <c r="S343" s="1107"/>
      <c r="T343" s="1107"/>
      <c r="U343" s="1107"/>
      <c r="V343" s="1107"/>
      <c r="W343" s="1107"/>
      <c r="X343" s="1107"/>
      <c r="Y343" s="1107"/>
      <c r="Z343" s="1107"/>
      <c r="AA343" s="1107"/>
      <c r="AB343" s="1107"/>
      <c r="AC343" s="1107"/>
      <c r="AD343" s="1107"/>
    </row>
    <row r="344" spans="1:30" hidden="1" outlineLevel="1">
      <c r="A344" s="1142"/>
      <c r="B344" s="1142"/>
      <c r="C344" s="869"/>
      <c r="D344" s="1143"/>
      <c r="E344" s="1143"/>
      <c r="F344" s="1106"/>
      <c r="G344" s="869"/>
      <c r="H344" s="869"/>
      <c r="I344" s="1143"/>
      <c r="J344" s="1143"/>
      <c r="K344" s="1143"/>
      <c r="L344" s="1143"/>
      <c r="M344" s="1107"/>
      <c r="N344" s="1107"/>
      <c r="O344" s="1107"/>
      <c r="P344" s="1107"/>
      <c r="Q344" s="1107"/>
      <c r="R344" s="1107"/>
      <c r="S344" s="1107"/>
      <c r="T344" s="1107"/>
      <c r="U344" s="1107"/>
      <c r="V344" s="1107"/>
      <c r="W344" s="1107"/>
      <c r="X344" s="1107"/>
      <c r="Y344" s="1107"/>
      <c r="Z344" s="1107"/>
      <c r="AA344" s="1107"/>
      <c r="AB344" s="1107"/>
      <c r="AC344" s="1107"/>
      <c r="AD344" s="1107"/>
    </row>
    <row r="345" spans="1:30" hidden="1" outlineLevel="1">
      <c r="A345" s="1142"/>
      <c r="B345" s="1142"/>
      <c r="C345" s="869"/>
      <c r="D345" s="1143"/>
      <c r="E345" s="1143"/>
      <c r="F345" s="1106"/>
      <c r="G345" s="869"/>
      <c r="H345" s="869"/>
      <c r="I345" s="1143"/>
      <c r="J345" s="1143"/>
      <c r="K345" s="1143"/>
      <c r="L345" s="1143"/>
      <c r="M345" s="1107"/>
      <c r="N345" s="1107"/>
      <c r="O345" s="1107"/>
      <c r="P345" s="1107"/>
      <c r="Q345" s="1107"/>
      <c r="R345" s="1107"/>
      <c r="S345" s="1107"/>
      <c r="T345" s="1107"/>
      <c r="U345" s="1107"/>
      <c r="V345" s="1107"/>
      <c r="W345" s="1107"/>
      <c r="X345" s="1107"/>
      <c r="Y345" s="1107"/>
      <c r="Z345" s="1107"/>
      <c r="AA345" s="1107"/>
      <c r="AB345" s="1107"/>
      <c r="AC345" s="1107"/>
      <c r="AD345" s="1107"/>
    </row>
    <row r="346" spans="1:30" hidden="1" outlineLevel="1">
      <c r="A346" s="1142"/>
      <c r="B346" s="1142"/>
      <c r="C346" s="869"/>
      <c r="D346" s="1143"/>
      <c r="E346" s="1143"/>
      <c r="F346" s="1106"/>
      <c r="G346" s="869"/>
      <c r="H346" s="869"/>
      <c r="I346" s="1143"/>
      <c r="J346" s="1143"/>
      <c r="K346" s="1143"/>
      <c r="L346" s="1143"/>
      <c r="M346" s="1107"/>
      <c r="N346" s="1107"/>
      <c r="O346" s="1107"/>
      <c r="P346" s="1107"/>
      <c r="Q346" s="1107"/>
      <c r="R346" s="1107"/>
      <c r="S346" s="1107"/>
      <c r="T346" s="1107"/>
      <c r="U346" s="1107"/>
      <c r="V346" s="1107"/>
      <c r="W346" s="1107"/>
      <c r="X346" s="1107"/>
      <c r="Y346" s="1107"/>
      <c r="Z346" s="1107"/>
      <c r="AA346" s="1107"/>
      <c r="AB346" s="1107"/>
      <c r="AC346" s="1107"/>
      <c r="AD346" s="1107"/>
    </row>
    <row r="347" spans="1:30" hidden="1" outlineLevel="1">
      <c r="A347" s="1142"/>
      <c r="B347" s="1142"/>
      <c r="C347" s="869"/>
      <c r="D347" s="1143"/>
      <c r="E347" s="1143"/>
      <c r="F347" s="1106"/>
      <c r="G347" s="869"/>
      <c r="H347" s="869"/>
      <c r="I347" s="1143"/>
      <c r="J347" s="1143"/>
      <c r="K347" s="1143"/>
      <c r="L347" s="1143"/>
      <c r="M347" s="1107"/>
      <c r="N347" s="1107"/>
      <c r="O347" s="1107"/>
      <c r="P347" s="1107"/>
      <c r="Q347" s="1107"/>
      <c r="R347" s="1107"/>
      <c r="S347" s="1107"/>
      <c r="T347" s="1107"/>
      <c r="U347" s="1107"/>
      <c r="V347" s="1107"/>
      <c r="W347" s="1107"/>
      <c r="X347" s="1107"/>
      <c r="Y347" s="1107"/>
      <c r="Z347" s="1107"/>
      <c r="AA347" s="1107"/>
      <c r="AB347" s="1107"/>
      <c r="AC347" s="1107"/>
      <c r="AD347" s="1107"/>
    </row>
    <row r="348" spans="1:30" hidden="1" outlineLevel="1">
      <c r="A348" s="1142"/>
      <c r="B348" s="1142"/>
      <c r="C348" s="869"/>
      <c r="D348" s="1143"/>
      <c r="E348" s="1143"/>
      <c r="F348" s="1106"/>
      <c r="G348" s="869"/>
      <c r="H348" s="869"/>
      <c r="I348" s="1143"/>
      <c r="J348" s="1143"/>
      <c r="K348" s="1143"/>
      <c r="L348" s="1143"/>
      <c r="M348" s="1107"/>
      <c r="N348" s="1107"/>
      <c r="O348" s="1107"/>
      <c r="P348" s="1107"/>
      <c r="Q348" s="1107"/>
      <c r="R348" s="1107"/>
      <c r="S348" s="1107"/>
      <c r="T348" s="1107"/>
      <c r="U348" s="1107"/>
      <c r="V348" s="1107"/>
      <c r="W348" s="1107"/>
      <c r="X348" s="1107"/>
      <c r="Y348" s="1107"/>
      <c r="Z348" s="1107"/>
      <c r="AA348" s="1107"/>
      <c r="AB348" s="1107"/>
      <c r="AC348" s="1107"/>
      <c r="AD348" s="1107"/>
    </row>
    <row r="349" spans="1:30" hidden="1" outlineLevel="1">
      <c r="A349" s="869"/>
      <c r="B349" s="869"/>
      <c r="C349" s="869"/>
      <c r="D349" s="869"/>
      <c r="E349" s="869"/>
      <c r="F349" s="869"/>
      <c r="G349" s="869"/>
      <c r="H349" s="869"/>
      <c r="I349" s="869"/>
      <c r="J349" s="869"/>
      <c r="K349" s="869"/>
      <c r="L349" s="869"/>
      <c r="M349" s="869"/>
      <c r="N349" s="869"/>
      <c r="O349" s="869"/>
      <c r="P349" s="869"/>
      <c r="Q349" s="869"/>
      <c r="R349" s="869"/>
      <c r="S349" s="869"/>
      <c r="T349" s="869"/>
      <c r="U349" s="869"/>
      <c r="V349" s="869"/>
      <c r="W349" s="869"/>
      <c r="X349" s="869"/>
      <c r="Y349" s="869"/>
      <c r="Z349" s="869"/>
      <c r="AA349" s="869"/>
      <c r="AB349" s="869"/>
      <c r="AC349" s="869"/>
      <c r="AD349" s="869"/>
    </row>
    <row r="350" spans="1:30" collapsed="1">
      <c r="A350" s="1108"/>
      <c r="B350" s="1328"/>
      <c r="C350" s="1328"/>
      <c r="D350" s="1328"/>
      <c r="E350" s="1328"/>
      <c r="F350" s="1328"/>
      <c r="G350" s="1328"/>
      <c r="H350" s="1328"/>
      <c r="I350" s="1328"/>
      <c r="J350" s="1328"/>
      <c r="K350" s="1328"/>
      <c r="L350" s="1328"/>
      <c r="M350" s="1109"/>
      <c r="N350" s="1109"/>
      <c r="O350" s="1109"/>
      <c r="P350" s="1109"/>
      <c r="Q350" s="1109"/>
      <c r="R350" s="1109"/>
      <c r="S350" s="1109"/>
      <c r="T350" s="1109"/>
      <c r="U350" s="1109"/>
      <c r="V350" s="1109"/>
      <c r="W350" s="1109"/>
      <c r="X350" s="1109"/>
      <c r="Y350" s="1109"/>
      <c r="Z350" s="1109"/>
      <c r="AA350" s="1109"/>
      <c r="AB350" s="1109"/>
      <c r="AC350" s="1109"/>
      <c r="AD350" s="1109"/>
    </row>
    <row r="351" spans="1:30">
      <c r="A351" s="869"/>
      <c r="B351" s="1106"/>
      <c r="C351" s="1107"/>
      <c r="D351" s="1107"/>
      <c r="E351" s="1107"/>
      <c r="F351" s="1107"/>
      <c r="G351" s="1107"/>
      <c r="H351" s="1106"/>
      <c r="I351" s="1107"/>
      <c r="J351" s="1106"/>
    </row>
    <row r="352" spans="1:30" ht="26.25" customHeight="1">
      <c r="A352" s="870" t="s">
        <v>692</v>
      </c>
      <c r="B352" s="870" t="s">
        <v>1608</v>
      </c>
      <c r="C352" s="870" t="s">
        <v>1609</v>
      </c>
      <c r="D352" s="870" t="s">
        <v>2276</v>
      </c>
      <c r="E352" s="870" t="s">
        <v>2277</v>
      </c>
      <c r="F352" s="870" t="s">
        <v>1610</v>
      </c>
      <c r="G352" s="870" t="s">
        <v>1611</v>
      </c>
      <c r="H352" s="870" t="s">
        <v>1612</v>
      </c>
      <c r="I352" s="870" t="s">
        <v>596</v>
      </c>
      <c r="J352" s="870" t="s">
        <v>1613</v>
      </c>
      <c r="T352" s="1322" t="s">
        <v>1615</v>
      </c>
      <c r="U352" s="1323"/>
      <c r="V352" s="1323"/>
      <c r="W352" s="1324"/>
      <c r="X352" s="869"/>
      <c r="Y352" s="1322" t="s">
        <v>1616</v>
      </c>
      <c r="Z352" s="1324"/>
    </row>
    <row r="353" spans="1:26" ht="25.5">
      <c r="A353" s="871" t="s">
        <v>804</v>
      </c>
      <c r="B353" s="872">
        <v>1</v>
      </c>
      <c r="C353" s="873">
        <v>570</v>
      </c>
      <c r="D353" s="873">
        <v>1576.6</v>
      </c>
      <c r="E353" s="873">
        <v>2.77</v>
      </c>
      <c r="F353" s="873">
        <v>1457</v>
      </c>
      <c r="G353" s="873">
        <v>2.56</v>
      </c>
      <c r="H353" s="872">
        <v>1</v>
      </c>
      <c r="I353" s="873">
        <v>100</v>
      </c>
      <c r="J353" s="872">
        <v>0</v>
      </c>
      <c r="T353" s="876" t="s">
        <v>1617</v>
      </c>
      <c r="U353" s="876" t="s">
        <v>316</v>
      </c>
      <c r="V353" s="876" t="s">
        <v>1608</v>
      </c>
      <c r="W353" s="876" t="s">
        <v>1618</v>
      </c>
      <c r="X353" s="869"/>
      <c r="Y353" s="876" t="s">
        <v>400</v>
      </c>
      <c r="Z353" s="876" t="s">
        <v>392</v>
      </c>
    </row>
    <row r="354" spans="1:26" ht="25.5">
      <c r="A354" s="871" t="s">
        <v>830</v>
      </c>
      <c r="B354" s="872">
        <v>5</v>
      </c>
      <c r="C354" s="873">
        <v>934</v>
      </c>
      <c r="D354" s="873">
        <v>1959.2</v>
      </c>
      <c r="E354" s="873">
        <v>2.1</v>
      </c>
      <c r="F354" s="873">
        <v>1814.4</v>
      </c>
      <c r="G354" s="873">
        <v>1.94</v>
      </c>
      <c r="H354" s="872">
        <v>5</v>
      </c>
      <c r="I354" s="873">
        <v>100</v>
      </c>
      <c r="J354" s="872">
        <v>0</v>
      </c>
      <c r="T354" s="871" t="s">
        <v>1619</v>
      </c>
      <c r="U354" s="1371">
        <v>510283.6</v>
      </c>
      <c r="V354" s="872">
        <v>246</v>
      </c>
      <c r="W354" s="1371">
        <v>469681</v>
      </c>
      <c r="X354" s="869"/>
      <c r="Y354" s="871" t="s">
        <v>705</v>
      </c>
      <c r="Z354" s="1371">
        <v>4000</v>
      </c>
    </row>
    <row r="355" spans="1:26" ht="25.5">
      <c r="A355" s="871" t="s">
        <v>2031</v>
      </c>
      <c r="B355" s="872">
        <v>6</v>
      </c>
      <c r="C355" s="873">
        <v>932</v>
      </c>
      <c r="D355" s="873">
        <v>2038.1</v>
      </c>
      <c r="E355" s="873">
        <v>2.19</v>
      </c>
      <c r="F355" s="873">
        <v>1976.25</v>
      </c>
      <c r="G355" s="873">
        <v>2.12</v>
      </c>
      <c r="H355" s="872">
        <v>4</v>
      </c>
      <c r="I355" s="873">
        <v>66.67</v>
      </c>
      <c r="J355" s="872">
        <v>0</v>
      </c>
      <c r="T355" s="871" t="s">
        <v>1620</v>
      </c>
      <c r="U355" s="1371">
        <v>39767.800000000003</v>
      </c>
      <c r="V355" s="872">
        <v>18</v>
      </c>
      <c r="W355" s="1371">
        <v>33978</v>
      </c>
      <c r="X355" s="869"/>
      <c r="Y355" s="871" t="s">
        <v>710</v>
      </c>
      <c r="Z355" s="1371">
        <v>1175</v>
      </c>
    </row>
    <row r="356" spans="1:26" ht="25.5">
      <c r="A356" s="871" t="s">
        <v>2012</v>
      </c>
      <c r="B356" s="872">
        <v>7</v>
      </c>
      <c r="C356" s="873">
        <v>1037</v>
      </c>
      <c r="D356" s="873">
        <v>2113.31</v>
      </c>
      <c r="E356" s="873">
        <v>2.04</v>
      </c>
      <c r="F356" s="873">
        <v>2082.67</v>
      </c>
      <c r="G356" s="873">
        <v>2.0099999999999998</v>
      </c>
      <c r="H356" s="872">
        <v>3</v>
      </c>
      <c r="I356" s="873">
        <v>42.86</v>
      </c>
      <c r="J356" s="872">
        <v>0</v>
      </c>
      <c r="T356" s="871" t="s">
        <v>1621</v>
      </c>
      <c r="U356" s="1371">
        <v>1960.6</v>
      </c>
      <c r="V356" s="872">
        <v>1</v>
      </c>
      <c r="W356" s="1371">
        <v>1601</v>
      </c>
      <c r="X356" s="869"/>
      <c r="Y356" s="871" t="s">
        <v>712</v>
      </c>
      <c r="Z356" s="1371">
        <v>-5377.46</v>
      </c>
    </row>
    <row r="357" spans="1:26" ht="25.5">
      <c r="A357" s="871" t="s">
        <v>1999</v>
      </c>
      <c r="B357" s="872">
        <v>11</v>
      </c>
      <c r="C357" s="873">
        <v>1036</v>
      </c>
      <c r="D357" s="873">
        <v>2026.15</v>
      </c>
      <c r="E357" s="873">
        <v>1.96</v>
      </c>
      <c r="F357" s="873">
        <v>1828</v>
      </c>
      <c r="G357" s="873">
        <v>1.76</v>
      </c>
      <c r="H357" s="872">
        <v>11</v>
      </c>
      <c r="I357" s="873">
        <v>100</v>
      </c>
      <c r="J357" s="872">
        <v>0</v>
      </c>
      <c r="T357" s="871" t="s">
        <v>1622</v>
      </c>
      <c r="U357" s="1371">
        <v>12247</v>
      </c>
      <c r="V357" s="872">
        <v>5</v>
      </c>
      <c r="W357" s="1371">
        <v>12247</v>
      </c>
      <c r="X357" s="869"/>
      <c r="Y357" s="871" t="s">
        <v>2204</v>
      </c>
      <c r="Z357" s="1371">
        <v>-14144.61</v>
      </c>
    </row>
    <row r="358" spans="1:26">
      <c r="A358" s="871" t="s">
        <v>744</v>
      </c>
      <c r="B358" s="872">
        <v>15</v>
      </c>
      <c r="C358" s="873">
        <v>908</v>
      </c>
      <c r="D358" s="873">
        <v>1957.73</v>
      </c>
      <c r="E358" s="873">
        <v>2.16</v>
      </c>
      <c r="F358" s="873">
        <v>1825.6</v>
      </c>
      <c r="G358" s="873">
        <v>2.0099999999999998</v>
      </c>
      <c r="H358" s="872">
        <v>15</v>
      </c>
      <c r="I358" s="873">
        <v>100</v>
      </c>
      <c r="J358" s="872">
        <v>0</v>
      </c>
      <c r="T358" s="871" t="s">
        <v>763</v>
      </c>
      <c r="U358" s="1371">
        <v>71586</v>
      </c>
      <c r="V358" s="872">
        <v>35</v>
      </c>
      <c r="W358" s="1371">
        <v>71586</v>
      </c>
      <c r="X358" s="869"/>
      <c r="Y358" s="871" t="s">
        <v>707</v>
      </c>
      <c r="Z358" s="1371">
        <v>3214.5</v>
      </c>
    </row>
    <row r="359" spans="1:26" ht="25.5">
      <c r="A359" s="871" t="s">
        <v>772</v>
      </c>
      <c r="B359" s="872">
        <v>23</v>
      </c>
      <c r="C359" s="873">
        <v>937</v>
      </c>
      <c r="D359" s="873">
        <v>2032.95</v>
      </c>
      <c r="E359" s="873">
        <v>2.17</v>
      </c>
      <c r="F359" s="873">
        <v>1831.8</v>
      </c>
      <c r="G359" s="873">
        <v>1.96</v>
      </c>
      <c r="H359" s="872">
        <v>20</v>
      </c>
      <c r="I359" s="873">
        <v>86.96</v>
      </c>
      <c r="J359" s="872">
        <v>3</v>
      </c>
      <c r="T359" s="871" t="s">
        <v>1623</v>
      </c>
      <c r="U359" s="1371">
        <v>7094.8</v>
      </c>
      <c r="V359" s="872">
        <v>3</v>
      </c>
      <c r="W359" s="1371">
        <v>7094.8</v>
      </c>
      <c r="X359" s="869"/>
      <c r="Y359" s="871" t="s">
        <v>1997</v>
      </c>
      <c r="Z359" s="1371">
        <v>-1897</v>
      </c>
    </row>
    <row r="360" spans="1:26">
      <c r="A360" s="871" t="s">
        <v>727</v>
      </c>
      <c r="B360" s="872">
        <v>15</v>
      </c>
      <c r="C360" s="873">
        <v>1000</v>
      </c>
      <c r="D360" s="873">
        <v>2079.8000000000002</v>
      </c>
      <c r="E360" s="873">
        <v>2.08</v>
      </c>
      <c r="F360" s="873">
        <v>1866.14</v>
      </c>
      <c r="G360" s="873">
        <v>1.87</v>
      </c>
      <c r="H360" s="872">
        <v>14</v>
      </c>
      <c r="I360" s="873">
        <v>93.33</v>
      </c>
      <c r="J360" s="872">
        <v>1</v>
      </c>
      <c r="T360" s="1325"/>
      <c r="U360" s="1326"/>
      <c r="V360" s="1326"/>
      <c r="W360" s="1327"/>
      <c r="X360" s="869"/>
      <c r="Y360" s="871" t="s">
        <v>711</v>
      </c>
      <c r="Z360" s="1371">
        <v>3150</v>
      </c>
    </row>
    <row r="361" spans="1:26">
      <c r="A361" s="871" t="s">
        <v>1590</v>
      </c>
      <c r="B361" s="872">
        <v>1</v>
      </c>
      <c r="C361" s="873">
        <v>1075</v>
      </c>
      <c r="D361" s="873">
        <v>2205.6</v>
      </c>
      <c r="E361" s="873">
        <v>2.0499999999999998</v>
      </c>
      <c r="F361" s="873">
        <v>2024</v>
      </c>
      <c r="G361" s="873">
        <v>1.88</v>
      </c>
      <c r="H361" s="872">
        <v>1</v>
      </c>
      <c r="I361" s="873">
        <v>100</v>
      </c>
      <c r="J361" s="872">
        <v>0</v>
      </c>
      <c r="T361" s="874" t="s">
        <v>190</v>
      </c>
      <c r="U361" s="1375">
        <v>642939.80000000005</v>
      </c>
      <c r="V361" s="875">
        <v>308</v>
      </c>
      <c r="W361" s="1375">
        <v>596187.80000000005</v>
      </c>
      <c r="X361" s="869"/>
      <c r="Y361" s="871" t="s">
        <v>706</v>
      </c>
      <c r="Z361" s="1371">
        <v>4837</v>
      </c>
    </row>
    <row r="362" spans="1:26">
      <c r="A362" s="871" t="s">
        <v>789</v>
      </c>
      <c r="B362" s="872">
        <v>7</v>
      </c>
      <c r="C362" s="873">
        <v>645</v>
      </c>
      <c r="D362" s="873">
        <v>1668.74</v>
      </c>
      <c r="E362" s="873">
        <v>2.59</v>
      </c>
      <c r="F362" s="873">
        <v>1484</v>
      </c>
      <c r="G362" s="873">
        <v>2.2999999999999998</v>
      </c>
      <c r="H362" s="872">
        <v>4</v>
      </c>
      <c r="I362" s="873">
        <v>57.14</v>
      </c>
      <c r="J362" s="872">
        <v>0</v>
      </c>
      <c r="T362" s="869"/>
      <c r="U362" s="869"/>
      <c r="V362" s="869"/>
      <c r="W362" s="869"/>
      <c r="X362" s="869"/>
      <c r="Y362" s="871" t="s">
        <v>708</v>
      </c>
      <c r="Z362" s="1371">
        <v>1320</v>
      </c>
    </row>
    <row r="363" spans="1:26">
      <c r="A363" s="871" t="s">
        <v>753</v>
      </c>
      <c r="B363" s="872">
        <v>8</v>
      </c>
      <c r="C363" s="873">
        <v>609</v>
      </c>
      <c r="D363" s="873">
        <v>1663.48</v>
      </c>
      <c r="E363" s="873">
        <v>2.73</v>
      </c>
      <c r="F363" s="873">
        <v>1471.5</v>
      </c>
      <c r="G363" s="873">
        <v>2.42</v>
      </c>
      <c r="H363" s="872">
        <v>8</v>
      </c>
      <c r="I363" s="873">
        <v>100</v>
      </c>
      <c r="J363" s="872">
        <v>1</v>
      </c>
      <c r="T363" s="869"/>
      <c r="U363" s="869"/>
      <c r="V363" s="869"/>
      <c r="W363" s="869"/>
      <c r="X363" s="869"/>
      <c r="Y363" s="871" t="s">
        <v>713</v>
      </c>
      <c r="Z363" s="1372">
        <v>5</v>
      </c>
    </row>
    <row r="364" spans="1:26">
      <c r="A364" s="871" t="s">
        <v>2013</v>
      </c>
      <c r="B364" s="872">
        <v>14</v>
      </c>
      <c r="C364" s="873">
        <v>698</v>
      </c>
      <c r="D364" s="873">
        <v>1758.03</v>
      </c>
      <c r="E364" s="873">
        <v>2.52</v>
      </c>
      <c r="F364" s="873">
        <v>1432.1</v>
      </c>
      <c r="G364" s="873">
        <v>2.0499999999999998</v>
      </c>
      <c r="H364" s="872">
        <v>10</v>
      </c>
      <c r="I364" s="873">
        <v>71.430000000000007</v>
      </c>
      <c r="J364" s="872">
        <v>2</v>
      </c>
      <c r="T364" s="869"/>
      <c r="U364" s="869"/>
      <c r="V364" s="869"/>
      <c r="W364" s="869"/>
      <c r="X364" s="869"/>
      <c r="Y364" s="871" t="s">
        <v>703</v>
      </c>
      <c r="Z364" s="1373">
        <v>505260</v>
      </c>
    </row>
    <row r="365" spans="1:26">
      <c r="A365" s="871" t="s">
        <v>815</v>
      </c>
      <c r="B365" s="872">
        <v>21</v>
      </c>
      <c r="C365" s="873">
        <v>698</v>
      </c>
      <c r="D365" s="873">
        <v>1730.89</v>
      </c>
      <c r="E365" s="873">
        <v>2.48</v>
      </c>
      <c r="F365" s="873">
        <v>1609.62</v>
      </c>
      <c r="G365" s="873">
        <v>2.31</v>
      </c>
      <c r="H365" s="872">
        <v>21</v>
      </c>
      <c r="I365" s="873">
        <v>100</v>
      </c>
      <c r="J365" s="872">
        <v>1</v>
      </c>
      <c r="T365" s="869"/>
      <c r="U365" s="869"/>
      <c r="V365" s="1148"/>
      <c r="W365" s="869"/>
      <c r="X365" s="869"/>
      <c r="Y365" s="871" t="s">
        <v>1996</v>
      </c>
      <c r="Z365" s="1371">
        <v>1300</v>
      </c>
    </row>
    <row r="366" spans="1:26">
      <c r="A366" s="871" t="s">
        <v>2002</v>
      </c>
      <c r="B366" s="872">
        <v>1</v>
      </c>
      <c r="C366" s="873">
        <v>730</v>
      </c>
      <c r="D366" s="873">
        <v>1571.6</v>
      </c>
      <c r="E366" s="873">
        <v>2.15</v>
      </c>
      <c r="F366" s="873">
        <v>1437</v>
      </c>
      <c r="G366" s="873">
        <v>1.97</v>
      </c>
      <c r="H366" s="872">
        <v>1</v>
      </c>
      <c r="I366" s="873">
        <v>100</v>
      </c>
      <c r="J366" s="872">
        <v>0</v>
      </c>
      <c r="T366" s="869"/>
      <c r="U366" s="869"/>
      <c r="V366" s="869"/>
      <c r="W366" s="869"/>
      <c r="X366" s="869"/>
      <c r="Y366" s="1279" t="s">
        <v>704</v>
      </c>
      <c r="Z366" s="1374">
        <v>7150</v>
      </c>
    </row>
    <row r="367" spans="1:26">
      <c r="A367" s="871" t="s">
        <v>1194</v>
      </c>
      <c r="B367" s="872">
        <v>6</v>
      </c>
      <c r="C367" s="873">
        <v>684</v>
      </c>
      <c r="D367" s="873">
        <v>1734.6</v>
      </c>
      <c r="E367" s="873">
        <v>2.54</v>
      </c>
      <c r="F367" s="873">
        <v>1625.83</v>
      </c>
      <c r="G367" s="873">
        <v>2.38</v>
      </c>
      <c r="H367" s="872">
        <v>6</v>
      </c>
      <c r="I367" s="873">
        <v>100</v>
      </c>
      <c r="J367" s="872">
        <v>0</v>
      </c>
      <c r="T367" s="869"/>
      <c r="U367" s="869"/>
      <c r="V367" s="869"/>
      <c r="W367" s="869"/>
      <c r="X367" s="869"/>
      <c r="Y367" s="874" t="s">
        <v>709</v>
      </c>
      <c r="Z367" s="1375">
        <v>356.5</v>
      </c>
    </row>
    <row r="368" spans="1:26">
      <c r="A368" s="871" t="s">
        <v>2009</v>
      </c>
      <c r="B368" s="872">
        <v>8</v>
      </c>
      <c r="C368" s="873">
        <v>791</v>
      </c>
      <c r="D368" s="873">
        <v>1882.85</v>
      </c>
      <c r="E368" s="873">
        <v>2.38</v>
      </c>
      <c r="F368" s="873">
        <v>1724</v>
      </c>
      <c r="G368" s="873">
        <v>2.1800000000000002</v>
      </c>
      <c r="H368" s="872">
        <v>8</v>
      </c>
      <c r="I368" s="873">
        <v>100</v>
      </c>
      <c r="J368" s="872">
        <v>2</v>
      </c>
      <c r="V368" s="1149"/>
    </row>
    <row r="369" spans="1:27">
      <c r="A369" s="871" t="s">
        <v>2011</v>
      </c>
      <c r="B369" s="872">
        <v>1</v>
      </c>
      <c r="C369" s="873">
        <v>728</v>
      </c>
      <c r="D369" s="873">
        <v>1891.6</v>
      </c>
      <c r="E369" s="873">
        <v>2.6</v>
      </c>
      <c r="F369" s="873">
        <v>0</v>
      </c>
      <c r="G369" s="873">
        <v>0</v>
      </c>
      <c r="H369" s="872">
        <v>0</v>
      </c>
      <c r="I369" s="873">
        <v>0</v>
      </c>
      <c r="J369" s="872">
        <v>0</v>
      </c>
      <c r="V369" s="1150"/>
      <c r="Y369" s="108" t="s">
        <v>1624</v>
      </c>
      <c r="Z369" s="108">
        <v>510348.93</v>
      </c>
    </row>
    <row r="370" spans="1:27">
      <c r="A370" s="871" t="s">
        <v>795</v>
      </c>
      <c r="B370" s="872">
        <v>20</v>
      </c>
      <c r="C370" s="873">
        <v>731</v>
      </c>
      <c r="D370" s="873">
        <v>1792.1</v>
      </c>
      <c r="E370" s="873">
        <v>2.4500000000000002</v>
      </c>
      <c r="F370" s="873">
        <v>1660.36</v>
      </c>
      <c r="G370" s="873">
        <v>2.27</v>
      </c>
      <c r="H370" s="872">
        <v>14</v>
      </c>
      <c r="I370" s="873">
        <v>70</v>
      </c>
      <c r="J370" s="872">
        <v>1</v>
      </c>
      <c r="AA370" s="1305">
        <f>'[3]Rent Roll'!$G$390-Z364</f>
        <v>22122.880000000005</v>
      </c>
    </row>
    <row r="371" spans="1:27">
      <c r="A371" s="871" t="s">
        <v>2062</v>
      </c>
      <c r="B371" s="872">
        <v>6</v>
      </c>
      <c r="C371" s="873">
        <v>784</v>
      </c>
      <c r="D371" s="873">
        <v>1881.6</v>
      </c>
      <c r="E371" s="873">
        <v>2.4</v>
      </c>
      <c r="F371" s="873">
        <v>1714.83</v>
      </c>
      <c r="G371" s="873">
        <v>2.19</v>
      </c>
      <c r="H371" s="872">
        <v>6</v>
      </c>
      <c r="I371" s="873">
        <v>100</v>
      </c>
      <c r="J371" s="872">
        <v>0</v>
      </c>
      <c r="AA371" s="1151">
        <f>AA370*12</f>
        <v>265474.56000000006</v>
      </c>
    </row>
    <row r="372" spans="1:27">
      <c r="A372" s="871" t="s">
        <v>765</v>
      </c>
      <c r="B372" s="872">
        <v>1</v>
      </c>
      <c r="C372" s="873">
        <v>787</v>
      </c>
      <c r="D372" s="873">
        <v>1814.6</v>
      </c>
      <c r="E372" s="873">
        <v>2.31</v>
      </c>
      <c r="F372" s="873">
        <v>0</v>
      </c>
      <c r="G372" s="873">
        <v>0</v>
      </c>
      <c r="H372" s="872">
        <v>0</v>
      </c>
      <c r="I372" s="873">
        <v>0</v>
      </c>
      <c r="J372" s="872">
        <v>0</v>
      </c>
    </row>
    <row r="373" spans="1:27">
      <c r="A373" s="871" t="s">
        <v>759</v>
      </c>
      <c r="B373" s="872">
        <v>8</v>
      </c>
      <c r="C373" s="873">
        <v>813</v>
      </c>
      <c r="D373" s="873">
        <v>1963.23</v>
      </c>
      <c r="E373" s="873">
        <v>2.41</v>
      </c>
      <c r="F373" s="873">
        <v>1851.88</v>
      </c>
      <c r="G373" s="873">
        <v>2.2799999999999998</v>
      </c>
      <c r="H373" s="872">
        <v>8</v>
      </c>
      <c r="I373" s="873">
        <v>100</v>
      </c>
      <c r="J373" s="872">
        <v>2</v>
      </c>
    </row>
    <row r="374" spans="1:27">
      <c r="A374" s="871" t="s">
        <v>2063</v>
      </c>
      <c r="B374" s="872">
        <v>7</v>
      </c>
      <c r="C374" s="873">
        <v>833</v>
      </c>
      <c r="D374" s="873">
        <v>2009.89</v>
      </c>
      <c r="E374" s="873">
        <v>2.41</v>
      </c>
      <c r="F374" s="873">
        <v>1817.6</v>
      </c>
      <c r="G374" s="873">
        <v>2.1800000000000002</v>
      </c>
      <c r="H374" s="872">
        <v>5</v>
      </c>
      <c r="I374" s="873">
        <v>71.430000000000007</v>
      </c>
      <c r="J374" s="872">
        <v>2</v>
      </c>
    </row>
    <row r="375" spans="1:27">
      <c r="A375" s="871" t="s">
        <v>1998</v>
      </c>
      <c r="B375" s="872">
        <v>8</v>
      </c>
      <c r="C375" s="873">
        <v>892</v>
      </c>
      <c r="D375" s="873">
        <v>1940.48</v>
      </c>
      <c r="E375" s="873">
        <v>2.1800000000000002</v>
      </c>
      <c r="F375" s="873">
        <v>1701.75</v>
      </c>
      <c r="G375" s="873">
        <v>1.91</v>
      </c>
      <c r="H375" s="872">
        <v>8</v>
      </c>
      <c r="I375" s="873">
        <v>100</v>
      </c>
      <c r="J375" s="872">
        <v>0</v>
      </c>
    </row>
    <row r="376" spans="1:27">
      <c r="A376" s="871" t="s">
        <v>1009</v>
      </c>
      <c r="B376" s="872">
        <v>5</v>
      </c>
      <c r="C376" s="873">
        <v>851</v>
      </c>
      <c r="D376" s="873">
        <v>1964.6</v>
      </c>
      <c r="E376" s="873">
        <v>2.31</v>
      </c>
      <c r="F376" s="873">
        <v>1829.75</v>
      </c>
      <c r="G376" s="873">
        <v>2.15</v>
      </c>
      <c r="H376" s="872">
        <v>4</v>
      </c>
      <c r="I376" s="873">
        <v>80</v>
      </c>
      <c r="J376" s="872">
        <v>0</v>
      </c>
    </row>
    <row r="377" spans="1:27">
      <c r="A377" s="871" t="s">
        <v>2010</v>
      </c>
      <c r="B377" s="872">
        <v>8</v>
      </c>
      <c r="C377" s="873">
        <v>958</v>
      </c>
      <c r="D377" s="873">
        <v>2016.23</v>
      </c>
      <c r="E377" s="873">
        <v>2.1</v>
      </c>
      <c r="F377" s="873">
        <v>1918.13</v>
      </c>
      <c r="G377" s="873">
        <v>2</v>
      </c>
      <c r="H377" s="872">
        <v>8</v>
      </c>
      <c r="I377" s="873">
        <v>100</v>
      </c>
      <c r="J377" s="872">
        <v>0</v>
      </c>
    </row>
    <row r="378" spans="1:27">
      <c r="A378" s="871" t="s">
        <v>723</v>
      </c>
      <c r="B378" s="872">
        <v>13</v>
      </c>
      <c r="C378" s="873">
        <v>1156</v>
      </c>
      <c r="D378" s="873">
        <v>2318.6</v>
      </c>
      <c r="E378" s="873">
        <v>2.0099999999999998</v>
      </c>
      <c r="F378" s="873">
        <v>2115.08</v>
      </c>
      <c r="G378" s="873">
        <v>1.83</v>
      </c>
      <c r="H378" s="872">
        <v>12</v>
      </c>
      <c r="I378" s="873">
        <v>92.31</v>
      </c>
      <c r="J378" s="872">
        <v>1</v>
      </c>
    </row>
    <row r="379" spans="1:27" ht="13.15" customHeight="1">
      <c r="A379" s="871" t="s">
        <v>2025</v>
      </c>
      <c r="B379" s="872">
        <v>3</v>
      </c>
      <c r="C379" s="873">
        <v>1189</v>
      </c>
      <c r="D379" s="873">
        <v>2122.27</v>
      </c>
      <c r="E379" s="873">
        <v>1.78</v>
      </c>
      <c r="F379" s="873">
        <v>1986</v>
      </c>
      <c r="G379" s="873">
        <v>1.67</v>
      </c>
      <c r="H379" s="872">
        <v>3</v>
      </c>
      <c r="I379" s="873">
        <v>100</v>
      </c>
      <c r="J379" s="872">
        <v>0</v>
      </c>
    </row>
    <row r="380" spans="1:27">
      <c r="A380" s="871" t="s">
        <v>2024</v>
      </c>
      <c r="B380" s="872">
        <v>8</v>
      </c>
      <c r="C380" s="873">
        <v>1211</v>
      </c>
      <c r="D380" s="873">
        <v>2321.1</v>
      </c>
      <c r="E380" s="873">
        <v>1.92</v>
      </c>
      <c r="F380" s="873">
        <v>2161.88</v>
      </c>
      <c r="G380" s="873">
        <v>1.79</v>
      </c>
      <c r="H380" s="872">
        <v>8</v>
      </c>
      <c r="I380" s="873">
        <v>100</v>
      </c>
      <c r="J380" s="872">
        <v>0</v>
      </c>
    </row>
    <row r="381" spans="1:27">
      <c r="A381" s="871" t="s">
        <v>2005</v>
      </c>
      <c r="B381" s="872">
        <v>8</v>
      </c>
      <c r="C381" s="873">
        <v>1102</v>
      </c>
      <c r="D381" s="873">
        <v>2297.48</v>
      </c>
      <c r="E381" s="873">
        <v>2.08</v>
      </c>
      <c r="F381" s="873">
        <v>2070.14</v>
      </c>
      <c r="G381" s="873">
        <v>1.88</v>
      </c>
      <c r="H381" s="872">
        <v>7</v>
      </c>
      <c r="I381" s="873">
        <v>87.5</v>
      </c>
      <c r="J381" s="872">
        <v>1</v>
      </c>
    </row>
    <row r="382" spans="1:27">
      <c r="A382" s="871" t="s">
        <v>775</v>
      </c>
      <c r="B382" s="872">
        <v>7</v>
      </c>
      <c r="C382" s="873">
        <v>1219</v>
      </c>
      <c r="D382" s="873">
        <v>2478.6</v>
      </c>
      <c r="E382" s="873">
        <v>2.0299999999999998</v>
      </c>
      <c r="F382" s="873">
        <v>2354.75</v>
      </c>
      <c r="G382" s="873">
        <v>1.93</v>
      </c>
      <c r="H382" s="872">
        <v>4</v>
      </c>
      <c r="I382" s="873">
        <v>57.14</v>
      </c>
      <c r="J382" s="872">
        <v>0</v>
      </c>
    </row>
    <row r="383" spans="1:27">
      <c r="A383" s="871" t="s">
        <v>2030</v>
      </c>
      <c r="B383" s="872">
        <v>6</v>
      </c>
      <c r="C383" s="873">
        <v>1238</v>
      </c>
      <c r="D383" s="873">
        <v>2544.4299999999998</v>
      </c>
      <c r="E383" s="873">
        <v>2.06</v>
      </c>
      <c r="F383" s="873">
        <v>2260.67</v>
      </c>
      <c r="G383" s="873">
        <v>1.83</v>
      </c>
      <c r="H383" s="872">
        <v>6</v>
      </c>
      <c r="I383" s="873">
        <v>100</v>
      </c>
      <c r="J383" s="872">
        <v>1</v>
      </c>
    </row>
    <row r="384" spans="1:27">
      <c r="A384" s="871" t="s">
        <v>840</v>
      </c>
      <c r="B384" s="872">
        <v>28</v>
      </c>
      <c r="C384" s="873">
        <v>1235</v>
      </c>
      <c r="D384" s="873">
        <v>2551.4899999999998</v>
      </c>
      <c r="E384" s="873">
        <v>2.0699999999999998</v>
      </c>
      <c r="F384" s="873">
        <v>2327.91</v>
      </c>
      <c r="G384" s="873">
        <v>1.88</v>
      </c>
      <c r="H384" s="872">
        <v>23</v>
      </c>
      <c r="I384" s="873">
        <v>82.14</v>
      </c>
      <c r="J384" s="872">
        <v>2</v>
      </c>
    </row>
    <row r="385" spans="1:30">
      <c r="A385" s="871" t="s">
        <v>799</v>
      </c>
      <c r="B385" s="872">
        <v>7</v>
      </c>
      <c r="C385" s="873">
        <v>1399</v>
      </c>
      <c r="D385" s="873">
        <v>2579.31</v>
      </c>
      <c r="E385" s="873">
        <v>1.84</v>
      </c>
      <c r="F385" s="873">
        <v>2368.8000000000002</v>
      </c>
      <c r="G385" s="873">
        <v>1.69</v>
      </c>
      <c r="H385" s="872">
        <v>5</v>
      </c>
      <c r="I385" s="873">
        <v>71.430000000000007</v>
      </c>
      <c r="J385" s="872">
        <v>0</v>
      </c>
    </row>
    <row r="386" spans="1:30">
      <c r="A386" s="871" t="s">
        <v>781</v>
      </c>
      <c r="B386" s="872">
        <v>7</v>
      </c>
      <c r="C386" s="873">
        <v>1429</v>
      </c>
      <c r="D386" s="873">
        <v>2700.74</v>
      </c>
      <c r="E386" s="873">
        <v>1.89</v>
      </c>
      <c r="F386" s="873">
        <v>2606.5</v>
      </c>
      <c r="G386" s="873">
        <v>1.82</v>
      </c>
      <c r="H386" s="872">
        <v>4</v>
      </c>
      <c r="I386" s="873">
        <v>57.14</v>
      </c>
      <c r="J386" s="872">
        <v>0</v>
      </c>
    </row>
    <row r="387" spans="1:30">
      <c r="A387" s="871" t="s">
        <v>1594</v>
      </c>
      <c r="B387" s="872">
        <v>1</v>
      </c>
      <c r="C387" s="873">
        <v>1475</v>
      </c>
      <c r="D387" s="873">
        <v>2788.6</v>
      </c>
      <c r="E387" s="873">
        <v>1.89</v>
      </c>
      <c r="F387" s="873">
        <v>2654</v>
      </c>
      <c r="G387" s="873">
        <v>1.8</v>
      </c>
      <c r="H387" s="872">
        <v>1</v>
      </c>
      <c r="I387" s="873">
        <v>100</v>
      </c>
      <c r="J387" s="872">
        <v>0</v>
      </c>
    </row>
    <row r="388" spans="1:30">
      <c r="A388" s="871" t="s">
        <v>890</v>
      </c>
      <c r="B388" s="872">
        <v>7</v>
      </c>
      <c r="C388" s="873">
        <v>1539</v>
      </c>
      <c r="D388" s="873">
        <v>2912.17</v>
      </c>
      <c r="E388" s="873">
        <v>1.89</v>
      </c>
      <c r="F388" s="873">
        <v>2742.29</v>
      </c>
      <c r="G388" s="873">
        <v>1.78</v>
      </c>
      <c r="H388" s="872">
        <v>7</v>
      </c>
      <c r="I388" s="873">
        <v>100</v>
      </c>
      <c r="J388" s="872">
        <v>1</v>
      </c>
    </row>
    <row r="389" spans="1:30" ht="25.5">
      <c r="A389" s="1302" t="s">
        <v>1614</v>
      </c>
      <c r="B389" s="1304">
        <v>308</v>
      </c>
      <c r="C389" s="1303">
        <v>966</v>
      </c>
      <c r="D389" s="1303">
        <v>2087.4699999999998</v>
      </c>
      <c r="E389" s="1303">
        <v>2.16</v>
      </c>
      <c r="F389" s="1303">
        <v>1906.64</v>
      </c>
      <c r="G389" s="1303">
        <v>1.98</v>
      </c>
      <c r="H389" s="1304">
        <v>265</v>
      </c>
      <c r="I389" s="1303">
        <v>86.04</v>
      </c>
      <c r="J389" s="1304">
        <v>21</v>
      </c>
    </row>
    <row r="390" spans="1:30">
      <c r="A390" s="869"/>
      <c r="B390" s="869"/>
      <c r="C390" s="1110"/>
      <c r="D390" s="869"/>
      <c r="E390" s="869"/>
      <c r="F390" s="869"/>
      <c r="G390" s="1107"/>
    </row>
    <row r="391" spans="1:30">
      <c r="A391" s="869"/>
      <c r="B391" s="869"/>
      <c r="C391" s="1110"/>
      <c r="D391" s="869"/>
      <c r="E391" s="869"/>
      <c r="F391" s="869"/>
      <c r="G391" s="1107"/>
    </row>
    <row r="392" spans="1:30">
      <c r="A392" s="869"/>
      <c r="B392" s="869"/>
      <c r="C392" s="869"/>
      <c r="D392" s="869"/>
      <c r="E392" s="869"/>
      <c r="F392" s="1328"/>
      <c r="G392" s="1328"/>
    </row>
    <row r="393" spans="1:30">
      <c r="A393" s="869"/>
      <c r="B393" s="869"/>
      <c r="C393" s="869"/>
      <c r="D393" s="869"/>
      <c r="E393" s="869"/>
      <c r="F393" s="1108"/>
      <c r="G393" s="1109"/>
    </row>
    <row r="397" spans="1:30">
      <c r="A397"/>
      <c r="B397"/>
      <c r="C397"/>
      <c r="D397"/>
      <c r="E397"/>
      <c r="F397"/>
      <c r="G397"/>
      <c r="H397"/>
      <c r="I397"/>
      <c r="J397"/>
      <c r="K397"/>
      <c r="L397"/>
      <c r="M397"/>
      <c r="N397"/>
      <c r="X397" s="322"/>
      <c r="Y397" s="322"/>
      <c r="Z397"/>
      <c r="AA397"/>
      <c r="AB397"/>
      <c r="AC397" s="323"/>
      <c r="AD397" s="324"/>
    </row>
    <row r="398" spans="1:30">
      <c r="C398" s="137"/>
      <c r="R398" s="108"/>
      <c r="W398" s="144"/>
      <c r="X398" s="322"/>
      <c r="Y398" s="322"/>
      <c r="Z398"/>
      <c r="AA398"/>
      <c r="AB398"/>
      <c r="AC398" s="323"/>
      <c r="AD398" s="324"/>
    </row>
    <row r="399" spans="1:30">
      <c r="B399" s="451"/>
      <c r="C399" s="452" t="s">
        <v>325</v>
      </c>
      <c r="D399" s="452" t="s">
        <v>447</v>
      </c>
      <c r="E399" s="452" t="s">
        <v>326</v>
      </c>
      <c r="F399" s="452" t="s">
        <v>493</v>
      </c>
      <c r="G399" s="452" t="s">
        <v>576</v>
      </c>
      <c r="H399" s="452" t="s">
        <v>578</v>
      </c>
      <c r="I399" s="453" t="s">
        <v>337</v>
      </c>
      <c r="K399" s="484" t="s">
        <v>464</v>
      </c>
      <c r="L399" s="162"/>
      <c r="M399" s="162"/>
      <c r="N399" s="162"/>
      <c r="O399" s="162"/>
      <c r="P399" s="533">
        <v>45382</v>
      </c>
      <c r="Q399" s="533">
        <v>45473</v>
      </c>
      <c r="R399" s="533">
        <v>45565</v>
      </c>
      <c r="S399" s="533">
        <v>45657</v>
      </c>
      <c r="T399" s="144"/>
      <c r="V399" s="144"/>
      <c r="X399" s="144"/>
      <c r="Y399" s="325"/>
      <c r="Z399"/>
      <c r="AA399"/>
      <c r="AB399"/>
      <c r="AC399" s="327"/>
      <c r="AD399" s="326"/>
    </row>
    <row r="400" spans="1:30" ht="25.5">
      <c r="B400" s="454" t="s">
        <v>338</v>
      </c>
      <c r="C400" s="157">
        <v>1592.3653136531366</v>
      </c>
      <c r="D400" s="157">
        <v>1559.9587628865979</v>
      </c>
      <c r="E400" s="157">
        <v>1598.0211267605634</v>
      </c>
      <c r="F400" s="157">
        <v>1569.9395017793595</v>
      </c>
      <c r="G400" s="157">
        <v>1568.0694444444443</v>
      </c>
      <c r="H400" s="158" t="e">
        <f>#REF!/#REF!</f>
        <v>#REF!</v>
      </c>
      <c r="I400" s="294" t="e">
        <f>H400/G400-1</f>
        <v>#REF!</v>
      </c>
      <c r="K400" s="163" t="s">
        <v>458</v>
      </c>
      <c r="L400" s="240"/>
      <c r="M400" s="240"/>
      <c r="N400" s="169"/>
      <c r="O400" s="169"/>
      <c r="P400" s="169">
        <v>-22.205590062111899</v>
      </c>
      <c r="Q400" s="169">
        <v>-109.349383440986</v>
      </c>
      <c r="R400" s="169">
        <v>14.756095679012333</v>
      </c>
      <c r="S400" s="169">
        <f>H421</f>
        <v>-6.1990653025138727</v>
      </c>
      <c r="T400" s="144"/>
      <c r="V400" s="144"/>
      <c r="X400" s="144"/>
      <c r="Y400" s="325"/>
      <c r="Z400"/>
      <c r="AA400"/>
      <c r="AB400"/>
      <c r="AC400" s="327"/>
      <c r="AD400" s="326"/>
    </row>
    <row r="401" spans="1:30">
      <c r="B401" s="168" t="s">
        <v>339</v>
      </c>
      <c r="C401" s="157">
        <v>1475.3589743589744</v>
      </c>
      <c r="D401" s="157">
        <v>1685.8301282051282</v>
      </c>
      <c r="E401" s="157">
        <v>1573.7916666666667</v>
      </c>
      <c r="F401" s="157">
        <v>1552.3301282051282</v>
      </c>
      <c r="G401" s="157">
        <v>1461.5801282051282</v>
      </c>
      <c r="H401" s="158" t="e">
        <f>#REF!/#REF!</f>
        <v>#REF!</v>
      </c>
      <c r="I401" s="294" t="e">
        <f>H401/G401-1</f>
        <v>#REF!</v>
      </c>
      <c r="K401" s="163" t="s">
        <v>459</v>
      </c>
      <c r="L401" s="240"/>
      <c r="M401" s="240"/>
      <c r="N401" s="169"/>
      <c r="O401" s="169"/>
      <c r="P401" s="169">
        <v>131.31848184818401</v>
      </c>
      <c r="Q401" s="169">
        <v>-74.825042881646795</v>
      </c>
      <c r="R401" s="169">
        <v>13.538995354238978</v>
      </c>
      <c r="S401" s="169">
        <f>H422</f>
        <v>-3.3939210950079541</v>
      </c>
      <c r="T401" s="144"/>
      <c r="V401" s="144"/>
      <c r="X401" s="144"/>
      <c r="Y401" s="325"/>
      <c r="Z401"/>
      <c r="AA401"/>
      <c r="AB401"/>
      <c r="AC401" s="327"/>
      <c r="AD401" s="326"/>
    </row>
    <row r="402" spans="1:30">
      <c r="B402" s="170" t="s">
        <v>340</v>
      </c>
      <c r="C402" s="242">
        <f>C400/C401-1</f>
        <v>7.9307030578778415E-2</v>
      </c>
      <c r="D402" s="242">
        <f t="shared" ref="D402" si="0">D400/D401-1</f>
        <v>-7.4664323061151561E-2</v>
      </c>
      <c r="E402" s="242">
        <v>-7.4664323061151561E-2</v>
      </c>
      <c r="F402" s="242">
        <v>-7.4664323061151561E-2</v>
      </c>
      <c r="G402" s="242">
        <v>-7.4664323061151561E-2</v>
      </c>
      <c r="H402" s="242" t="e">
        <f>H400/H401-1</f>
        <v>#REF!</v>
      </c>
      <c r="I402" s="294"/>
      <c r="K402" s="163" t="s">
        <v>462</v>
      </c>
      <c r="L402" s="240"/>
      <c r="M402" s="240"/>
      <c r="N402" s="169"/>
      <c r="O402" s="169"/>
      <c r="P402" s="169">
        <v>-14.9761904761903</v>
      </c>
      <c r="Q402" s="169" t="s">
        <v>482</v>
      </c>
      <c r="R402" s="169">
        <v>111.54545454545473</v>
      </c>
      <c r="S402" s="169">
        <f>H423</f>
        <v>95.000000000000227</v>
      </c>
      <c r="T402" s="144"/>
      <c r="V402" s="144"/>
      <c r="X402" s="144"/>
      <c r="Y402" s="325"/>
      <c r="Z402"/>
      <c r="AA402"/>
      <c r="AB402"/>
      <c r="AC402" s="327"/>
      <c r="AD402" s="326"/>
    </row>
    <row r="403" spans="1:30">
      <c r="B403" s="455" t="s">
        <v>575</v>
      </c>
      <c r="C403" s="159">
        <v>1698.9791666666667</v>
      </c>
      <c r="D403" s="159">
        <v>1764.0445379273506</v>
      </c>
      <c r="E403" s="159">
        <v>1829.1099091880342</v>
      </c>
      <c r="F403" s="159">
        <v>1894.175280448718</v>
      </c>
      <c r="G403" s="159">
        <v>1959.2406517094018</v>
      </c>
      <c r="H403" s="160" t="e">
        <f>E416</f>
        <v>#REF!</v>
      </c>
      <c r="I403" s="300" t="e">
        <f>H403/G403-1</f>
        <v>#REF!</v>
      </c>
      <c r="K403" s="437" t="s">
        <v>460</v>
      </c>
      <c r="L403" s="438"/>
      <c r="M403" s="438"/>
      <c r="N403" s="440"/>
      <c r="O403" s="440"/>
      <c r="P403" s="440">
        <f>G424</f>
        <v>0</v>
      </c>
      <c r="Q403" s="440">
        <f>H424</f>
        <v>2.7722699623935623</v>
      </c>
      <c r="R403" s="440">
        <v>21.89585174191895</v>
      </c>
      <c r="S403" s="439">
        <f>H424</f>
        <v>2.7722699623935623</v>
      </c>
      <c r="T403" s="144"/>
      <c r="V403" s="144"/>
      <c r="X403" s="144"/>
      <c r="Y403" s="325"/>
      <c r="Z403"/>
      <c r="AA403"/>
      <c r="AB403"/>
      <c r="AC403" s="327"/>
      <c r="AD403" s="326"/>
    </row>
    <row r="404" spans="1:30">
      <c r="B404" s="456" t="s">
        <v>340</v>
      </c>
      <c r="C404" s="448">
        <f>C400/C403-1</f>
        <v>-6.2751712972856866E-2</v>
      </c>
      <c r="D404" s="448">
        <f t="shared" ref="D404" si="1">D400/D403-1</f>
        <v>-0.11569196278940985</v>
      </c>
      <c r="E404" s="448">
        <f>E400/E403-1</f>
        <v>-0.12633947324141614</v>
      </c>
      <c r="F404" s="448">
        <f>F400/F403-1</f>
        <v>-0.17117517159898166</v>
      </c>
      <c r="G404" s="448">
        <f>G400/G403-1</f>
        <v>-0.19965449722762119</v>
      </c>
      <c r="H404" s="448" t="e">
        <f>H400/H403-1</f>
        <v>#REF!</v>
      </c>
      <c r="I404" s="457"/>
      <c r="K404" s="441" t="s">
        <v>461</v>
      </c>
      <c r="L404" s="442"/>
      <c r="M404" s="442"/>
      <c r="N404" s="443"/>
      <c r="O404" s="443"/>
      <c r="P404" s="443">
        <v>263</v>
      </c>
      <c r="Q404" s="443">
        <v>263</v>
      </c>
      <c r="R404" s="443">
        <v>263</v>
      </c>
      <c r="S404" s="443">
        <v>263</v>
      </c>
      <c r="T404" s="144"/>
      <c r="V404" s="144"/>
      <c r="X404" s="144"/>
      <c r="Y404" s="325"/>
      <c r="Z404"/>
      <c r="AA404"/>
      <c r="AB404"/>
      <c r="AC404" s="327"/>
      <c r="AD404" s="326"/>
    </row>
    <row r="405" spans="1:30">
      <c r="B405" s="462" t="s">
        <v>342</v>
      </c>
      <c r="C405" s="463">
        <v>1594</v>
      </c>
      <c r="D405" s="463">
        <v>1569.3140809790898</v>
      </c>
      <c r="E405" s="463">
        <v>1594.0134033096222</v>
      </c>
      <c r="F405" s="463">
        <v>1600.7842375982459</v>
      </c>
      <c r="G405" s="463">
        <v>1590.6368046056434</v>
      </c>
      <c r="H405" s="463">
        <f>E424</f>
        <v>1590.438302849491</v>
      </c>
      <c r="I405" s="464">
        <f>H405/G405-1</f>
        <v>-1.2479389108666084E-4</v>
      </c>
      <c r="K405" s="444" t="s">
        <v>340</v>
      </c>
      <c r="L405" s="445"/>
      <c r="M405" s="445"/>
      <c r="N405" s="446"/>
      <c r="O405" s="446"/>
      <c r="P405" s="446">
        <f>P403/P404-1</f>
        <v>-1</v>
      </c>
      <c r="Q405" s="446">
        <f>Q403/Q404-1</f>
        <v>-0.98945904957264807</v>
      </c>
      <c r="R405" s="446">
        <f>R403/R404-1</f>
        <v>-0.91674581086722828</v>
      </c>
      <c r="S405" s="446">
        <f>S403/S404-1</f>
        <v>-0.98945904957264807</v>
      </c>
      <c r="T405" s="144"/>
      <c r="V405" s="144"/>
      <c r="X405" s="144"/>
      <c r="Y405" s="325"/>
      <c r="Z405"/>
      <c r="AA405"/>
      <c r="AB405"/>
      <c r="AC405" s="327"/>
      <c r="AD405" s="326"/>
    </row>
    <row r="406" spans="1:30">
      <c r="B406" s="250" t="s">
        <v>340</v>
      </c>
      <c r="C406" s="450">
        <f>C405/C400-1</f>
        <v>1.0265774648865467E-3</v>
      </c>
      <c r="D406" s="450">
        <f>D405/D400-1</f>
        <v>5.9971573063768435E-3</v>
      </c>
      <c r="E406" s="450">
        <v>-2.9228417832398934E-2</v>
      </c>
      <c r="F406" s="450">
        <v>-2.9228417832398934E-2</v>
      </c>
      <c r="G406" s="450">
        <v>-2.9228417832398934E-2</v>
      </c>
      <c r="H406" s="450" t="e">
        <f>H405/H400-1</f>
        <v>#REF!</v>
      </c>
      <c r="I406" s="458"/>
      <c r="L406" s="137"/>
      <c r="M406" s="137"/>
      <c r="N406" s="137"/>
      <c r="O406" s="137"/>
      <c r="P406" s="137"/>
      <c r="Q406" s="137"/>
      <c r="R406" s="137"/>
      <c r="S406" s="137"/>
      <c r="T406" s="144"/>
      <c r="V406" s="144"/>
      <c r="X406" s="144"/>
      <c r="Y406" s="325"/>
      <c r="Z406"/>
      <c r="AA406"/>
      <c r="AB406"/>
      <c r="AC406" s="327"/>
      <c r="AD406" s="326"/>
    </row>
    <row r="407" spans="1:30">
      <c r="B407" s="437" t="s">
        <v>343</v>
      </c>
      <c r="C407" s="449">
        <v>1672</v>
      </c>
      <c r="D407" s="449">
        <v>1672</v>
      </c>
      <c r="E407" s="449">
        <v>1672</v>
      </c>
      <c r="F407" s="449">
        <v>1672</v>
      </c>
      <c r="G407" s="449">
        <v>1672</v>
      </c>
      <c r="H407" s="449">
        <v>1672</v>
      </c>
      <c r="I407" s="458">
        <f>H407/G407-1</f>
        <v>0</v>
      </c>
      <c r="R407" s="108"/>
      <c r="S407" s="108"/>
      <c r="T407" s="144"/>
      <c r="V407" s="144"/>
      <c r="X407" s="144"/>
      <c r="Y407" s="325"/>
      <c r="Z407"/>
      <c r="AA407"/>
      <c r="AB407"/>
      <c r="AC407" s="327"/>
      <c r="AD407" s="326"/>
    </row>
    <row r="408" spans="1:30">
      <c r="A408" s="137"/>
      <c r="B408" s="459" t="s">
        <v>340</v>
      </c>
      <c r="C408" s="460">
        <f>C405/C407-1</f>
        <v>-4.6650717703349276E-2</v>
      </c>
      <c r="D408" s="460">
        <f t="shared" ref="D408" si="2">D405/D407-1</f>
        <v>-6.1415023337864971E-2</v>
      </c>
      <c r="E408" s="460">
        <v>-9.428012179208356E-2</v>
      </c>
      <c r="F408" s="460">
        <v>-9.428012179208356E-2</v>
      </c>
      <c r="G408" s="460">
        <v>-9.428012179208356E-2</v>
      </c>
      <c r="H408" s="460">
        <f>H405/H407-1</f>
        <v>-4.8780919348390572E-2</v>
      </c>
      <c r="I408" s="461"/>
      <c r="K408" s="161"/>
      <c r="L408" s="162"/>
      <c r="M408" s="532">
        <v>45107</v>
      </c>
      <c r="N408" s="533">
        <v>45199</v>
      </c>
      <c r="O408" s="533">
        <v>45291</v>
      </c>
      <c r="P408" s="533">
        <v>45382</v>
      </c>
      <c r="Q408" s="533">
        <v>45473</v>
      </c>
      <c r="R408" s="533">
        <v>45565</v>
      </c>
      <c r="S408" s="533">
        <f>S399</f>
        <v>45657</v>
      </c>
      <c r="V408" s="144"/>
      <c r="X408" s="144"/>
      <c r="Y408" s="325"/>
      <c r="Z408"/>
      <c r="AA408"/>
      <c r="AB408"/>
      <c r="AC408" s="327"/>
      <c r="AD408" s="326"/>
    </row>
    <row r="409" spans="1:30">
      <c r="A409" s="137"/>
      <c r="B409" s="137"/>
      <c r="C409" s="137"/>
      <c r="D409" s="137"/>
      <c r="E409" s="221"/>
      <c r="F409" s="221"/>
      <c r="H409" s="221"/>
      <c r="I409" s="221"/>
      <c r="J409" s="222"/>
      <c r="K409" s="165" t="s">
        <v>344</v>
      </c>
      <c r="L409" s="241"/>
      <c r="M409" s="187">
        <v>2285658</v>
      </c>
      <c r="N409" s="166">
        <v>6723021</v>
      </c>
      <c r="O409" s="166"/>
      <c r="P409" s="166"/>
      <c r="Q409" s="166"/>
      <c r="R409" s="166"/>
      <c r="S409" s="166"/>
      <c r="U409" s="144"/>
      <c r="V409" s="325"/>
      <c r="W409" s="325"/>
      <c r="X409" s="326"/>
      <c r="Y409" s="326"/>
      <c r="Z409"/>
      <c r="AA409"/>
      <c r="AB409"/>
    </row>
    <row r="410" spans="1:30">
      <c r="A410" s="137"/>
      <c r="B410" s="137"/>
      <c r="C410" s="137"/>
      <c r="D410" s="137"/>
      <c r="K410" s="165" t="s">
        <v>345</v>
      </c>
      <c r="L410" s="241"/>
      <c r="M410" s="188">
        <v>96</v>
      </c>
      <c r="N410" s="167">
        <v>134</v>
      </c>
      <c r="O410" s="167">
        <v>216</v>
      </c>
      <c r="P410" s="167">
        <v>240</v>
      </c>
      <c r="Q410" s="167">
        <v>255</v>
      </c>
      <c r="R410" s="167">
        <v>291</v>
      </c>
      <c r="S410" s="575">
        <f>D450</f>
        <v>312</v>
      </c>
      <c r="U410" s="144"/>
      <c r="V410" s="325"/>
      <c r="W410" s="325"/>
      <c r="X410" s="326"/>
      <c r="Y410" s="326"/>
      <c r="Z410"/>
      <c r="AA410"/>
      <c r="AB410"/>
    </row>
    <row r="411" spans="1:30">
      <c r="A411" s="137"/>
      <c r="B411" s="451"/>
      <c r="C411" s="452"/>
      <c r="D411" s="452"/>
      <c r="E411" s="453" t="s">
        <v>577</v>
      </c>
      <c r="K411" s="168" t="s">
        <v>346</v>
      </c>
      <c r="L411" s="164"/>
      <c r="M411" s="189">
        <v>21496</v>
      </c>
      <c r="N411" s="169">
        <v>21548</v>
      </c>
      <c r="O411" s="169">
        <v>21548</v>
      </c>
      <c r="P411" s="169">
        <v>21548</v>
      </c>
      <c r="Q411" s="169">
        <v>21548</v>
      </c>
      <c r="R411" s="169">
        <v>21548</v>
      </c>
      <c r="S411" s="169">
        <v>21548</v>
      </c>
      <c r="U411" s="144"/>
      <c r="V411" s="325"/>
      <c r="W411" s="325"/>
      <c r="X411" s="326"/>
      <c r="Y411" s="326"/>
      <c r="Z411"/>
      <c r="AA411"/>
      <c r="AB411"/>
    </row>
    <row r="412" spans="1:30">
      <c r="A412" s="137"/>
      <c r="B412" s="466"/>
      <c r="C412" s="465"/>
      <c r="D412" s="534"/>
      <c r="E412" s="535">
        <v>45747</v>
      </c>
      <c r="K412" s="168" t="s">
        <v>347</v>
      </c>
      <c r="L412" s="164"/>
      <c r="M412" s="237">
        <v>25899</v>
      </c>
      <c r="N412" s="158">
        <v>25899</v>
      </c>
      <c r="O412" s="158">
        <v>25899</v>
      </c>
      <c r="P412" s="158">
        <v>25899</v>
      </c>
      <c r="Q412" s="158">
        <v>25899</v>
      </c>
      <c r="R412" s="158">
        <v>25899</v>
      </c>
      <c r="S412" s="158">
        <v>25899</v>
      </c>
      <c r="U412" s="144"/>
      <c r="V412" s="325"/>
      <c r="W412" s="325"/>
      <c r="X412" s="326"/>
      <c r="Y412" s="326"/>
      <c r="Z412"/>
      <c r="AA412"/>
      <c r="AB412"/>
    </row>
    <row r="413" spans="1:30">
      <c r="A413" s="137"/>
      <c r="B413" s="170" t="s">
        <v>335</v>
      </c>
      <c r="C413" s="467"/>
      <c r="D413" s="467"/>
      <c r="E413" s="586" t="e">
        <f>'UW Comparison'!#REF!</f>
        <v>#REF!</v>
      </c>
      <c r="K413" s="170" t="s">
        <v>340</v>
      </c>
      <c r="L413" s="242"/>
      <c r="M413" s="243">
        <f t="shared" ref="M413:O413" si="3">(M411-M412)/M412</f>
        <v>-0.17000656395999847</v>
      </c>
      <c r="N413" s="243">
        <f t="shared" si="3"/>
        <v>-0.16799876443105913</v>
      </c>
      <c r="O413" s="243">
        <f t="shared" si="3"/>
        <v>-0.16799876443105913</v>
      </c>
      <c r="P413" s="243">
        <f t="shared" ref="P413" si="4">(P411-P412)/P412</f>
        <v>-0.16799876443105913</v>
      </c>
      <c r="Q413" s="243">
        <f t="shared" ref="Q413" si="5">(Q411-Q412)/Q412</f>
        <v>-0.16799876443105913</v>
      </c>
      <c r="R413" s="243">
        <f>(R411-R412)/R412</f>
        <v>-0.16799876443105913</v>
      </c>
      <c r="S413" s="243">
        <f>(S411-S412)/S412</f>
        <v>-0.16799876443105913</v>
      </c>
      <c r="U413" s="144"/>
      <c r="V413" s="325"/>
      <c r="W413" s="325"/>
      <c r="X413" s="326"/>
      <c r="Y413" s="326"/>
      <c r="Z413"/>
      <c r="AA413"/>
      <c r="AB413"/>
    </row>
    <row r="414" spans="1:30">
      <c r="A414" s="137"/>
      <c r="B414" s="170" t="s">
        <v>336</v>
      </c>
      <c r="C414" s="468"/>
      <c r="D414" s="468"/>
      <c r="E414" s="469" t="e">
        <f>E413/12</f>
        <v>#REF!</v>
      </c>
      <c r="K414" s="227" t="s">
        <v>380</v>
      </c>
      <c r="L414" s="228"/>
      <c r="M414" s="229">
        <v>134</v>
      </c>
      <c r="N414" s="229">
        <v>87</v>
      </c>
      <c r="O414" s="229">
        <v>87</v>
      </c>
      <c r="P414" s="229">
        <v>42.676760934795979</v>
      </c>
      <c r="Q414" s="229">
        <v>24</v>
      </c>
      <c r="R414" s="229">
        <v>21.89585174191895</v>
      </c>
      <c r="S414" s="447">
        <f>S403</f>
        <v>2.7722699623935623</v>
      </c>
      <c r="U414" s="144"/>
      <c r="V414" s="325"/>
      <c r="W414" s="325"/>
      <c r="X414" s="326"/>
      <c r="Y414" s="326"/>
      <c r="Z414"/>
      <c r="AA414"/>
      <c r="AB414"/>
    </row>
    <row r="415" spans="1:30">
      <c r="A415" s="137"/>
      <c r="B415" s="233" t="s">
        <v>59</v>
      </c>
      <c r="C415" s="470"/>
      <c r="D415" s="470"/>
      <c r="E415" s="471">
        <v>312</v>
      </c>
      <c r="K415" s="227" t="s">
        <v>350</v>
      </c>
      <c r="L415" s="230"/>
      <c r="M415" s="231">
        <f>M414*12</f>
        <v>1608</v>
      </c>
      <c r="N415" s="231">
        <f t="shared" ref="N415:P415" si="6">N414*12</f>
        <v>1044</v>
      </c>
      <c r="O415" s="231">
        <f t="shared" si="6"/>
        <v>1044</v>
      </c>
      <c r="P415" s="231">
        <f t="shared" si="6"/>
        <v>512.12113121755169</v>
      </c>
      <c r="Q415" s="231">
        <f t="shared" ref="Q415" si="7">Q414*12</f>
        <v>288</v>
      </c>
      <c r="R415" s="231">
        <f>R414*12</f>
        <v>262.75022090302741</v>
      </c>
      <c r="S415" s="231">
        <f>S414*12</f>
        <v>33.267239548722749</v>
      </c>
      <c r="U415" s="144"/>
      <c r="V415" s="325"/>
      <c r="W415" s="325"/>
      <c r="X415" s="326"/>
      <c r="Y415" s="326"/>
      <c r="Z415"/>
      <c r="AA415"/>
      <c r="AB415"/>
    </row>
    <row r="416" spans="1:30">
      <c r="A416" s="137"/>
      <c r="B416" s="472" t="s">
        <v>463</v>
      </c>
      <c r="C416" s="473"/>
      <c r="D416" s="473"/>
      <c r="E416" s="474" t="e">
        <f>E414/E415</f>
        <v>#REF!</v>
      </c>
      <c r="K416" s="232" t="s">
        <v>348</v>
      </c>
      <c r="L416" s="171"/>
      <c r="M416" s="172">
        <f>M415/M411</f>
        <v>7.4804614812058051E-2</v>
      </c>
      <c r="N416" s="172">
        <f t="shared" ref="N416:O416" si="8">N415/N411</f>
        <v>4.8449972155188419E-2</v>
      </c>
      <c r="O416" s="172">
        <f t="shared" si="8"/>
        <v>4.8449972155188419E-2</v>
      </c>
      <c r="P416" s="172">
        <f t="shared" ref="P416" si="9">P415/P411</f>
        <v>2.3766527344419513E-2</v>
      </c>
      <c r="Q416" s="172">
        <f t="shared" ref="Q416" si="10">Q415/Q411</f>
        <v>1.3365509560051976E-2</v>
      </c>
      <c r="R416" s="172">
        <f>R415/R411</f>
        <v>1.2193717324254102E-2</v>
      </c>
      <c r="S416" s="172">
        <f>S415/S411</f>
        <v>1.5438666952256705E-3</v>
      </c>
      <c r="U416" s="144"/>
      <c r="V416" s="325"/>
      <c r="W416" s="325"/>
      <c r="X416" s="326"/>
      <c r="Y416" s="326"/>
      <c r="Z416"/>
      <c r="AA416"/>
      <c r="AB416"/>
    </row>
    <row r="417" spans="1:30">
      <c r="A417" s="137"/>
      <c r="N417" s="137"/>
      <c r="P417" s="144"/>
      <c r="Q417" s="137"/>
      <c r="U417" s="144"/>
      <c r="V417" s="325"/>
      <c r="W417" s="325"/>
      <c r="X417" s="326"/>
      <c r="Y417" s="326"/>
      <c r="Z417"/>
      <c r="AA417"/>
      <c r="AB417"/>
    </row>
    <row r="418" spans="1:30">
      <c r="A418" s="137"/>
      <c r="N418" s="137"/>
      <c r="P418" s="144"/>
      <c r="Q418" s="137"/>
      <c r="R418" s="108"/>
      <c r="S418" s="108"/>
      <c r="T418" s="144"/>
      <c r="V418" s="144"/>
      <c r="W418" s="325"/>
      <c r="X418" s="325"/>
      <c r="Y418" s="326"/>
      <c r="Z418"/>
      <c r="AA418"/>
      <c r="AB418"/>
      <c r="AC418" s="327"/>
    </row>
    <row r="419" spans="1:30">
      <c r="A419" s="137"/>
      <c r="B419" s="480" t="s">
        <v>329</v>
      </c>
      <c r="C419" s="481" t="s">
        <v>567</v>
      </c>
      <c r="D419" s="481" t="s">
        <v>349</v>
      </c>
      <c r="E419" s="481" t="s">
        <v>349</v>
      </c>
      <c r="F419" s="481" t="s">
        <v>457</v>
      </c>
      <c r="G419" s="481" t="s">
        <v>457</v>
      </c>
      <c r="H419" s="481" t="s">
        <v>466</v>
      </c>
      <c r="K419" s="256" t="s">
        <v>381</v>
      </c>
      <c r="L419" s="223"/>
      <c r="M419" s="532">
        <v>45107</v>
      </c>
      <c r="N419" s="532">
        <v>45199</v>
      </c>
      <c r="O419" s="532">
        <v>45291</v>
      </c>
      <c r="P419" s="532">
        <v>45382</v>
      </c>
      <c r="Q419" s="532">
        <v>45473</v>
      </c>
      <c r="R419" s="532">
        <v>45565</v>
      </c>
      <c r="S419" s="532">
        <f>S399</f>
        <v>45657</v>
      </c>
      <c r="U419" s="144"/>
      <c r="W419" s="137"/>
      <c r="X419" s="325"/>
      <c r="Y419" s="325"/>
      <c r="Z419"/>
      <c r="AA419"/>
      <c r="AB419"/>
      <c r="AC419" s="326"/>
      <c r="AD419" s="327"/>
    </row>
    <row r="420" spans="1:30">
      <c r="A420" s="137"/>
      <c r="B420" s="482"/>
      <c r="C420" s="483" t="s">
        <v>568</v>
      </c>
      <c r="D420" s="483" t="s">
        <v>59</v>
      </c>
      <c r="E420" s="483" t="s">
        <v>468</v>
      </c>
      <c r="F420" s="483" t="s">
        <v>468</v>
      </c>
      <c r="G420" s="483" t="s">
        <v>59</v>
      </c>
      <c r="H420" s="483" t="s">
        <v>467</v>
      </c>
      <c r="I420" s="137"/>
      <c r="J420" s="139"/>
      <c r="K420" s="574" t="s">
        <v>382</v>
      </c>
      <c r="L420" s="527"/>
      <c r="M420" s="528">
        <v>1304000</v>
      </c>
      <c r="N420" s="528">
        <v>1856000</v>
      </c>
      <c r="O420" s="528">
        <v>1856000</v>
      </c>
      <c r="P420" s="528"/>
      <c r="Q420" s="528"/>
      <c r="R420" s="528"/>
      <c r="S420" s="528"/>
      <c r="U420" s="137"/>
      <c r="V420" s="137"/>
      <c r="W420" s="137"/>
      <c r="X420" s="325"/>
      <c r="Y420" s="325"/>
      <c r="Z420"/>
      <c r="AA420"/>
      <c r="AB420"/>
      <c r="AC420" s="326"/>
      <c r="AD420" s="327"/>
    </row>
    <row r="421" spans="1:30">
      <c r="A421" s="137"/>
      <c r="B421" s="475" t="s">
        <v>458</v>
      </c>
      <c r="C421" s="476">
        <v>156</v>
      </c>
      <c r="D421" s="122">
        <f>SUM(D443:D445)</f>
        <v>156</v>
      </c>
      <c r="E421" s="555">
        <f>AVERAGE(I443:I445)</f>
        <v>1412.4090564607804</v>
      </c>
      <c r="F421" s="555">
        <f>AVERAGE(M443:M445)</f>
        <v>1418.6081217632943</v>
      </c>
      <c r="G421" s="587">
        <f>C421-D421</f>
        <v>0</v>
      </c>
      <c r="H421" s="576">
        <f>E421-F421</f>
        <v>-6.1990653025138727</v>
      </c>
      <c r="J421" s="139"/>
      <c r="K421" s="574" t="s">
        <v>383</v>
      </c>
      <c r="L421" s="527"/>
      <c r="M421" s="529">
        <v>3526906</v>
      </c>
      <c r="N421" s="530">
        <v>1404944</v>
      </c>
      <c r="O421" s="530">
        <v>1404944</v>
      </c>
      <c r="P421" s="530"/>
      <c r="Q421" s="530"/>
      <c r="R421" s="530"/>
      <c r="S421" s="530"/>
      <c r="U421" s="137"/>
      <c r="V421" s="137"/>
      <c r="W421" s="137"/>
      <c r="X421" s="325"/>
      <c r="Y421" s="325"/>
      <c r="Z421"/>
      <c r="AA421"/>
      <c r="AB421"/>
      <c r="AC421" s="326"/>
      <c r="AD421" s="327"/>
    </row>
    <row r="422" spans="1:30" ht="14.25" customHeight="1">
      <c r="A422" s="137"/>
      <c r="B422" s="475" t="s">
        <v>459</v>
      </c>
      <c r="C422" s="476">
        <v>132</v>
      </c>
      <c r="D422" s="122">
        <f>SUM(D446:D448)</f>
        <v>132</v>
      </c>
      <c r="E422" s="555">
        <f>AVERAGE(I446:I448)</f>
        <v>1706.932004830918</v>
      </c>
      <c r="F422" s="555">
        <f>AVERAGE(M446:M448)</f>
        <v>1710.325925925926</v>
      </c>
      <c r="G422" s="476">
        <f>C422-D422</f>
        <v>0</v>
      </c>
      <c r="H422" s="576">
        <f>E422-F422</f>
        <v>-3.3939210950079541</v>
      </c>
      <c r="K422" s="574" t="s">
        <v>384</v>
      </c>
      <c r="L422" s="527"/>
      <c r="M422" s="531"/>
      <c r="N422" s="530">
        <v>3314465</v>
      </c>
      <c r="O422" s="530">
        <v>3314465</v>
      </c>
      <c r="P422" s="530"/>
      <c r="Q422" s="530"/>
      <c r="R422" s="530"/>
      <c r="S422" s="530"/>
      <c r="U422" s="137"/>
      <c r="V422" s="137"/>
      <c r="W422" s="137"/>
      <c r="X422" s="328"/>
      <c r="Y422" s="328"/>
      <c r="Z422"/>
      <c r="AA422"/>
      <c r="AB422"/>
      <c r="AC422" s="329"/>
      <c r="AD422" s="330"/>
    </row>
    <row r="423" spans="1:30" ht="12.75" customHeight="1">
      <c r="A423" s="137"/>
      <c r="B423" s="475" t="s">
        <v>462</v>
      </c>
      <c r="C423" s="476">
        <v>24</v>
      </c>
      <c r="D423" s="122">
        <f>D449</f>
        <v>24</v>
      </c>
      <c r="E423" s="555">
        <f>I449</f>
        <v>2106.913043478261</v>
      </c>
      <c r="F423" s="555">
        <f>M449</f>
        <v>2011.9130434782608</v>
      </c>
      <c r="G423" s="476">
        <f>C423-D423</f>
        <v>0</v>
      </c>
      <c r="H423" s="576">
        <f>E423-F423</f>
        <v>95.000000000000227</v>
      </c>
      <c r="K423" s="485" t="s">
        <v>58</v>
      </c>
      <c r="L423" s="486"/>
      <c r="M423" s="487">
        <f t="shared" ref="M423:Q423" si="11">SUM(M420:M422)</f>
        <v>4830906</v>
      </c>
      <c r="N423" s="487">
        <f t="shared" si="11"/>
        <v>6575409</v>
      </c>
      <c r="O423" s="487">
        <f t="shared" si="11"/>
        <v>6575409</v>
      </c>
      <c r="P423" s="487">
        <f t="shared" si="11"/>
        <v>0</v>
      </c>
      <c r="Q423" s="487">
        <f t="shared" si="11"/>
        <v>0</v>
      </c>
      <c r="R423" s="487">
        <f>SUM(R420:R422)</f>
        <v>0</v>
      </c>
      <c r="S423" s="487">
        <f>SUM(S420:S422)</f>
        <v>0</v>
      </c>
      <c r="U423" s="137"/>
      <c r="V423" s="137"/>
      <c r="W423" s="137"/>
      <c r="Z423"/>
      <c r="AA423"/>
      <c r="AB423"/>
    </row>
    <row r="424" spans="1:30" ht="12.75" customHeight="1">
      <c r="A424" s="137"/>
      <c r="B424" s="477" t="s">
        <v>465</v>
      </c>
      <c r="C424" s="478">
        <f>SUM(C421:C423)</f>
        <v>312</v>
      </c>
      <c r="D424" s="478">
        <f>SUM(D421:D423)</f>
        <v>312</v>
      </c>
      <c r="E424" s="479">
        <f>SUMPRODUCT(E421:E423,D421:D423)/D424</f>
        <v>1590.438302849491</v>
      </c>
      <c r="F424" s="479" t="e">
        <f>SUMPRODUCT(F421:F423,G421:G423)/G424</f>
        <v>#DIV/0!</v>
      </c>
      <c r="G424" s="478">
        <f>SUM(G421:G423)</f>
        <v>0</v>
      </c>
      <c r="H424" s="479">
        <f>SUMPRODUCT(H421:H423,D421:D423)/D424</f>
        <v>2.7722699623935623</v>
      </c>
      <c r="K424" s="249"/>
      <c r="L424" s="224"/>
      <c r="M424" s="225"/>
      <c r="N424" s="137"/>
      <c r="O424" s="137"/>
      <c r="P424" s="137"/>
      <c r="Q424" s="144"/>
      <c r="U424" s="137"/>
      <c r="V424" s="137"/>
      <c r="W424" s="137"/>
      <c r="Z424"/>
      <c r="AA424"/>
      <c r="AB424"/>
    </row>
    <row r="425" spans="1:30">
      <c r="A425" s="137"/>
      <c r="R425" s="108"/>
      <c r="S425" s="108"/>
      <c r="U425" s="137"/>
      <c r="V425" s="137"/>
      <c r="W425" s="137"/>
      <c r="Z425"/>
      <c r="AA425"/>
      <c r="AB425"/>
    </row>
    <row r="426" spans="1:30">
      <c r="A426" s="137"/>
      <c r="K426" s="488"/>
      <c r="L426" s="489"/>
      <c r="M426" s="492"/>
      <c r="N426" s="536">
        <v>45199</v>
      </c>
      <c r="O426" s="536">
        <v>45291</v>
      </c>
      <c r="P426" s="536">
        <v>45382</v>
      </c>
      <c r="Q426" s="536">
        <v>45473</v>
      </c>
      <c r="R426" s="536">
        <v>45565</v>
      </c>
      <c r="S426" s="536">
        <f>S399</f>
        <v>45657</v>
      </c>
      <c r="U426" s="137"/>
      <c r="V426" s="137"/>
      <c r="W426" s="137"/>
      <c r="Z426"/>
      <c r="AA426"/>
      <c r="AB426"/>
    </row>
    <row r="427" spans="1:30">
      <c r="A427" s="137"/>
      <c r="B427" s="174"/>
      <c r="K427" s="490"/>
      <c r="L427" s="491"/>
      <c r="M427" s="509"/>
      <c r="N427" s="509">
        <f t="shared" ref="N427:S427" si="12">N426</f>
        <v>45199</v>
      </c>
      <c r="O427" s="509">
        <f t="shared" si="12"/>
        <v>45291</v>
      </c>
      <c r="P427" s="509">
        <f t="shared" si="12"/>
        <v>45382</v>
      </c>
      <c r="Q427" s="509">
        <f t="shared" si="12"/>
        <v>45473</v>
      </c>
      <c r="R427" s="509">
        <f t="shared" si="12"/>
        <v>45565</v>
      </c>
      <c r="S427" s="509">
        <f t="shared" si="12"/>
        <v>45657</v>
      </c>
      <c r="T427" s="144"/>
      <c r="V427" s="137"/>
      <c r="W427" s="137"/>
      <c r="X427" s="137"/>
      <c r="Z427"/>
      <c r="AA427"/>
      <c r="AB427"/>
    </row>
    <row r="428" spans="1:30">
      <c r="A428" s="137"/>
      <c r="B428" s="174"/>
      <c r="K428" s="233" t="s">
        <v>387</v>
      </c>
      <c r="L428" s="498"/>
      <c r="M428" s="498"/>
      <c r="N428" s="498">
        <v>44796</v>
      </c>
      <c r="O428" s="498">
        <v>44796</v>
      </c>
      <c r="P428" s="498">
        <v>44796</v>
      </c>
      <c r="Q428" s="498">
        <v>44796</v>
      </c>
      <c r="R428" s="498">
        <v>44796</v>
      </c>
      <c r="S428" s="498">
        <v>44796</v>
      </c>
      <c r="T428" s="144"/>
      <c r="V428" s="137"/>
      <c r="W428" s="137"/>
      <c r="X428" s="137"/>
      <c r="Z428"/>
      <c r="AA428"/>
      <c r="AB428"/>
    </row>
    <row r="429" spans="1:30" ht="15">
      <c r="A429" s="137"/>
      <c r="B429" s="174"/>
      <c r="F429" s="511"/>
      <c r="K429" s="233" t="s">
        <v>386</v>
      </c>
      <c r="L429" s="499"/>
      <c r="M429" s="499"/>
      <c r="N429" s="499">
        <f t="shared" ref="N429:O429" si="13">EDATE(N428,N430)</f>
        <v>45527</v>
      </c>
      <c r="O429" s="499">
        <f t="shared" si="13"/>
        <v>45527</v>
      </c>
      <c r="P429" s="499">
        <f>EDATE(P428,P430)</f>
        <v>45527</v>
      </c>
      <c r="Q429" s="499">
        <v>45527</v>
      </c>
      <c r="R429" s="499">
        <f t="shared" ref="R429:S429" si="14">EDATE(R428,R430)</f>
        <v>45527</v>
      </c>
      <c r="S429" s="499">
        <f t="shared" si="14"/>
        <v>45527</v>
      </c>
      <c r="T429" s="144"/>
      <c r="V429" s="137"/>
      <c r="W429" s="137"/>
      <c r="X429" s="137"/>
      <c r="Y429" s="331"/>
      <c r="Z429"/>
      <c r="AA429"/>
      <c r="AB429"/>
      <c r="AC429" s="332"/>
    </row>
    <row r="430" spans="1:30">
      <c r="A430" s="137"/>
      <c r="B430" s="174"/>
      <c r="K430" s="233" t="s">
        <v>469</v>
      </c>
      <c r="L430" s="500"/>
      <c r="M430" s="500"/>
      <c r="N430" s="500">
        <f t="shared" ref="N430:O430" si="15">N432/N435</f>
        <v>24</v>
      </c>
      <c r="O430" s="500">
        <f t="shared" si="15"/>
        <v>24</v>
      </c>
      <c r="P430" s="500">
        <f>P432/P435</f>
        <v>24</v>
      </c>
      <c r="Q430" s="500">
        <v>24</v>
      </c>
      <c r="R430" s="500">
        <f t="shared" ref="R430:S430" si="16">R432/R435</f>
        <v>24</v>
      </c>
      <c r="S430" s="500">
        <f t="shared" si="16"/>
        <v>24</v>
      </c>
      <c r="T430" s="144"/>
      <c r="V430" s="137"/>
      <c r="W430" s="137"/>
      <c r="X430" s="137"/>
      <c r="Z430"/>
      <c r="AA430"/>
      <c r="AB430"/>
    </row>
    <row r="431" spans="1:30">
      <c r="A431" s="137"/>
      <c r="B431" s="174"/>
      <c r="K431" s="251" t="s">
        <v>389</v>
      </c>
      <c r="L431" s="252"/>
      <c r="M431" s="252"/>
      <c r="N431" s="252">
        <f>YEARFRAC(N428,N427)*12</f>
        <v>13.233333333333334</v>
      </c>
      <c r="O431" s="252">
        <f t="shared" ref="O431" si="17">YEARFRAC(O428,O427)*12</f>
        <v>16.266666666666666</v>
      </c>
      <c r="P431" s="252">
        <f>YEARFRAC(P428,P427)*12</f>
        <v>19.266666666666666</v>
      </c>
      <c r="Q431" s="252">
        <v>21.166666666666664</v>
      </c>
      <c r="R431" s="252">
        <f>YEARFRAC(R428,R427)*12</f>
        <v>25.233333333333334</v>
      </c>
      <c r="S431" s="252">
        <f>YEARFRAC(S428,S427)*12</f>
        <v>28.266666666666666</v>
      </c>
      <c r="T431" s="144"/>
      <c r="V431" s="137"/>
      <c r="W431" s="137"/>
      <c r="X431" s="137"/>
      <c r="Z431"/>
      <c r="AA431"/>
      <c r="AB431"/>
    </row>
    <row r="432" spans="1:30">
      <c r="A432" s="137"/>
      <c r="B432" s="174"/>
      <c r="K432" s="493" t="s">
        <v>388</v>
      </c>
      <c r="L432" s="321"/>
      <c r="M432" s="321"/>
      <c r="N432" s="321">
        <v>312</v>
      </c>
      <c r="O432" s="321">
        <v>312</v>
      </c>
      <c r="P432" s="321">
        <v>312</v>
      </c>
      <c r="Q432" s="321">
        <v>312</v>
      </c>
      <c r="R432" s="321">
        <v>312</v>
      </c>
      <c r="S432" s="321">
        <v>312</v>
      </c>
      <c r="T432" s="144"/>
      <c r="V432" s="137"/>
      <c r="W432" s="137"/>
      <c r="X432" s="137"/>
      <c r="Z432"/>
      <c r="AA432"/>
      <c r="AB432"/>
    </row>
    <row r="433" spans="1:28">
      <c r="A433" s="137"/>
      <c r="B433" s="174"/>
      <c r="K433" s="494" t="s">
        <v>470</v>
      </c>
      <c r="L433" s="501"/>
      <c r="M433" s="501"/>
      <c r="N433" s="501">
        <v>149</v>
      </c>
      <c r="O433" s="501">
        <v>181</v>
      </c>
      <c r="P433" s="501">
        <v>240</v>
      </c>
      <c r="Q433" s="501">
        <v>249</v>
      </c>
      <c r="R433" s="510">
        <f>R410</f>
        <v>291</v>
      </c>
      <c r="S433" s="510">
        <f>S410</f>
        <v>312</v>
      </c>
      <c r="T433" s="144"/>
      <c r="V433" s="137"/>
      <c r="W433" s="137"/>
      <c r="X433" s="137"/>
      <c r="Z433"/>
      <c r="AA433"/>
      <c r="AB433"/>
    </row>
    <row r="434" spans="1:28">
      <c r="A434" s="137"/>
      <c r="K434" s="165" t="s">
        <v>471</v>
      </c>
      <c r="L434" s="241"/>
      <c r="M434" s="495"/>
      <c r="N434" s="495">
        <f>N433/N432</f>
        <v>0.47756410256410259</v>
      </c>
      <c r="O434" s="495">
        <f>O433/O432</f>
        <v>0.58012820512820518</v>
      </c>
      <c r="P434" s="495">
        <f>P433/P432</f>
        <v>0.76923076923076927</v>
      </c>
      <c r="Q434" s="495">
        <v>0.79807692307692313</v>
      </c>
      <c r="R434" s="495">
        <f>R433/R432</f>
        <v>0.93269230769230771</v>
      </c>
      <c r="S434" s="495">
        <f>S433/S432</f>
        <v>1</v>
      </c>
      <c r="T434" s="144"/>
      <c r="V434" s="137"/>
      <c r="W434" s="137"/>
      <c r="X434" s="137"/>
      <c r="Z434"/>
      <c r="AA434"/>
      <c r="AB434"/>
    </row>
    <row r="435" spans="1:28">
      <c r="A435" s="137"/>
      <c r="K435" s="496" t="s">
        <v>385</v>
      </c>
      <c r="L435" s="502"/>
      <c r="M435" s="503"/>
      <c r="N435" s="503">
        <v>13</v>
      </c>
      <c r="O435" s="503">
        <v>13</v>
      </c>
      <c r="P435" s="503">
        <v>13</v>
      </c>
      <c r="Q435" s="503">
        <v>13</v>
      </c>
      <c r="R435" s="503">
        <v>13</v>
      </c>
      <c r="S435" s="503">
        <v>13</v>
      </c>
      <c r="T435" s="144"/>
      <c r="V435" s="137"/>
      <c r="W435" s="137"/>
      <c r="X435" s="137"/>
      <c r="Z435"/>
      <c r="AA435"/>
      <c r="AB435"/>
    </row>
    <row r="436" spans="1:28">
      <c r="A436" s="137"/>
      <c r="B436"/>
      <c r="K436" s="234" t="s">
        <v>395</v>
      </c>
      <c r="L436" s="504"/>
      <c r="M436" s="504"/>
      <c r="N436" s="504">
        <f t="shared" ref="N436:O436" si="18">N433/N431</f>
        <v>11.259445843828715</v>
      </c>
      <c r="O436" s="504">
        <f t="shared" si="18"/>
        <v>11.127049180327869</v>
      </c>
      <c r="P436" s="504">
        <f>P433/P431</f>
        <v>12.456747404844291</v>
      </c>
      <c r="Q436" s="504">
        <v>11.763779527559057</v>
      </c>
      <c r="R436" s="504">
        <f>R433/R431</f>
        <v>11.532364597093791</v>
      </c>
      <c r="S436" s="504">
        <f>S433/S431</f>
        <v>11.037735849056604</v>
      </c>
      <c r="T436" s="144"/>
      <c r="V436" s="137"/>
      <c r="W436" s="137"/>
      <c r="X436" s="137"/>
      <c r="Z436"/>
      <c r="AA436"/>
      <c r="AB436"/>
    </row>
    <row r="437" spans="1:28">
      <c r="A437" s="137"/>
      <c r="J437" s="139"/>
      <c r="K437" s="497" t="s">
        <v>472</v>
      </c>
      <c r="L437" s="505"/>
      <c r="M437" s="506"/>
      <c r="N437" s="506">
        <f t="shared" ref="N437:O437" si="19">N431*N435</f>
        <v>172.03333333333336</v>
      </c>
      <c r="O437" s="506">
        <f t="shared" si="19"/>
        <v>211.46666666666664</v>
      </c>
      <c r="P437" s="506">
        <f>P431*P435</f>
        <v>250.46666666666664</v>
      </c>
      <c r="Q437" s="506">
        <v>275.16666666666663</v>
      </c>
      <c r="R437" s="506">
        <f>R430*R435</f>
        <v>312</v>
      </c>
      <c r="S437" s="506">
        <f>S430*S435</f>
        <v>312</v>
      </c>
      <c r="T437" s="144"/>
      <c r="V437" s="137"/>
      <c r="W437" s="137"/>
      <c r="X437" s="137"/>
      <c r="Z437"/>
      <c r="AA437"/>
      <c r="AB437"/>
    </row>
    <row r="438" spans="1:28">
      <c r="A438" s="137"/>
      <c r="B438" s="137"/>
      <c r="C438" s="137"/>
      <c r="D438" s="137"/>
      <c r="E438" s="137"/>
      <c r="F438" s="137"/>
      <c r="H438" s="137"/>
      <c r="I438" s="137"/>
      <c r="J438" s="139"/>
      <c r="K438" s="507" t="s">
        <v>473</v>
      </c>
      <c r="L438" s="508"/>
      <c r="M438" s="508"/>
      <c r="N438" s="508">
        <f t="shared" ref="N438:O438" si="20">N433-N437</f>
        <v>-23.03333333333336</v>
      </c>
      <c r="O438" s="508">
        <f t="shared" si="20"/>
        <v>-30.46666666666664</v>
      </c>
      <c r="P438" s="508">
        <f>P433-P437</f>
        <v>-10.46666666666664</v>
      </c>
      <c r="Q438" s="508">
        <v>-26.166666666666629</v>
      </c>
      <c r="R438" s="508">
        <f>R433-R437</f>
        <v>-21</v>
      </c>
      <c r="S438" s="508">
        <f>S433-S437</f>
        <v>0</v>
      </c>
      <c r="T438" s="144"/>
      <c r="V438" s="137"/>
      <c r="W438" s="137"/>
      <c r="X438" s="137"/>
      <c r="Z438"/>
      <c r="AA438"/>
      <c r="AB438"/>
    </row>
    <row r="439" spans="1:28">
      <c r="A439" s="137"/>
      <c r="B439" s="137"/>
      <c r="C439" s="137"/>
      <c r="D439" s="137"/>
      <c r="I439" s="137"/>
      <c r="J439" s="139"/>
      <c r="T439" s="144"/>
      <c r="V439" s="137"/>
      <c r="W439" s="137"/>
      <c r="X439" s="137"/>
      <c r="Z439"/>
      <c r="AA439"/>
      <c r="AB439"/>
    </row>
    <row r="440" spans="1:28">
      <c r="A440" s="137"/>
      <c r="H440" s="137"/>
      <c r="I440" s="139"/>
      <c r="J440" s="137"/>
      <c r="K440" s="244"/>
      <c r="L440" s="244"/>
      <c r="M440" s="244"/>
      <c r="N440" s="244"/>
      <c r="O440" s="244"/>
      <c r="P440" s="244"/>
      <c r="Q440" s="144"/>
      <c r="S440" s="137"/>
      <c r="T440" s="144"/>
      <c r="V440" s="137"/>
      <c r="W440" s="137"/>
      <c r="X440" s="137"/>
      <c r="Z440"/>
      <c r="AA440"/>
      <c r="AB440"/>
    </row>
    <row r="441" spans="1:28">
      <c r="A441" s="137"/>
      <c r="B441" s="137"/>
      <c r="C441" s="137"/>
      <c r="I441" s="139"/>
      <c r="T441" s="137"/>
      <c r="U441" s="137"/>
      <c r="V441" s="137"/>
      <c r="W441" s="137"/>
      <c r="Z441"/>
      <c r="AA441"/>
      <c r="AB441"/>
    </row>
    <row r="442" spans="1:28" ht="38.25">
      <c r="A442" s="137"/>
      <c r="B442" s="556" t="s">
        <v>548</v>
      </c>
      <c r="C442" s="557" t="s">
        <v>549</v>
      </c>
      <c r="D442" s="557" t="s">
        <v>550</v>
      </c>
      <c r="E442" s="557" t="s">
        <v>551</v>
      </c>
      <c r="F442" s="558" t="s">
        <v>552</v>
      </c>
      <c r="G442" s="559" t="s">
        <v>553</v>
      </c>
      <c r="H442" s="560"/>
      <c r="I442" s="561" t="s">
        <v>561</v>
      </c>
      <c r="J442" s="561" t="s">
        <v>562</v>
      </c>
      <c r="K442" s="561" t="s">
        <v>563</v>
      </c>
      <c r="L442" s="562"/>
      <c r="M442" s="561" t="s">
        <v>564</v>
      </c>
      <c r="N442" s="561" t="s">
        <v>565</v>
      </c>
      <c r="O442" s="563" t="s">
        <v>566</v>
      </c>
      <c r="P442"/>
      <c r="Q442"/>
      <c r="R442"/>
      <c r="S442" s="108"/>
    </row>
    <row r="443" spans="1:28">
      <c r="A443" s="137"/>
      <c r="B443" s="564" t="s">
        <v>554</v>
      </c>
      <c r="C443" s="565" t="s">
        <v>402</v>
      </c>
      <c r="D443" s="566">
        <v>72</v>
      </c>
      <c r="E443" s="565">
        <v>656</v>
      </c>
      <c r="F443" s="567">
        <v>181</v>
      </c>
      <c r="G443" s="568">
        <v>44795</v>
      </c>
      <c r="H443" s="568"/>
      <c r="I443" s="569">
        <v>1384.8571428571429</v>
      </c>
      <c r="J443" s="569">
        <v>1235.7285714285715</v>
      </c>
      <c r="K443" s="569">
        <v>166.27142857142857</v>
      </c>
      <c r="L443" s="567"/>
      <c r="M443" s="569">
        <v>1417.7142857142858</v>
      </c>
      <c r="N443" s="569">
        <v>-32.857142857142854</v>
      </c>
      <c r="O443" s="570">
        <v>1834.5258721002581</v>
      </c>
      <c r="P443"/>
      <c r="Q443"/>
      <c r="R443"/>
      <c r="S443" s="108"/>
    </row>
    <row r="444" spans="1:28">
      <c r="A444" s="137"/>
      <c r="B444" s="564" t="s">
        <v>555</v>
      </c>
      <c r="C444" s="565" t="s">
        <v>404</v>
      </c>
      <c r="D444" s="566">
        <v>56</v>
      </c>
      <c r="E444" s="565">
        <v>733</v>
      </c>
      <c r="F444" s="567">
        <v>178</v>
      </c>
      <c r="G444" s="568">
        <v>44795</v>
      </c>
      <c r="H444" s="568"/>
      <c r="I444" s="569">
        <v>1422.7931034482758</v>
      </c>
      <c r="J444" s="569">
        <v>1277.7241379310344</v>
      </c>
      <c r="K444" s="569">
        <v>145.06896551724137</v>
      </c>
      <c r="L444" s="567"/>
      <c r="M444" s="569">
        <v>1447.3793103448277</v>
      </c>
      <c r="N444" s="569">
        <v>-7.5172413793103452</v>
      </c>
      <c r="O444" s="570">
        <v>1858.0072075747039</v>
      </c>
      <c r="P444"/>
      <c r="Q444"/>
      <c r="R444"/>
      <c r="S444" s="108"/>
    </row>
    <row r="445" spans="1:28">
      <c r="A445" s="137"/>
      <c r="B445" s="564" t="s">
        <v>556</v>
      </c>
      <c r="C445" s="565" t="s">
        <v>187</v>
      </c>
      <c r="D445" s="566">
        <v>28</v>
      </c>
      <c r="E445" s="565">
        <v>826</v>
      </c>
      <c r="F445" s="567">
        <v>165</v>
      </c>
      <c r="G445" s="568">
        <v>44795</v>
      </c>
      <c r="H445" s="568"/>
      <c r="I445" s="569">
        <v>1429.5769230769231</v>
      </c>
      <c r="J445" s="569">
        <v>1286.6923076923076</v>
      </c>
      <c r="K445" s="569">
        <v>142.88461538461539</v>
      </c>
      <c r="L445" s="567"/>
      <c r="M445" s="569">
        <v>1390.7307692307693</v>
      </c>
      <c r="N445" s="569">
        <v>38.846153846153847</v>
      </c>
      <c r="O445" s="570">
        <v>1907.5784762040478</v>
      </c>
      <c r="P445"/>
      <c r="Q445"/>
      <c r="R445"/>
      <c r="S445" s="108"/>
    </row>
    <row r="446" spans="1:28">
      <c r="A446" s="137"/>
      <c r="B446" s="564" t="s">
        <v>557</v>
      </c>
      <c r="C446" s="565" t="s">
        <v>403</v>
      </c>
      <c r="D446" s="566">
        <v>60</v>
      </c>
      <c r="E446" s="565">
        <v>962</v>
      </c>
      <c r="F446" s="567">
        <v>175</v>
      </c>
      <c r="G446" s="568">
        <v>44795</v>
      </c>
      <c r="H446" s="568"/>
      <c r="I446" s="569">
        <v>1649.7833333333333</v>
      </c>
      <c r="J446" s="569">
        <v>1491.55</v>
      </c>
      <c r="K446" s="569">
        <v>158.23333333333332</v>
      </c>
      <c r="L446" s="567"/>
      <c r="M446" s="569">
        <v>1693.2</v>
      </c>
      <c r="N446" s="569">
        <v>-43.416666666666664</v>
      </c>
      <c r="O446" s="570">
        <v>2130.4831338017798</v>
      </c>
      <c r="P446"/>
      <c r="Q446"/>
      <c r="R446"/>
      <c r="S446" s="108"/>
    </row>
    <row r="447" spans="1:28">
      <c r="A447" s="137"/>
      <c r="B447" s="564" t="s">
        <v>558</v>
      </c>
      <c r="C447" s="565" t="s">
        <v>401</v>
      </c>
      <c r="D447" s="566">
        <v>47</v>
      </c>
      <c r="E447" s="565">
        <v>977</v>
      </c>
      <c r="F447" s="567">
        <v>226</v>
      </c>
      <c r="G447" s="568">
        <v>44747</v>
      </c>
      <c r="H447" s="568"/>
      <c r="I447" s="569">
        <v>1738.804347826087</v>
      </c>
      <c r="J447" s="569">
        <v>1543.2608695652175</v>
      </c>
      <c r="K447" s="569">
        <v>195.54347826086956</v>
      </c>
      <c r="L447" s="567"/>
      <c r="M447" s="569">
        <v>1735.7777777777778</v>
      </c>
      <c r="N447" s="569">
        <v>1.4666666666666666</v>
      </c>
      <c r="O447" s="570">
        <v>2155.4996042083558</v>
      </c>
      <c r="P447"/>
      <c r="Q447"/>
      <c r="R447"/>
      <c r="S447" s="108"/>
    </row>
    <row r="448" spans="1:28">
      <c r="A448" s="137"/>
      <c r="B448" s="564" t="s">
        <v>559</v>
      </c>
      <c r="C448" s="565" t="s">
        <v>186</v>
      </c>
      <c r="D448" s="566">
        <v>25</v>
      </c>
      <c r="E448" s="565">
        <v>1083</v>
      </c>
      <c r="F448" s="567">
        <v>250</v>
      </c>
      <c r="G448" s="568">
        <v>44795</v>
      </c>
      <c r="H448" s="568"/>
      <c r="I448" s="569">
        <v>1732.2083333333333</v>
      </c>
      <c r="J448" s="569">
        <v>1535.9583333333333</v>
      </c>
      <c r="K448" s="569">
        <v>196.25</v>
      </c>
      <c r="L448" s="567"/>
      <c r="M448" s="569">
        <v>1702</v>
      </c>
      <c r="N448" s="569">
        <v>30.208333333333332</v>
      </c>
      <c r="O448" s="570">
        <v>2227.0540515259295</v>
      </c>
      <c r="P448"/>
      <c r="Q448"/>
      <c r="R448"/>
      <c r="S448" s="108"/>
    </row>
    <row r="449" spans="1:28">
      <c r="A449" s="137"/>
      <c r="B449" s="564" t="s">
        <v>560</v>
      </c>
      <c r="C449" s="565" t="s">
        <v>405</v>
      </c>
      <c r="D449" s="566">
        <v>24</v>
      </c>
      <c r="E449" s="565">
        <v>1135</v>
      </c>
      <c r="F449" s="567">
        <v>250</v>
      </c>
      <c r="G449" s="568">
        <v>44795</v>
      </c>
      <c r="H449" s="568"/>
      <c r="I449" s="569">
        <v>2106.913043478261</v>
      </c>
      <c r="J449" s="569">
        <v>1892.7826086956522</v>
      </c>
      <c r="K449" s="569">
        <v>214.13043478260869</v>
      </c>
      <c r="L449" s="567"/>
      <c r="M449" s="569">
        <v>2011.9130434782608</v>
      </c>
      <c r="N449" s="569">
        <v>95</v>
      </c>
      <c r="O449" s="570">
        <v>2346.8298629845617</v>
      </c>
      <c r="P449"/>
      <c r="Q449"/>
      <c r="R449"/>
      <c r="S449" s="108"/>
    </row>
    <row r="450" spans="1:28" ht="14.25">
      <c r="A450" s="137"/>
      <c r="B450" s="588" t="s">
        <v>58</v>
      </c>
      <c r="C450" s="589"/>
      <c r="D450" s="590">
        <f>SUM(D443:D449)</f>
        <v>312</v>
      </c>
      <c r="E450" s="590"/>
      <c r="F450" s="591"/>
      <c r="G450" s="592"/>
      <c r="H450" s="592"/>
      <c r="I450" s="593">
        <v>1581.872964169381</v>
      </c>
      <c r="J450" s="593">
        <v>1416.7524429967427</v>
      </c>
      <c r="K450" s="593">
        <v>169.02931596091204</v>
      </c>
      <c r="L450" s="591"/>
      <c r="M450" s="593">
        <v>1588.7941176470588</v>
      </c>
      <c r="N450" s="593">
        <v>-4.4281045751633989</v>
      </c>
      <c r="O450" s="594">
        <v>2021.6470965754293</v>
      </c>
      <c r="P450"/>
      <c r="Q450"/>
      <c r="R450"/>
      <c r="S450" s="108"/>
    </row>
    <row r="451" spans="1:28">
      <c r="A451" s="137"/>
      <c r="B451" s="137"/>
      <c r="C451" s="137"/>
      <c r="D451" s="137"/>
      <c r="E451" s="137"/>
      <c r="F451" s="137"/>
      <c r="G451" s="137"/>
      <c r="H451" s="137"/>
      <c r="I451" s="139"/>
      <c r="J451" s="137"/>
      <c r="K451" s="173"/>
      <c r="L451" s="137"/>
      <c r="M451" s="137"/>
      <c r="N451" s="137"/>
      <c r="O451" s="137"/>
      <c r="P451" s="137"/>
      <c r="Q451" s="137"/>
      <c r="T451" s="137"/>
      <c r="U451" s="137"/>
      <c r="V451" s="137"/>
      <c r="W451" s="137"/>
      <c r="Z451"/>
      <c r="AA451"/>
      <c r="AB451"/>
    </row>
    <row r="452" spans="1:28">
      <c r="A452" s="137"/>
      <c r="B452" s="137"/>
      <c r="C452" s="137"/>
      <c r="D452" s="137"/>
      <c r="E452" s="137"/>
      <c r="F452" s="137"/>
      <c r="G452" s="137"/>
      <c r="H452" s="137"/>
      <c r="I452" s="139"/>
      <c r="J452" s="137"/>
      <c r="K452" s="173"/>
      <c r="L452" s="137"/>
      <c r="M452" s="137"/>
      <c r="N452" s="137"/>
      <c r="O452" s="137"/>
      <c r="P452" s="137"/>
      <c r="Q452" s="137"/>
      <c r="T452" s="137"/>
      <c r="U452" s="137"/>
      <c r="V452" s="137"/>
      <c r="W452" s="137"/>
      <c r="Z452"/>
      <c r="AA452"/>
      <c r="AB452"/>
    </row>
    <row r="453" spans="1:28">
      <c r="E453" s="236"/>
      <c r="F453" s="236"/>
      <c r="L453" s="137"/>
      <c r="M453" s="137"/>
      <c r="N453" s="137"/>
      <c r="Z453"/>
      <c r="AA453"/>
      <c r="AB453"/>
    </row>
    <row r="454" spans="1:28">
      <c r="D454" s="137"/>
      <c r="E454" s="137"/>
      <c r="F454" s="137"/>
      <c r="G454" s="137"/>
      <c r="H454" s="137"/>
      <c r="I454" s="137"/>
      <c r="J454" s="137"/>
      <c r="K454" s="137"/>
      <c r="L454" s="137"/>
      <c r="M454" s="137"/>
      <c r="N454" s="137"/>
      <c r="O454" s="137"/>
      <c r="P454" s="137"/>
      <c r="Q454" s="137"/>
      <c r="T454" s="137"/>
      <c r="U454" s="137"/>
      <c r="V454" s="137"/>
      <c r="W454" s="137"/>
      <c r="Z454"/>
      <c r="AA454"/>
      <c r="AB454"/>
    </row>
    <row r="455" spans="1:28">
      <c r="D455" s="137"/>
      <c r="E455" s="137"/>
      <c r="F455" s="137"/>
      <c r="G455" s="137"/>
      <c r="H455" s="137"/>
      <c r="I455" s="137"/>
      <c r="J455" s="137"/>
      <c r="K455" s="137"/>
      <c r="L455" s="137"/>
      <c r="M455" s="137"/>
      <c r="N455" s="137"/>
      <c r="O455" s="137"/>
      <c r="P455" s="137"/>
      <c r="Q455" s="137"/>
      <c r="T455" s="137"/>
      <c r="U455" s="137"/>
      <c r="V455" s="137"/>
      <c r="W455" s="137"/>
      <c r="Z455"/>
      <c r="AA455"/>
      <c r="AB455"/>
    </row>
    <row r="456" spans="1:28">
      <c r="D456" s="137"/>
      <c r="E456" s="137"/>
      <c r="F456" s="137"/>
      <c r="G456" s="137"/>
      <c r="H456" s="137"/>
      <c r="I456" s="137"/>
      <c r="J456" s="137"/>
      <c r="K456" s="137"/>
      <c r="L456" s="137"/>
      <c r="M456" s="137"/>
      <c r="N456" s="137"/>
      <c r="O456" s="137"/>
      <c r="P456" s="137"/>
      <c r="Q456" s="137"/>
      <c r="T456" s="137"/>
      <c r="U456" s="137"/>
      <c r="V456" s="137"/>
      <c r="W456" s="137"/>
      <c r="Z456"/>
      <c r="AA456"/>
      <c r="AB456"/>
    </row>
    <row r="457" spans="1:28">
      <c r="D457" s="137"/>
      <c r="E457" s="137"/>
      <c r="F457" s="137"/>
      <c r="G457" s="137"/>
      <c r="H457" s="137"/>
      <c r="I457" s="137"/>
      <c r="J457" s="137"/>
      <c r="K457" s="137"/>
      <c r="L457" s="137"/>
      <c r="M457" s="137"/>
      <c r="N457" s="137"/>
      <c r="O457" s="137"/>
      <c r="P457" s="137"/>
      <c r="Q457" s="137"/>
      <c r="T457" s="137"/>
      <c r="U457" s="137"/>
      <c r="V457" s="137"/>
      <c r="W457" s="137"/>
      <c r="Z457"/>
      <c r="AA457"/>
      <c r="AB457"/>
    </row>
    <row r="458" spans="1:28">
      <c r="D458" s="137"/>
      <c r="E458" s="137"/>
      <c r="F458" s="137"/>
      <c r="G458" s="137"/>
      <c r="H458" s="137"/>
      <c r="I458" s="137"/>
      <c r="J458" s="137"/>
      <c r="K458" s="137"/>
      <c r="L458" s="137"/>
      <c r="M458" s="137"/>
      <c r="N458" s="137"/>
      <c r="O458" s="137"/>
      <c r="P458" s="137"/>
      <c r="Q458" s="137"/>
      <c r="T458" s="137"/>
      <c r="U458" s="137"/>
      <c r="V458" s="137"/>
      <c r="W458" s="137"/>
      <c r="Z458"/>
      <c r="AA458"/>
      <c r="AB458"/>
    </row>
    <row r="459" spans="1:28">
      <c r="D459" s="137"/>
      <c r="E459" s="137"/>
      <c r="F459" s="137"/>
      <c r="G459" s="137"/>
      <c r="H459" s="137"/>
      <c r="I459" s="137"/>
      <c r="J459" s="137"/>
      <c r="K459" s="137"/>
      <c r="L459" s="137"/>
      <c r="M459" s="137"/>
      <c r="N459" s="137"/>
      <c r="O459" s="137"/>
      <c r="P459" s="137"/>
      <c r="Q459" s="137"/>
      <c r="T459" s="137"/>
      <c r="U459" s="137"/>
      <c r="V459" s="137"/>
      <c r="W459" s="137"/>
      <c r="Z459"/>
      <c r="AA459"/>
      <c r="AB459"/>
    </row>
    <row r="460" spans="1:28">
      <c r="A460" s="137"/>
      <c r="B460" s="139"/>
      <c r="C460" s="137"/>
      <c r="D460" s="137"/>
      <c r="E460" s="137"/>
      <c r="F460" s="137"/>
      <c r="G460" s="137"/>
      <c r="H460" s="137"/>
      <c r="I460" s="137"/>
      <c r="J460" s="137"/>
      <c r="K460" s="137"/>
      <c r="L460" s="137"/>
      <c r="M460" s="137"/>
      <c r="N460" s="137"/>
      <c r="O460" s="137"/>
      <c r="P460" s="137"/>
      <c r="Q460" s="137"/>
      <c r="T460" s="137"/>
      <c r="U460" s="137"/>
      <c r="V460" s="137"/>
      <c r="W460" s="137"/>
      <c r="Z460"/>
      <c r="AA460"/>
      <c r="AB460"/>
    </row>
    <row r="461" spans="1:28">
      <c r="A461" s="137"/>
      <c r="B461" s="139"/>
      <c r="C461" s="137"/>
      <c r="D461" s="137"/>
      <c r="E461" s="137"/>
      <c r="F461" s="137"/>
      <c r="G461" s="137"/>
      <c r="H461" s="137"/>
      <c r="I461" s="137"/>
      <c r="J461" s="137"/>
      <c r="K461" s="137"/>
      <c r="L461" s="137"/>
      <c r="M461" s="137"/>
      <c r="N461" s="137"/>
      <c r="O461" s="137"/>
      <c r="P461" s="137"/>
      <c r="Q461" s="137"/>
      <c r="T461" s="137"/>
      <c r="U461" s="137"/>
      <c r="V461" s="137"/>
      <c r="W461" s="137"/>
      <c r="Z461"/>
      <c r="AA461"/>
      <c r="AB461"/>
    </row>
    <row r="462" spans="1:28">
      <c r="A462" s="137"/>
      <c r="B462" s="137"/>
      <c r="C462" s="137"/>
      <c r="D462" s="137"/>
      <c r="E462" s="137"/>
      <c r="F462" s="137"/>
      <c r="G462" s="137"/>
      <c r="H462" s="137"/>
      <c r="I462" s="137"/>
      <c r="J462" s="137"/>
      <c r="K462" s="137"/>
      <c r="L462" s="137"/>
      <c r="M462" s="137"/>
      <c r="N462" s="137"/>
      <c r="O462" s="137"/>
      <c r="P462" s="137"/>
      <c r="Q462" s="137"/>
      <c r="T462" s="137"/>
      <c r="U462" s="137"/>
      <c r="V462" s="137"/>
      <c r="W462" s="137"/>
      <c r="Z462"/>
      <c r="AA462"/>
      <c r="AB462"/>
    </row>
    <row r="463" spans="1:28">
      <c r="A463" s="137"/>
      <c r="B463" s="137"/>
      <c r="C463" s="137"/>
      <c r="D463" s="137"/>
      <c r="E463" s="137"/>
      <c r="F463" s="137"/>
      <c r="G463" s="137"/>
      <c r="H463" s="137"/>
      <c r="I463" s="137"/>
      <c r="J463" s="137"/>
      <c r="K463" s="137"/>
      <c r="L463" s="137"/>
      <c r="M463" s="137"/>
      <c r="N463" s="137"/>
      <c r="O463" s="137"/>
      <c r="P463" s="137"/>
      <c r="Q463" s="137"/>
      <c r="T463" s="137"/>
      <c r="U463" s="137"/>
      <c r="V463" s="137"/>
      <c r="W463" s="137"/>
      <c r="Z463"/>
      <c r="AA463"/>
      <c r="AB463"/>
    </row>
    <row r="464" spans="1:28">
      <c r="A464" s="137"/>
      <c r="B464" s="137"/>
      <c r="C464" s="137"/>
      <c r="D464" s="137"/>
      <c r="E464" s="137"/>
      <c r="F464" s="137"/>
      <c r="G464" s="137"/>
      <c r="H464" s="137"/>
      <c r="I464" s="137"/>
      <c r="J464" s="137"/>
      <c r="K464" s="137"/>
      <c r="L464" s="137"/>
      <c r="M464" s="137"/>
      <c r="N464" s="137"/>
      <c r="O464" s="137"/>
      <c r="P464" s="137"/>
      <c r="Q464" s="137"/>
      <c r="T464" s="137"/>
      <c r="U464" s="137"/>
      <c r="V464" s="137"/>
      <c r="W464" s="137"/>
      <c r="Z464"/>
      <c r="AA464"/>
      <c r="AB464"/>
    </row>
    <row r="465" spans="4:28">
      <c r="D465" s="137"/>
      <c r="E465" s="137"/>
      <c r="F465" s="137"/>
      <c r="G465" s="137"/>
      <c r="H465" s="137"/>
      <c r="I465" s="137"/>
      <c r="J465" s="137"/>
      <c r="K465" s="137"/>
      <c r="O465" s="137"/>
      <c r="P465" s="137"/>
      <c r="Q465" s="137"/>
      <c r="T465" s="137"/>
      <c r="U465" s="137"/>
      <c r="V465" s="137"/>
      <c r="W465" s="137"/>
      <c r="Z465"/>
      <c r="AA465"/>
      <c r="AB465"/>
    </row>
    <row r="466" spans="4:28">
      <c r="Z466"/>
      <c r="AA466"/>
      <c r="AB466"/>
    </row>
    <row r="467" spans="4:28">
      <c r="L467" s="138"/>
      <c r="Z467"/>
      <c r="AA467"/>
      <c r="AB467"/>
    </row>
    <row r="468" spans="4:28">
      <c r="Z468"/>
      <c r="AA468"/>
      <c r="AB468"/>
    </row>
    <row r="469" spans="4:28">
      <c r="Z469"/>
      <c r="AA469"/>
      <c r="AB469"/>
    </row>
    <row r="470" spans="4:28">
      <c r="Z470"/>
      <c r="AA470"/>
      <c r="AB470"/>
    </row>
    <row r="471" spans="4:28">
      <c r="Z471"/>
      <c r="AA471"/>
      <c r="AB471"/>
    </row>
    <row r="472" spans="4:28">
      <c r="Z472"/>
      <c r="AA472"/>
      <c r="AB472"/>
    </row>
    <row r="473" spans="4:28">
      <c r="Z473"/>
      <c r="AA473"/>
      <c r="AB473"/>
    </row>
    <row r="474" spans="4:28">
      <c r="Z474"/>
      <c r="AA474"/>
      <c r="AB474"/>
    </row>
    <row r="475" spans="4:28">
      <c r="Z475"/>
      <c r="AA475"/>
      <c r="AB475"/>
    </row>
    <row r="476" spans="4:28">
      <c r="Z476"/>
      <c r="AA476"/>
      <c r="AB476"/>
    </row>
    <row r="477" spans="4:28">
      <c r="Z477"/>
      <c r="AA477"/>
      <c r="AB477"/>
    </row>
    <row r="478" spans="4:28">
      <c r="Z478"/>
      <c r="AA478"/>
      <c r="AB478"/>
    </row>
    <row r="479" spans="4:28">
      <c r="Z479"/>
      <c r="AA479"/>
      <c r="AB479"/>
    </row>
    <row r="480" spans="4:28">
      <c r="Z480"/>
      <c r="AA480"/>
      <c r="AB480"/>
    </row>
    <row r="481" spans="26:28">
      <c r="Z481"/>
      <c r="AA481"/>
      <c r="AB481"/>
    </row>
    <row r="482" spans="26:28">
      <c r="Z482"/>
      <c r="AA482"/>
      <c r="AB482"/>
    </row>
    <row r="483" spans="26:28">
      <c r="Z483"/>
      <c r="AA483"/>
      <c r="AB483"/>
    </row>
    <row r="484" spans="26:28">
      <c r="Z484"/>
      <c r="AA484"/>
      <c r="AB484"/>
    </row>
    <row r="485" spans="26:28">
      <c r="Z485"/>
      <c r="AA485"/>
      <c r="AB485"/>
    </row>
    <row r="486" spans="26:28">
      <c r="Z486"/>
      <c r="AA486"/>
      <c r="AB486"/>
    </row>
    <row r="487" spans="26:28">
      <c r="Z487"/>
      <c r="AA487"/>
      <c r="AB487"/>
    </row>
    <row r="488" spans="26:28">
      <c r="Z488"/>
      <c r="AA488"/>
      <c r="AB488"/>
    </row>
    <row r="489" spans="26:28">
      <c r="Z489"/>
      <c r="AA489"/>
      <c r="AB489"/>
    </row>
    <row r="490" spans="26:28">
      <c r="Z490"/>
      <c r="AA490"/>
      <c r="AB490"/>
    </row>
    <row r="491" spans="26:28">
      <c r="Z491"/>
      <c r="AA491"/>
      <c r="AB491"/>
    </row>
    <row r="492" spans="26:28">
      <c r="Z492"/>
      <c r="AA492"/>
      <c r="AB492"/>
    </row>
    <row r="493" spans="26:28">
      <c r="Z493"/>
      <c r="AA493"/>
      <c r="AB493"/>
    </row>
    <row r="494" spans="26:28">
      <c r="Z494"/>
      <c r="AA494"/>
      <c r="AB494"/>
    </row>
    <row r="495" spans="26:28">
      <c r="Z495"/>
      <c r="AA495"/>
      <c r="AB495"/>
    </row>
    <row r="496" spans="26:28">
      <c r="Z496"/>
      <c r="AA496"/>
      <c r="AB496"/>
    </row>
    <row r="497" spans="26:28">
      <c r="Z497"/>
      <c r="AA497"/>
      <c r="AB497"/>
    </row>
    <row r="498" spans="26:28">
      <c r="Z498"/>
      <c r="AA498"/>
      <c r="AB498"/>
    </row>
    <row r="499" spans="26:28">
      <c r="Z499"/>
      <c r="AA499"/>
      <c r="AB499"/>
    </row>
    <row r="500" spans="26:28">
      <c r="Z500"/>
      <c r="AA500"/>
      <c r="AB500"/>
    </row>
    <row r="501" spans="26:28">
      <c r="Z501"/>
      <c r="AA501"/>
      <c r="AB501"/>
    </row>
    <row r="502" spans="26:28">
      <c r="Z502"/>
      <c r="AA502"/>
      <c r="AB502"/>
    </row>
    <row r="503" spans="26:28">
      <c r="Z503"/>
      <c r="AA503"/>
      <c r="AB503"/>
    </row>
    <row r="504" spans="26:28">
      <c r="Z504"/>
      <c r="AA504"/>
      <c r="AB504"/>
    </row>
    <row r="505" spans="26:28">
      <c r="Z505"/>
      <c r="AA505"/>
      <c r="AB505"/>
    </row>
    <row r="506" spans="26:28">
      <c r="Z506"/>
      <c r="AA506"/>
      <c r="AB506"/>
    </row>
    <row r="507" spans="26:28">
      <c r="Z507"/>
      <c r="AA507"/>
      <c r="AB507"/>
    </row>
    <row r="508" spans="26:28">
      <c r="Z508"/>
      <c r="AA508"/>
      <c r="AB508"/>
    </row>
    <row r="509" spans="26:28">
      <c r="Z509"/>
      <c r="AA509"/>
      <c r="AB509"/>
    </row>
    <row r="510" spans="26:28">
      <c r="Z510"/>
      <c r="AA510"/>
      <c r="AB510"/>
    </row>
    <row r="511" spans="26:28">
      <c r="Z511"/>
      <c r="AA511"/>
      <c r="AB511"/>
    </row>
    <row r="512" spans="26:28">
      <c r="Z512"/>
      <c r="AA512"/>
      <c r="AB512"/>
    </row>
    <row r="513" spans="26:28">
      <c r="Z513"/>
      <c r="AA513"/>
      <c r="AB513"/>
    </row>
    <row r="514" spans="26:28">
      <c r="Z514"/>
      <c r="AA514"/>
      <c r="AB514"/>
    </row>
    <row r="515" spans="26:28">
      <c r="Z515"/>
      <c r="AA515"/>
      <c r="AB515"/>
    </row>
    <row r="516" spans="26:28">
      <c r="Z516"/>
      <c r="AA516"/>
      <c r="AB516"/>
    </row>
    <row r="517" spans="26:28">
      <c r="Z517"/>
      <c r="AA517"/>
      <c r="AB517"/>
    </row>
    <row r="518" spans="26:28">
      <c r="Z518"/>
      <c r="AA518"/>
      <c r="AB518"/>
    </row>
    <row r="519" spans="26:28">
      <c r="Z519"/>
      <c r="AA519"/>
      <c r="AB519"/>
    </row>
    <row r="520" spans="26:28">
      <c r="Z520"/>
      <c r="AA520"/>
      <c r="AB520"/>
    </row>
    <row r="521" spans="26:28">
      <c r="Z521"/>
      <c r="AA521"/>
      <c r="AB521"/>
    </row>
    <row r="522" spans="26:28">
      <c r="Z522"/>
      <c r="AA522"/>
      <c r="AB522"/>
    </row>
    <row r="523" spans="26:28">
      <c r="Z523"/>
      <c r="AA523"/>
      <c r="AB523"/>
    </row>
    <row r="524" spans="26:28">
      <c r="Z524"/>
      <c r="AA524"/>
      <c r="AB524"/>
    </row>
    <row r="525" spans="26:28">
      <c r="Z525"/>
      <c r="AA525"/>
      <c r="AB525"/>
    </row>
    <row r="526" spans="26:28">
      <c r="Z526"/>
      <c r="AA526"/>
      <c r="AB526"/>
    </row>
    <row r="527" spans="26:28">
      <c r="Z527"/>
      <c r="AA527"/>
      <c r="AB527"/>
    </row>
    <row r="528" spans="26:28">
      <c r="Z528"/>
      <c r="AA528"/>
      <c r="AB528"/>
    </row>
    <row r="529" spans="26:28">
      <c r="Z529"/>
      <c r="AA529"/>
      <c r="AB529"/>
    </row>
    <row r="530" spans="26:28">
      <c r="Z530"/>
      <c r="AA530"/>
      <c r="AB530"/>
    </row>
    <row r="531" spans="26:28">
      <c r="Z531"/>
      <c r="AA531"/>
      <c r="AB531"/>
    </row>
    <row r="532" spans="26:28">
      <c r="Z532"/>
      <c r="AA532"/>
      <c r="AB532"/>
    </row>
    <row r="533" spans="26:28">
      <c r="Z533"/>
      <c r="AA533"/>
      <c r="AB533"/>
    </row>
    <row r="534" spans="26:28">
      <c r="Z534"/>
      <c r="AA534"/>
      <c r="AB534"/>
    </row>
    <row r="535" spans="26:28">
      <c r="Z535"/>
      <c r="AA535"/>
      <c r="AB535"/>
    </row>
    <row r="536" spans="26:28">
      <c r="Z536"/>
      <c r="AA536"/>
      <c r="AB536"/>
    </row>
    <row r="537" spans="26:28">
      <c r="Z537"/>
      <c r="AA537"/>
      <c r="AB537"/>
    </row>
    <row r="538" spans="26:28">
      <c r="Z538"/>
      <c r="AA538"/>
      <c r="AB538"/>
    </row>
    <row r="539" spans="26:28">
      <c r="Z539"/>
      <c r="AA539"/>
      <c r="AB539"/>
    </row>
    <row r="540" spans="26:28">
      <c r="Z540"/>
      <c r="AA540"/>
      <c r="AB540"/>
    </row>
    <row r="541" spans="26:28">
      <c r="Z541"/>
      <c r="AA541"/>
      <c r="AB541"/>
    </row>
    <row r="542" spans="26:28">
      <c r="Z542"/>
      <c r="AA542"/>
      <c r="AB542"/>
    </row>
    <row r="543" spans="26:28">
      <c r="Z543"/>
      <c r="AA543"/>
      <c r="AB543"/>
    </row>
    <row r="544" spans="26:28">
      <c r="Z544"/>
      <c r="AA544"/>
      <c r="AB544"/>
    </row>
    <row r="545" spans="26:28">
      <c r="Z545"/>
      <c r="AA545"/>
      <c r="AB545"/>
    </row>
    <row r="546" spans="26:28">
      <c r="Z546"/>
      <c r="AA546"/>
      <c r="AB546"/>
    </row>
    <row r="547" spans="26:28">
      <c r="Z547"/>
      <c r="AA547"/>
      <c r="AB547"/>
    </row>
    <row r="548" spans="26:28">
      <c r="Z548"/>
      <c r="AA548"/>
      <c r="AB548"/>
    </row>
    <row r="549" spans="26:28">
      <c r="Z549"/>
      <c r="AA549"/>
      <c r="AB549"/>
    </row>
    <row r="550" spans="26:28">
      <c r="Z550"/>
      <c r="AA550"/>
      <c r="AB550"/>
    </row>
    <row r="551" spans="26:28">
      <c r="Z551"/>
      <c r="AA551"/>
      <c r="AB551"/>
    </row>
    <row r="552" spans="26:28">
      <c r="Z552"/>
      <c r="AA552"/>
      <c r="AB552"/>
    </row>
    <row r="553" spans="26:28">
      <c r="Z553"/>
      <c r="AA553"/>
      <c r="AB553"/>
    </row>
    <row r="554" spans="26:28">
      <c r="Z554"/>
      <c r="AA554"/>
      <c r="AB554"/>
    </row>
    <row r="555" spans="26:28">
      <c r="Z555"/>
      <c r="AA555"/>
      <c r="AB555"/>
    </row>
    <row r="556" spans="26:28">
      <c r="Z556"/>
      <c r="AA556"/>
      <c r="AB556"/>
    </row>
    <row r="557" spans="26:28">
      <c r="Z557"/>
      <c r="AA557"/>
      <c r="AB557"/>
    </row>
    <row r="558" spans="26:28">
      <c r="Z558"/>
      <c r="AA558"/>
      <c r="AB558"/>
    </row>
    <row r="559" spans="26:28">
      <c r="Z559"/>
      <c r="AA559"/>
      <c r="AB559"/>
    </row>
    <row r="560" spans="26:28">
      <c r="Z560"/>
      <c r="AA560"/>
      <c r="AB560"/>
    </row>
    <row r="561" spans="26:28">
      <c r="Z561"/>
      <c r="AA561"/>
      <c r="AB561"/>
    </row>
    <row r="562" spans="26:28">
      <c r="Z562"/>
      <c r="AA562"/>
      <c r="AB562"/>
    </row>
    <row r="563" spans="26:28">
      <c r="Z563"/>
      <c r="AA563"/>
      <c r="AB563"/>
    </row>
    <row r="564" spans="26:28">
      <c r="Z564"/>
      <c r="AA564"/>
      <c r="AB564"/>
    </row>
    <row r="565" spans="26:28">
      <c r="Z565"/>
      <c r="AA565"/>
      <c r="AB565"/>
    </row>
    <row r="566" spans="26:28">
      <c r="Z566"/>
      <c r="AA566"/>
      <c r="AB566"/>
    </row>
    <row r="567" spans="26:28">
      <c r="Z567"/>
      <c r="AA567"/>
      <c r="AB567"/>
    </row>
    <row r="568" spans="26:28">
      <c r="Z568"/>
      <c r="AA568"/>
      <c r="AB568"/>
    </row>
    <row r="569" spans="26:28">
      <c r="Z569"/>
      <c r="AA569"/>
      <c r="AB569"/>
    </row>
    <row r="570" spans="26:28">
      <c r="Z570"/>
      <c r="AA570"/>
      <c r="AB570"/>
    </row>
    <row r="571" spans="26:28">
      <c r="Z571"/>
      <c r="AA571"/>
      <c r="AB571"/>
    </row>
    <row r="572" spans="26:28">
      <c r="Z572"/>
      <c r="AA572"/>
      <c r="AB572"/>
    </row>
    <row r="573" spans="26:28">
      <c r="Z573"/>
      <c r="AA573"/>
      <c r="AB573"/>
    </row>
    <row r="574" spans="26:28">
      <c r="Z574"/>
      <c r="AA574"/>
      <c r="AB574"/>
    </row>
    <row r="575" spans="26:28">
      <c r="Z575"/>
      <c r="AA575"/>
      <c r="AB575"/>
    </row>
    <row r="576" spans="26:28">
      <c r="Z576"/>
      <c r="AA576"/>
      <c r="AB576"/>
    </row>
    <row r="577" spans="26:28">
      <c r="Z577"/>
      <c r="AA577"/>
      <c r="AB577"/>
    </row>
    <row r="578" spans="26:28">
      <c r="Z578"/>
      <c r="AA578"/>
      <c r="AB578"/>
    </row>
    <row r="579" spans="26:28">
      <c r="Z579"/>
      <c r="AA579"/>
      <c r="AB579"/>
    </row>
    <row r="580" spans="26:28">
      <c r="Z580"/>
      <c r="AA580"/>
      <c r="AB580"/>
    </row>
    <row r="581" spans="26:28">
      <c r="Z581"/>
      <c r="AA581"/>
      <c r="AB581"/>
    </row>
    <row r="582" spans="26:28">
      <c r="Z582"/>
      <c r="AA582"/>
      <c r="AB582"/>
    </row>
    <row r="583" spans="26:28">
      <c r="Z583"/>
      <c r="AA583"/>
      <c r="AB583"/>
    </row>
    <row r="584" spans="26:28">
      <c r="Z584"/>
      <c r="AA584"/>
      <c r="AB584"/>
    </row>
    <row r="585" spans="26:28">
      <c r="Z585"/>
      <c r="AA585"/>
      <c r="AB585"/>
    </row>
    <row r="586" spans="26:28">
      <c r="Z586"/>
      <c r="AA586"/>
      <c r="AB586"/>
    </row>
    <row r="587" spans="26:28">
      <c r="Z587"/>
      <c r="AA587"/>
      <c r="AB587"/>
    </row>
    <row r="588" spans="26:28">
      <c r="Z588"/>
      <c r="AA588"/>
      <c r="AB588"/>
    </row>
    <row r="589" spans="26:28">
      <c r="Z589"/>
      <c r="AA589"/>
      <c r="AB589"/>
    </row>
    <row r="590" spans="26:28">
      <c r="Z590"/>
      <c r="AA590"/>
      <c r="AB590"/>
    </row>
    <row r="591" spans="26:28">
      <c r="Z591"/>
      <c r="AA591"/>
      <c r="AB591"/>
    </row>
    <row r="592" spans="26:28">
      <c r="Z592"/>
      <c r="AA592"/>
      <c r="AB592"/>
    </row>
    <row r="593" spans="26:28">
      <c r="Z593"/>
      <c r="AA593"/>
      <c r="AB593"/>
    </row>
    <row r="594" spans="26:28">
      <c r="Z594"/>
      <c r="AA594"/>
      <c r="AB594"/>
    </row>
    <row r="595" spans="26:28">
      <c r="Z595"/>
      <c r="AA595"/>
      <c r="AB595"/>
    </row>
    <row r="596" spans="26:28">
      <c r="Z596"/>
      <c r="AA596"/>
      <c r="AB596"/>
    </row>
    <row r="597" spans="26:28">
      <c r="Z597"/>
      <c r="AA597"/>
      <c r="AB597"/>
    </row>
    <row r="598" spans="26:28">
      <c r="Z598"/>
      <c r="AA598"/>
      <c r="AB598"/>
    </row>
    <row r="599" spans="26:28">
      <c r="Z599"/>
      <c r="AA599"/>
      <c r="AB599"/>
    </row>
  </sheetData>
  <mergeCells count="11">
    <mergeCell ref="B325:L325"/>
    <mergeCell ref="A1:P1"/>
    <mergeCell ref="A2:P2"/>
    <mergeCell ref="A3:P3"/>
    <mergeCell ref="A4:P4"/>
    <mergeCell ref="A5:P5"/>
    <mergeCell ref="T352:W352"/>
    <mergeCell ref="Y352:Z352"/>
    <mergeCell ref="T360:W360"/>
    <mergeCell ref="F392:G392"/>
    <mergeCell ref="B350:L350"/>
  </mergeCells>
  <phoneticPr fontId="6" type="noConversion"/>
  <conditionalFormatting sqref="B7:B335">
    <cfRule type="expression" dxfId="39" priority="1">
      <formula>$O$2="No"</formula>
    </cfRule>
  </conditionalFormatting>
  <pageMargins left="0.7" right="0.7" top="0.7" bottom="0.7" header="0.5" footer="0.5"/>
  <pageSetup scale="29" fitToHeight="990" orientation="landscape" useFirstPageNumber="1" r:id="rId1"/>
  <headerFooter alignWithMargins="0">
    <oddHeader>&amp;R&amp;B&amp;D &amp;T</oddHeader>
    <oddFooter>&amp;C&amp;B Page &amp;P of &amp;N</oddFooter>
  </headerFooter>
  <rowBreaks count="1" manualBreakCount="1">
    <brk id="4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ADD8-9EB4-4B5C-9508-5BE70A1881CD}">
  <dimension ref="B2:E13"/>
  <sheetViews>
    <sheetView workbookViewId="0">
      <selection activeCell="B17" sqref="B17"/>
    </sheetView>
  </sheetViews>
  <sheetFormatPr defaultRowHeight="12.75"/>
  <cols>
    <col min="2" max="2" width="20.5703125" customWidth="1"/>
    <col min="3" max="3" width="14.140625" customWidth="1"/>
    <col min="4" max="4" width="13.85546875" customWidth="1"/>
  </cols>
  <sheetData>
    <row r="2" spans="2:5">
      <c r="B2" s="259" t="s">
        <v>407</v>
      </c>
      <c r="C2" s="259"/>
      <c r="D2" s="259"/>
    </row>
    <row r="3" spans="2:5" ht="13.5" thickBot="1">
      <c r="B3" s="260" t="s">
        <v>181</v>
      </c>
      <c r="C3" s="261"/>
      <c r="D3" s="262">
        <f>'DSCR Calc'!H3</f>
        <v>46112</v>
      </c>
    </row>
    <row r="4" spans="2:5">
      <c r="B4" s="263" t="s">
        <v>408</v>
      </c>
      <c r="C4" s="264"/>
      <c r="D4" s="273">
        <f>'DSCR Calc'!H22</f>
        <v>6.2433565138377965E-2</v>
      </c>
      <c r="E4" s="65"/>
    </row>
    <row r="5" spans="2:5">
      <c r="B5" s="263" t="s">
        <v>197</v>
      </c>
      <c r="C5" s="264"/>
      <c r="D5" s="512">
        <v>6.25E-2</v>
      </c>
    </row>
    <row r="6" spans="2:5">
      <c r="B6" s="263"/>
      <c r="C6" s="264"/>
      <c r="D6" s="264"/>
    </row>
    <row r="7" spans="2:5">
      <c r="B7" s="263" t="s">
        <v>409</v>
      </c>
      <c r="C7" s="264"/>
      <c r="D7" s="310">
        <f>'DSCR Calc'!H5</f>
        <v>47626516</v>
      </c>
    </row>
    <row r="8" spans="2:5">
      <c r="B8" s="265" t="s">
        <v>410</v>
      </c>
      <c r="C8" s="266"/>
      <c r="D8" s="257">
        <v>-22020119.541771784</v>
      </c>
    </row>
    <row r="9" spans="2:5" ht="13.5" thickBot="1">
      <c r="B9" s="267" t="s">
        <v>411</v>
      </c>
      <c r="C9" s="268"/>
      <c r="D9" s="269">
        <f>D7+D8</f>
        <v>25606396.458228216</v>
      </c>
    </row>
    <row r="10" spans="2:5" ht="13.5" thickTop="1">
      <c r="B10" s="263"/>
      <c r="C10" s="264"/>
      <c r="D10" s="264"/>
    </row>
    <row r="11" spans="2:5">
      <c r="B11" s="263" t="s">
        <v>201</v>
      </c>
      <c r="C11" s="264"/>
      <c r="D11" s="258">
        <f>'DSCR Calc'!H14</f>
        <v>2973493.1890000002</v>
      </c>
    </row>
    <row r="12" spans="2:5">
      <c r="B12" s="263"/>
      <c r="C12" s="264"/>
      <c r="D12" s="264"/>
    </row>
    <row r="13" spans="2:5">
      <c r="B13" s="270" t="s">
        <v>206</v>
      </c>
      <c r="C13" s="271"/>
      <c r="D13" s="272">
        <f>D11/D9</f>
        <v>0.11612306299524291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00354-6770-40AE-B61D-BB531AB4F07D}">
  <sheetPr>
    <tabColor rgb="FFFF0000"/>
    <pageSetUpPr fitToPage="1"/>
  </sheetPr>
  <dimension ref="A1:Z1962"/>
  <sheetViews>
    <sheetView workbookViewId="0">
      <selection activeCell="F14" sqref="F14"/>
    </sheetView>
  </sheetViews>
  <sheetFormatPr defaultColWidth="9.140625" defaultRowHeight="12.75"/>
  <cols>
    <col min="1" max="1" width="10" style="108" bestFit="1" customWidth="1"/>
    <col min="2" max="2" width="8.5703125" style="108" customWidth="1"/>
    <col min="3" max="3" width="10" style="108" customWidth="1"/>
    <col min="4" max="4" width="30.140625" style="108" customWidth="1"/>
    <col min="5" max="7" width="15" style="108" customWidth="1"/>
    <col min="8" max="8" width="21.85546875" style="108" customWidth="1"/>
    <col min="9" max="10" width="15" style="108" customWidth="1"/>
    <col min="11" max="11" width="12" style="108" customWidth="1"/>
    <col min="12" max="12" width="5.140625" style="108" customWidth="1"/>
    <col min="13" max="14" width="11.85546875" style="108" bestFit="1" customWidth="1"/>
    <col min="15" max="15" width="16.140625" style="108" customWidth="1"/>
    <col min="16" max="16" width="12.140625" style="108" customWidth="1"/>
    <col min="17" max="17" width="15.42578125" style="108" customWidth="1"/>
    <col min="18" max="18" width="9.140625" style="108"/>
    <col min="20" max="16384" width="9.140625" style="108"/>
  </cols>
  <sheetData>
    <row r="1" spans="1:26" ht="115.5" customHeight="1" thickBot="1">
      <c r="A1" s="1356" t="s">
        <v>2298</v>
      </c>
      <c r="B1" s="1356"/>
      <c r="C1" s="1356"/>
      <c r="D1" s="1356"/>
      <c r="E1" s="1356"/>
      <c r="F1" s="1356"/>
      <c r="G1" s="1356"/>
      <c r="H1" s="1356"/>
      <c r="I1" s="1356"/>
      <c r="J1" s="1356"/>
      <c r="K1" s="1356"/>
      <c r="L1" s="1356"/>
      <c r="M1" s="1356"/>
      <c r="N1" s="1356"/>
      <c r="O1" s="1356"/>
      <c r="P1" s="1356"/>
      <c r="Q1" s="1356"/>
      <c r="R1" s="1356"/>
      <c r="S1" s="1356"/>
      <c r="T1" s="1356"/>
      <c r="U1" s="1356"/>
      <c r="V1" s="1356"/>
      <c r="W1" s="1356"/>
      <c r="X1" s="1356"/>
      <c r="Y1" s="1356"/>
      <c r="Z1" s="869"/>
    </row>
    <row r="2" spans="1:26" ht="15" customHeight="1" thickBot="1">
      <c r="A2" s="1314" t="s">
        <v>690</v>
      </c>
      <c r="B2" s="1314" t="s">
        <v>691</v>
      </c>
      <c r="C2" s="1314" t="s">
        <v>1904</v>
      </c>
      <c r="D2" s="1314" t="s">
        <v>183</v>
      </c>
      <c r="E2" s="1314" t="s">
        <v>1905</v>
      </c>
      <c r="F2" s="1314" t="s">
        <v>1906</v>
      </c>
      <c r="G2" s="1314" t="s">
        <v>1907</v>
      </c>
      <c r="H2" s="1315" t="s">
        <v>1908</v>
      </c>
      <c r="I2" s="1314" t="s">
        <v>1909</v>
      </c>
      <c r="J2" s="1316" t="s">
        <v>1910</v>
      </c>
      <c r="K2" s="1315" t="s">
        <v>1911</v>
      </c>
      <c r="L2" s="1317" t="s">
        <v>1912</v>
      </c>
      <c r="M2" s="1317" t="s">
        <v>1913</v>
      </c>
      <c r="N2" s="1316" t="s">
        <v>1914</v>
      </c>
      <c r="O2" s="1316" t="s">
        <v>1915</v>
      </c>
      <c r="P2" s="1316" t="s">
        <v>1916</v>
      </c>
      <c r="Q2" s="1316" t="s">
        <v>1917</v>
      </c>
      <c r="R2" s="1316" t="s">
        <v>1918</v>
      </c>
      <c r="S2" s="1316" t="s">
        <v>1919</v>
      </c>
      <c r="T2" s="1316" t="s">
        <v>1920</v>
      </c>
      <c r="U2" s="1316" t="s">
        <v>1921</v>
      </c>
      <c r="V2" s="1315" t="s">
        <v>1922</v>
      </c>
      <c r="W2" s="1315" t="s">
        <v>1923</v>
      </c>
      <c r="X2" s="1315" t="s">
        <v>1924</v>
      </c>
      <c r="Y2" s="1318" t="s">
        <v>1925</v>
      </c>
      <c r="Z2" s="1318"/>
    </row>
    <row r="3" spans="1:26" ht="15" customHeight="1">
      <c r="A3" s="1122" t="s">
        <v>2299</v>
      </c>
      <c r="B3" s="1123" t="s">
        <v>1126</v>
      </c>
      <c r="C3" s="1123" t="s">
        <v>715</v>
      </c>
      <c r="D3" s="1123" t="s">
        <v>717</v>
      </c>
      <c r="E3" s="1123" t="s">
        <v>1928</v>
      </c>
      <c r="F3" s="1123" t="s">
        <v>2300</v>
      </c>
      <c r="G3" s="1123" t="s">
        <v>1926</v>
      </c>
      <c r="H3" s="1124" t="s">
        <v>718</v>
      </c>
      <c r="I3" s="1123" t="s">
        <v>707</v>
      </c>
      <c r="J3" s="1125">
        <v>0</v>
      </c>
      <c r="K3" s="1125">
        <v>8.64</v>
      </c>
      <c r="L3" s="1126"/>
      <c r="M3" s="1126"/>
      <c r="N3" s="1125">
        <v>8.64</v>
      </c>
      <c r="O3" s="1125">
        <v>8.64</v>
      </c>
      <c r="P3" s="1125">
        <v>0</v>
      </c>
      <c r="Q3" s="1125">
        <v>0</v>
      </c>
      <c r="R3" s="1125">
        <v>0</v>
      </c>
      <c r="S3" s="1125">
        <v>0</v>
      </c>
      <c r="T3" s="1125">
        <v>0</v>
      </c>
      <c r="U3" s="1125">
        <v>0</v>
      </c>
      <c r="V3" s="1127">
        <v>1</v>
      </c>
      <c r="W3" s="1127">
        <v>0</v>
      </c>
      <c r="X3" s="1124"/>
      <c r="Y3" s="1319"/>
      <c r="Z3" s="1319"/>
    </row>
    <row r="4" spans="1:26" ht="15" customHeight="1">
      <c r="A4" s="1122" t="s">
        <v>2299</v>
      </c>
      <c r="B4" s="1123" t="s">
        <v>1126</v>
      </c>
      <c r="C4" s="1123" t="s">
        <v>715</v>
      </c>
      <c r="D4" s="1123" t="s">
        <v>717</v>
      </c>
      <c r="E4" s="1123" t="s">
        <v>1928</v>
      </c>
      <c r="F4" s="1123" t="s">
        <v>2300</v>
      </c>
      <c r="G4" s="1123" t="s">
        <v>1926</v>
      </c>
      <c r="H4" s="1124" t="s">
        <v>718</v>
      </c>
      <c r="I4" s="1123" t="s">
        <v>713</v>
      </c>
      <c r="J4" s="1125">
        <v>0</v>
      </c>
      <c r="K4" s="1125">
        <v>6.5</v>
      </c>
      <c r="L4" s="1126"/>
      <c r="M4" s="1126"/>
      <c r="N4" s="1125">
        <v>6.5</v>
      </c>
      <c r="O4" s="1125">
        <v>6.5</v>
      </c>
      <c r="P4" s="1125">
        <v>0</v>
      </c>
      <c r="Q4" s="1125">
        <v>0</v>
      </c>
      <c r="R4" s="1125">
        <v>0</v>
      </c>
      <c r="S4" s="1125">
        <v>0</v>
      </c>
      <c r="T4" s="1125">
        <v>0</v>
      </c>
      <c r="U4" s="1125">
        <v>0</v>
      </c>
      <c r="V4" s="1127">
        <v>1</v>
      </c>
      <c r="W4" s="1127">
        <v>0</v>
      </c>
      <c r="X4" s="1124"/>
      <c r="Y4" s="1319"/>
      <c r="Z4" s="1319"/>
    </row>
    <row r="5" spans="1:26" ht="15" customHeight="1">
      <c r="A5" s="1122" t="s">
        <v>2299</v>
      </c>
      <c r="B5" s="1123" t="s">
        <v>1126</v>
      </c>
      <c r="C5" s="1123" t="s">
        <v>715</v>
      </c>
      <c r="D5" s="1123" t="s">
        <v>717</v>
      </c>
      <c r="E5" s="1123" t="s">
        <v>1928</v>
      </c>
      <c r="F5" s="1123" t="s">
        <v>2300</v>
      </c>
      <c r="G5" s="1123" t="s">
        <v>1926</v>
      </c>
      <c r="H5" s="1124" t="s">
        <v>718</v>
      </c>
      <c r="I5" s="1123" t="s">
        <v>704</v>
      </c>
      <c r="J5" s="1125">
        <v>0</v>
      </c>
      <c r="K5" s="1125">
        <v>9.83</v>
      </c>
      <c r="L5" s="1126"/>
      <c r="M5" s="1126"/>
      <c r="N5" s="1125">
        <v>9.83</v>
      </c>
      <c r="O5" s="1125">
        <v>9.83</v>
      </c>
      <c r="P5" s="1125">
        <v>0</v>
      </c>
      <c r="Q5" s="1125">
        <v>0</v>
      </c>
      <c r="R5" s="1125">
        <v>0</v>
      </c>
      <c r="S5" s="1125">
        <v>0</v>
      </c>
      <c r="T5" s="1125">
        <v>0</v>
      </c>
      <c r="U5" s="1125">
        <v>0</v>
      </c>
      <c r="V5" s="1127">
        <v>1</v>
      </c>
      <c r="W5" s="1127">
        <v>0</v>
      </c>
      <c r="X5" s="1124"/>
      <c r="Y5" s="1319"/>
      <c r="Z5" s="1319"/>
    </row>
    <row r="6" spans="1:26" ht="24">
      <c r="A6" s="1122" t="s">
        <v>2299</v>
      </c>
      <c r="B6" s="1123" t="s">
        <v>1126</v>
      </c>
      <c r="C6" s="1123" t="s">
        <v>715</v>
      </c>
      <c r="D6" s="1123" t="s">
        <v>717</v>
      </c>
      <c r="E6" s="1123" t="s">
        <v>1928</v>
      </c>
      <c r="F6" s="1123" t="s">
        <v>2300</v>
      </c>
      <c r="G6" s="1123" t="s">
        <v>1926</v>
      </c>
      <c r="H6" s="1124" t="s">
        <v>718</v>
      </c>
      <c r="I6" s="1123" t="s">
        <v>1944</v>
      </c>
      <c r="J6" s="1125">
        <v>0</v>
      </c>
      <c r="K6" s="1125">
        <v>64.63</v>
      </c>
      <c r="L6" s="1126"/>
      <c r="M6" s="1126"/>
      <c r="N6" s="1125">
        <v>64.63</v>
      </c>
      <c r="O6" s="1125">
        <v>64.63</v>
      </c>
      <c r="P6" s="1125">
        <v>0</v>
      </c>
      <c r="Q6" s="1125">
        <v>0</v>
      </c>
      <c r="R6" s="1125">
        <v>0</v>
      </c>
      <c r="S6" s="1125">
        <v>0</v>
      </c>
      <c r="T6" s="1125">
        <v>0</v>
      </c>
      <c r="U6" s="1125">
        <v>0</v>
      </c>
      <c r="V6" s="1127">
        <v>1</v>
      </c>
      <c r="W6" s="1127">
        <v>0</v>
      </c>
      <c r="X6" s="1124"/>
      <c r="Y6" s="1319"/>
      <c r="Z6" s="1319"/>
    </row>
    <row r="7" spans="1:26" ht="15" customHeight="1">
      <c r="A7" s="1122" t="s">
        <v>2301</v>
      </c>
      <c r="B7" s="1123" t="s">
        <v>2302</v>
      </c>
      <c r="C7" s="1123" t="s">
        <v>726</v>
      </c>
      <c r="D7" s="1123" t="s">
        <v>2303</v>
      </c>
      <c r="E7" s="1123" t="s">
        <v>1928</v>
      </c>
      <c r="F7" s="1123" t="s">
        <v>2304</v>
      </c>
      <c r="G7" s="1123" t="s">
        <v>1926</v>
      </c>
      <c r="H7" s="1124" t="s">
        <v>729</v>
      </c>
      <c r="I7" s="1123" t="s">
        <v>707</v>
      </c>
      <c r="J7" s="1125">
        <v>0</v>
      </c>
      <c r="K7" s="1125">
        <v>5.25</v>
      </c>
      <c r="L7" s="1126"/>
      <c r="M7" s="1126"/>
      <c r="N7" s="1125">
        <v>5.25</v>
      </c>
      <c r="O7" s="1125">
        <v>5.25</v>
      </c>
      <c r="P7" s="1125">
        <v>0</v>
      </c>
      <c r="Q7" s="1125">
        <v>0</v>
      </c>
      <c r="R7" s="1125">
        <v>0</v>
      </c>
      <c r="S7" s="1125">
        <v>0</v>
      </c>
      <c r="T7" s="1125">
        <v>0</v>
      </c>
      <c r="U7" s="1125">
        <v>0</v>
      </c>
      <c r="V7" s="1127">
        <v>0</v>
      </c>
      <c r="W7" s="1127">
        <v>0</v>
      </c>
      <c r="X7" s="1124"/>
      <c r="Y7" s="1319"/>
      <c r="Z7" s="1319"/>
    </row>
    <row r="8" spans="1:26" ht="15" customHeight="1">
      <c r="A8" s="1122" t="s">
        <v>2301</v>
      </c>
      <c r="B8" s="1123" t="s">
        <v>2302</v>
      </c>
      <c r="C8" s="1123" t="s">
        <v>726</v>
      </c>
      <c r="D8" s="1123" t="s">
        <v>2303</v>
      </c>
      <c r="E8" s="1123" t="s">
        <v>1928</v>
      </c>
      <c r="F8" s="1123" t="s">
        <v>2304</v>
      </c>
      <c r="G8" s="1123" t="s">
        <v>1926</v>
      </c>
      <c r="H8" s="1124" t="s">
        <v>729</v>
      </c>
      <c r="I8" s="1123" t="s">
        <v>713</v>
      </c>
      <c r="J8" s="1125">
        <v>0</v>
      </c>
      <c r="K8" s="1125">
        <v>6.5</v>
      </c>
      <c r="L8" s="1126"/>
      <c r="M8" s="1126"/>
      <c r="N8" s="1125">
        <v>6.5</v>
      </c>
      <c r="O8" s="1125">
        <v>6.5</v>
      </c>
      <c r="P8" s="1125">
        <v>0</v>
      </c>
      <c r="Q8" s="1125">
        <v>0</v>
      </c>
      <c r="R8" s="1125">
        <v>0</v>
      </c>
      <c r="S8" s="1125">
        <v>0</v>
      </c>
      <c r="T8" s="1125">
        <v>0</v>
      </c>
      <c r="U8" s="1125">
        <v>0</v>
      </c>
      <c r="V8" s="1127">
        <v>0</v>
      </c>
      <c r="W8" s="1127">
        <v>0</v>
      </c>
      <c r="X8" s="1124"/>
      <c r="Y8" s="1319"/>
      <c r="Z8" s="1319"/>
    </row>
    <row r="9" spans="1:26" ht="15" customHeight="1">
      <c r="A9" s="1122" t="s">
        <v>2301</v>
      </c>
      <c r="B9" s="1123" t="s">
        <v>2302</v>
      </c>
      <c r="C9" s="1123" t="s">
        <v>726</v>
      </c>
      <c r="D9" s="1123" t="s">
        <v>2303</v>
      </c>
      <c r="E9" s="1123" t="s">
        <v>1928</v>
      </c>
      <c r="F9" s="1123" t="s">
        <v>2304</v>
      </c>
      <c r="G9" s="1123" t="s">
        <v>1926</v>
      </c>
      <c r="H9" s="1124" t="s">
        <v>729</v>
      </c>
      <c r="I9" s="1123" t="s">
        <v>704</v>
      </c>
      <c r="J9" s="1125">
        <v>0</v>
      </c>
      <c r="K9" s="1125">
        <v>9.83</v>
      </c>
      <c r="L9" s="1126"/>
      <c r="M9" s="1126"/>
      <c r="N9" s="1125">
        <v>9.83</v>
      </c>
      <c r="O9" s="1125">
        <v>9.83</v>
      </c>
      <c r="P9" s="1125">
        <v>0</v>
      </c>
      <c r="Q9" s="1125">
        <v>0</v>
      </c>
      <c r="R9" s="1125">
        <v>0</v>
      </c>
      <c r="S9" s="1125">
        <v>0</v>
      </c>
      <c r="T9" s="1125">
        <v>0</v>
      </c>
      <c r="U9" s="1125">
        <v>0</v>
      </c>
      <c r="V9" s="1127">
        <v>0</v>
      </c>
      <c r="W9" s="1127">
        <v>0</v>
      </c>
      <c r="X9" s="1124"/>
      <c r="Y9" s="1319"/>
      <c r="Z9" s="1319"/>
    </row>
    <row r="10" spans="1:26" ht="15" customHeight="1">
      <c r="A10" s="1122" t="s">
        <v>2301</v>
      </c>
      <c r="B10" s="1123" t="s">
        <v>2302</v>
      </c>
      <c r="C10" s="1123" t="s">
        <v>726</v>
      </c>
      <c r="D10" s="1123" t="s">
        <v>2303</v>
      </c>
      <c r="E10" s="1123" t="s">
        <v>1928</v>
      </c>
      <c r="F10" s="1123" t="s">
        <v>2304</v>
      </c>
      <c r="G10" s="1123" t="s">
        <v>1926</v>
      </c>
      <c r="H10" s="1124" t="s">
        <v>729</v>
      </c>
      <c r="I10" s="1123" t="s">
        <v>1944</v>
      </c>
      <c r="J10" s="1125">
        <v>0</v>
      </c>
      <c r="K10" s="1125">
        <v>35.770000000000003</v>
      </c>
      <c r="L10" s="1126"/>
      <c r="M10" s="1126"/>
      <c r="N10" s="1125">
        <v>35.770000000000003</v>
      </c>
      <c r="O10" s="1125">
        <v>35.770000000000003</v>
      </c>
      <c r="P10" s="1125">
        <v>0</v>
      </c>
      <c r="Q10" s="1125">
        <v>0</v>
      </c>
      <c r="R10" s="1125">
        <v>0</v>
      </c>
      <c r="S10" s="1125">
        <v>0</v>
      </c>
      <c r="T10" s="1125">
        <v>0</v>
      </c>
      <c r="U10" s="1125">
        <v>0</v>
      </c>
      <c r="V10" s="1127">
        <v>0</v>
      </c>
      <c r="W10" s="1127">
        <v>0</v>
      </c>
      <c r="X10" s="1124"/>
      <c r="Y10" s="1319"/>
      <c r="Z10" s="1319"/>
    </row>
    <row r="11" spans="1:26" ht="15" customHeight="1">
      <c r="A11" s="1122" t="s">
        <v>1028</v>
      </c>
      <c r="B11" s="1123" t="s">
        <v>2121</v>
      </c>
      <c r="C11" s="1123" t="s">
        <v>730</v>
      </c>
      <c r="D11" s="1123" t="s">
        <v>2122</v>
      </c>
      <c r="E11" s="1123" t="s">
        <v>2123</v>
      </c>
      <c r="F11" s="1123" t="s">
        <v>2124</v>
      </c>
      <c r="G11" s="1123" t="s">
        <v>1926</v>
      </c>
      <c r="H11" s="1124" t="s">
        <v>734</v>
      </c>
      <c r="I11" s="1123" t="s">
        <v>707</v>
      </c>
      <c r="J11" s="1125">
        <v>0</v>
      </c>
      <c r="K11" s="1125">
        <v>11.42</v>
      </c>
      <c r="L11" s="1126"/>
      <c r="M11" s="1126"/>
      <c r="N11" s="1125">
        <v>11.42</v>
      </c>
      <c r="O11" s="1125">
        <v>11.42</v>
      </c>
      <c r="P11" s="1125">
        <v>0</v>
      </c>
      <c r="Q11" s="1125">
        <v>0</v>
      </c>
      <c r="R11" s="1125">
        <v>0</v>
      </c>
      <c r="S11" s="1125">
        <v>0</v>
      </c>
      <c r="T11" s="1125">
        <v>0</v>
      </c>
      <c r="U11" s="1125">
        <v>0</v>
      </c>
      <c r="V11" s="1127">
        <v>2</v>
      </c>
      <c r="W11" s="1127">
        <v>0</v>
      </c>
      <c r="X11" s="1124"/>
      <c r="Y11" s="1319"/>
      <c r="Z11" s="1319"/>
    </row>
    <row r="12" spans="1:26" ht="15" customHeight="1">
      <c r="A12" s="1122" t="s">
        <v>1028</v>
      </c>
      <c r="B12" s="1123" t="s">
        <v>2121</v>
      </c>
      <c r="C12" s="1123" t="s">
        <v>730</v>
      </c>
      <c r="D12" s="1123" t="s">
        <v>2122</v>
      </c>
      <c r="E12" s="1123" t="s">
        <v>2123</v>
      </c>
      <c r="F12" s="1123" t="s">
        <v>2124</v>
      </c>
      <c r="G12" s="1123" t="s">
        <v>1926</v>
      </c>
      <c r="H12" s="1124" t="s">
        <v>734</v>
      </c>
      <c r="I12" s="1123" t="s">
        <v>713</v>
      </c>
      <c r="J12" s="1125">
        <v>0</v>
      </c>
      <c r="K12" s="1125">
        <v>5</v>
      </c>
      <c r="L12" s="1126"/>
      <c r="M12" s="1126"/>
      <c r="N12" s="1125">
        <v>5</v>
      </c>
      <c r="O12" s="1125">
        <v>5</v>
      </c>
      <c r="P12" s="1125">
        <v>0</v>
      </c>
      <c r="Q12" s="1125">
        <v>0</v>
      </c>
      <c r="R12" s="1125">
        <v>0</v>
      </c>
      <c r="S12" s="1125">
        <v>0</v>
      </c>
      <c r="T12" s="1125">
        <v>0</v>
      </c>
      <c r="U12" s="1125">
        <v>0</v>
      </c>
      <c r="V12" s="1127">
        <v>2</v>
      </c>
      <c r="W12" s="1127">
        <v>0</v>
      </c>
      <c r="X12" s="1124"/>
      <c r="Y12" s="1319"/>
      <c r="Z12" s="1319"/>
    </row>
    <row r="13" spans="1:26" ht="15" customHeight="1">
      <c r="A13" s="1122" t="s">
        <v>1028</v>
      </c>
      <c r="B13" s="1123" t="s">
        <v>2121</v>
      </c>
      <c r="C13" s="1123" t="s">
        <v>730</v>
      </c>
      <c r="D13" s="1123" t="s">
        <v>2122</v>
      </c>
      <c r="E13" s="1123" t="s">
        <v>2123</v>
      </c>
      <c r="F13" s="1123" t="s">
        <v>2124</v>
      </c>
      <c r="G13" s="1123" t="s">
        <v>1926</v>
      </c>
      <c r="H13" s="1124" t="s">
        <v>734</v>
      </c>
      <c r="I13" s="1123" t="s">
        <v>704</v>
      </c>
      <c r="J13" s="1125">
        <v>0</v>
      </c>
      <c r="K13" s="1125">
        <v>4.45</v>
      </c>
      <c r="L13" s="1126"/>
      <c r="M13" s="1126"/>
      <c r="N13" s="1125">
        <v>4.45</v>
      </c>
      <c r="O13" s="1125">
        <v>4.45</v>
      </c>
      <c r="P13" s="1125">
        <v>0</v>
      </c>
      <c r="Q13" s="1125">
        <v>0</v>
      </c>
      <c r="R13" s="1125">
        <v>0</v>
      </c>
      <c r="S13" s="1125">
        <v>0</v>
      </c>
      <c r="T13" s="1125">
        <v>0</v>
      </c>
      <c r="U13" s="1125">
        <v>0</v>
      </c>
      <c r="V13" s="1127">
        <v>2</v>
      </c>
      <c r="W13" s="1127">
        <v>0</v>
      </c>
      <c r="X13" s="1124"/>
      <c r="Y13" s="1319"/>
      <c r="Z13" s="1319"/>
    </row>
    <row r="14" spans="1:26" ht="15" customHeight="1">
      <c r="A14" s="1122" t="s">
        <v>1028</v>
      </c>
      <c r="B14" s="1123" t="s">
        <v>2121</v>
      </c>
      <c r="C14" s="1123" t="s">
        <v>730</v>
      </c>
      <c r="D14" s="1123" t="s">
        <v>2122</v>
      </c>
      <c r="E14" s="1123" t="s">
        <v>2123</v>
      </c>
      <c r="F14" s="1123" t="s">
        <v>2124</v>
      </c>
      <c r="G14" s="1123" t="s">
        <v>1926</v>
      </c>
      <c r="H14" s="1124" t="s">
        <v>734</v>
      </c>
      <c r="I14" s="1123" t="s">
        <v>1944</v>
      </c>
      <c r="J14" s="1125">
        <v>0</v>
      </c>
      <c r="K14" s="1125">
        <v>64.42</v>
      </c>
      <c r="L14" s="1126"/>
      <c r="M14" s="1126"/>
      <c r="N14" s="1125">
        <v>64.42</v>
      </c>
      <c r="O14" s="1125">
        <v>64.42</v>
      </c>
      <c r="P14" s="1125">
        <v>0</v>
      </c>
      <c r="Q14" s="1125">
        <v>0</v>
      </c>
      <c r="R14" s="1125">
        <v>0</v>
      </c>
      <c r="S14" s="1125">
        <v>0</v>
      </c>
      <c r="T14" s="1125">
        <v>0</v>
      </c>
      <c r="U14" s="1125">
        <v>0</v>
      </c>
      <c r="V14" s="1127">
        <v>2</v>
      </c>
      <c r="W14" s="1127">
        <v>0</v>
      </c>
      <c r="X14" s="1124"/>
      <c r="Y14" s="1319"/>
      <c r="Z14" s="1319"/>
    </row>
    <row r="15" spans="1:26" ht="15" customHeight="1">
      <c r="A15" s="1122" t="s">
        <v>2138</v>
      </c>
      <c r="B15" s="1123" t="s">
        <v>2305</v>
      </c>
      <c r="C15" s="1123" t="s">
        <v>740</v>
      </c>
      <c r="D15" s="1123" t="s">
        <v>2306</v>
      </c>
      <c r="E15" s="1123"/>
      <c r="F15" s="1123" t="s">
        <v>2139</v>
      </c>
      <c r="G15" s="1123" t="s">
        <v>2135</v>
      </c>
      <c r="H15" s="1124" t="s">
        <v>2209</v>
      </c>
      <c r="I15" s="1123" t="s">
        <v>2307</v>
      </c>
      <c r="J15" s="1125">
        <v>-949.83</v>
      </c>
      <c r="K15" s="1125">
        <v>0</v>
      </c>
      <c r="L15" s="1126"/>
      <c r="M15" s="1126"/>
      <c r="N15" s="1125">
        <v>-949.83</v>
      </c>
      <c r="O15" s="1125">
        <v>-949.83</v>
      </c>
      <c r="P15" s="1125">
        <v>0</v>
      </c>
      <c r="Q15" s="1125">
        <v>0</v>
      </c>
      <c r="R15" s="1125">
        <v>0</v>
      </c>
      <c r="S15" s="1125">
        <v>0</v>
      </c>
      <c r="T15" s="1125">
        <v>0</v>
      </c>
      <c r="U15" s="1125">
        <v>0</v>
      </c>
      <c r="V15" s="1127">
        <v>0</v>
      </c>
      <c r="W15" s="1127">
        <v>0</v>
      </c>
      <c r="X15" s="1124"/>
      <c r="Y15" s="1319"/>
      <c r="Z15" s="1319"/>
    </row>
    <row r="16" spans="1:26" ht="15" customHeight="1">
      <c r="A16" s="1122" t="s">
        <v>740</v>
      </c>
      <c r="B16" s="1123" t="s">
        <v>2308</v>
      </c>
      <c r="C16" s="1123" t="s">
        <v>746</v>
      </c>
      <c r="D16" s="1123" t="s">
        <v>747</v>
      </c>
      <c r="E16" s="1123" t="s">
        <v>1928</v>
      </c>
      <c r="F16" s="1123" t="s">
        <v>2309</v>
      </c>
      <c r="G16" s="1123" t="s">
        <v>1926</v>
      </c>
      <c r="H16" s="1124" t="s">
        <v>748</v>
      </c>
      <c r="I16" s="1123" t="s">
        <v>713</v>
      </c>
      <c r="J16" s="1125">
        <v>0</v>
      </c>
      <c r="K16" s="1125">
        <v>6.5</v>
      </c>
      <c r="L16" s="1126"/>
      <c r="M16" s="1126"/>
      <c r="N16" s="1125">
        <v>6.5</v>
      </c>
      <c r="O16" s="1125">
        <v>6.5</v>
      </c>
      <c r="P16" s="1125">
        <v>0</v>
      </c>
      <c r="Q16" s="1125">
        <v>0</v>
      </c>
      <c r="R16" s="1125">
        <v>0</v>
      </c>
      <c r="S16" s="1125">
        <v>0</v>
      </c>
      <c r="T16" s="1125">
        <v>0</v>
      </c>
      <c r="U16" s="1125">
        <v>0</v>
      </c>
      <c r="V16" s="1127">
        <v>1</v>
      </c>
      <c r="W16" s="1127">
        <v>0</v>
      </c>
      <c r="X16" s="1124"/>
      <c r="Y16" s="1319"/>
      <c r="Z16" s="1319"/>
    </row>
    <row r="17" spans="1:26" ht="15" customHeight="1">
      <c r="A17" s="1122" t="s">
        <v>740</v>
      </c>
      <c r="B17" s="1123" t="s">
        <v>2308</v>
      </c>
      <c r="C17" s="1123" t="s">
        <v>746</v>
      </c>
      <c r="D17" s="1123" t="s">
        <v>747</v>
      </c>
      <c r="E17" s="1123" t="s">
        <v>1928</v>
      </c>
      <c r="F17" s="1123" t="s">
        <v>2309</v>
      </c>
      <c r="G17" s="1123" t="s">
        <v>1926</v>
      </c>
      <c r="H17" s="1124" t="s">
        <v>748</v>
      </c>
      <c r="I17" s="1123" t="s">
        <v>704</v>
      </c>
      <c r="J17" s="1125">
        <v>0</v>
      </c>
      <c r="K17" s="1125">
        <v>9.83</v>
      </c>
      <c r="L17" s="1126"/>
      <c r="M17" s="1126"/>
      <c r="N17" s="1125">
        <v>9.83</v>
      </c>
      <c r="O17" s="1125">
        <v>9.83</v>
      </c>
      <c r="P17" s="1125">
        <v>0</v>
      </c>
      <c r="Q17" s="1125">
        <v>0</v>
      </c>
      <c r="R17" s="1125">
        <v>0</v>
      </c>
      <c r="S17" s="1125">
        <v>0</v>
      </c>
      <c r="T17" s="1125">
        <v>0</v>
      </c>
      <c r="U17" s="1125">
        <v>0</v>
      </c>
      <c r="V17" s="1127">
        <v>1</v>
      </c>
      <c r="W17" s="1127">
        <v>0</v>
      </c>
      <c r="X17" s="1124"/>
      <c r="Y17" s="1319"/>
      <c r="Z17" s="1319"/>
    </row>
    <row r="18" spans="1:26" ht="15" customHeight="1">
      <c r="A18" s="1122" t="s">
        <v>740</v>
      </c>
      <c r="B18" s="1123" t="s">
        <v>2308</v>
      </c>
      <c r="C18" s="1123" t="s">
        <v>746</v>
      </c>
      <c r="D18" s="1123" t="s">
        <v>747</v>
      </c>
      <c r="E18" s="1123" t="s">
        <v>1928</v>
      </c>
      <c r="F18" s="1123" t="s">
        <v>2309</v>
      </c>
      <c r="G18" s="1123" t="s">
        <v>1926</v>
      </c>
      <c r="H18" s="1124" t="s">
        <v>748</v>
      </c>
      <c r="I18" s="1123" t="s">
        <v>1944</v>
      </c>
      <c r="J18" s="1125">
        <v>0</v>
      </c>
      <c r="K18" s="1125">
        <v>57.56</v>
      </c>
      <c r="L18" s="1126"/>
      <c r="M18" s="1126"/>
      <c r="N18" s="1125">
        <v>57.56</v>
      </c>
      <c r="O18" s="1125">
        <v>57.56</v>
      </c>
      <c r="P18" s="1125">
        <v>0</v>
      </c>
      <c r="Q18" s="1125">
        <v>0</v>
      </c>
      <c r="R18" s="1125">
        <v>0</v>
      </c>
      <c r="S18" s="1125">
        <v>0</v>
      </c>
      <c r="T18" s="1125">
        <v>0</v>
      </c>
      <c r="U18" s="1125">
        <v>0</v>
      </c>
      <c r="V18" s="1127">
        <v>1</v>
      </c>
      <c r="W18" s="1127">
        <v>0</v>
      </c>
      <c r="X18" s="1124"/>
      <c r="Y18" s="1319"/>
      <c r="Z18" s="1319"/>
    </row>
    <row r="19" spans="1:26" ht="15" customHeight="1">
      <c r="A19" s="1122" t="s">
        <v>2310</v>
      </c>
      <c r="B19" s="1123" t="s">
        <v>2311</v>
      </c>
      <c r="C19" s="1123" t="s">
        <v>751</v>
      </c>
      <c r="D19" s="1123" t="s">
        <v>1015</v>
      </c>
      <c r="E19" s="1123" t="s">
        <v>1928</v>
      </c>
      <c r="F19" s="1123" t="s">
        <v>2312</v>
      </c>
      <c r="G19" s="1123" t="s">
        <v>1926</v>
      </c>
      <c r="H19" s="1124" t="s">
        <v>2210</v>
      </c>
      <c r="I19" s="1123" t="s">
        <v>1929</v>
      </c>
      <c r="J19" s="1125">
        <v>-1588.62</v>
      </c>
      <c r="K19" s="1125">
        <v>0</v>
      </c>
      <c r="L19" s="1126"/>
      <c r="M19" s="1126"/>
      <c r="N19" s="1125">
        <v>-1588.62</v>
      </c>
      <c r="O19" s="1125">
        <v>-1588.62</v>
      </c>
      <c r="P19" s="1125">
        <v>0</v>
      </c>
      <c r="Q19" s="1125">
        <v>0</v>
      </c>
      <c r="R19" s="1125">
        <v>0</v>
      </c>
      <c r="S19" s="1125">
        <v>0</v>
      </c>
      <c r="T19" s="1125">
        <v>0</v>
      </c>
      <c r="U19" s="1125">
        <v>0</v>
      </c>
      <c r="V19" s="1127">
        <v>0</v>
      </c>
      <c r="W19" s="1127">
        <v>0</v>
      </c>
      <c r="X19" s="1124"/>
      <c r="Y19" s="1319"/>
      <c r="Z19" s="1319"/>
    </row>
    <row r="20" spans="1:26" ht="15" customHeight="1">
      <c r="A20" s="1122" t="s">
        <v>2313</v>
      </c>
      <c r="B20" s="1123" t="s">
        <v>2314</v>
      </c>
      <c r="C20" s="1123" t="s">
        <v>752</v>
      </c>
      <c r="D20" s="1123" t="s">
        <v>754</v>
      </c>
      <c r="E20" s="1123" t="s">
        <v>1928</v>
      </c>
      <c r="F20" s="1123" t="s">
        <v>2315</v>
      </c>
      <c r="G20" s="1123" t="s">
        <v>1926</v>
      </c>
      <c r="H20" s="1124" t="s">
        <v>755</v>
      </c>
      <c r="I20" s="1123" t="s">
        <v>707</v>
      </c>
      <c r="J20" s="1125">
        <v>0</v>
      </c>
      <c r="K20" s="1125">
        <v>8.3699999999999992</v>
      </c>
      <c r="L20" s="1126"/>
      <c r="M20" s="1126"/>
      <c r="N20" s="1125">
        <v>8.3699999999999992</v>
      </c>
      <c r="O20" s="1125">
        <v>8.3699999999999992</v>
      </c>
      <c r="P20" s="1125">
        <v>0</v>
      </c>
      <c r="Q20" s="1125">
        <v>0</v>
      </c>
      <c r="R20" s="1125">
        <v>0</v>
      </c>
      <c r="S20" s="1125">
        <v>0</v>
      </c>
      <c r="T20" s="1125">
        <v>0</v>
      </c>
      <c r="U20" s="1125">
        <v>0</v>
      </c>
      <c r="V20" s="1127">
        <v>0</v>
      </c>
      <c r="W20" s="1127">
        <v>0</v>
      </c>
      <c r="X20" s="1124"/>
      <c r="Y20" s="1319"/>
      <c r="Z20" s="1319"/>
    </row>
    <row r="21" spans="1:26" ht="15" customHeight="1">
      <c r="A21" s="1122" t="s">
        <v>2313</v>
      </c>
      <c r="B21" s="1123" t="s">
        <v>2314</v>
      </c>
      <c r="C21" s="1123" t="s">
        <v>752</v>
      </c>
      <c r="D21" s="1123" t="s">
        <v>754</v>
      </c>
      <c r="E21" s="1123" t="s">
        <v>1928</v>
      </c>
      <c r="F21" s="1123" t="s">
        <v>2315</v>
      </c>
      <c r="G21" s="1123" t="s">
        <v>1926</v>
      </c>
      <c r="H21" s="1124" t="s">
        <v>755</v>
      </c>
      <c r="I21" s="1123" t="s">
        <v>713</v>
      </c>
      <c r="J21" s="1125">
        <v>0</v>
      </c>
      <c r="K21" s="1125">
        <v>6.5</v>
      </c>
      <c r="L21" s="1126"/>
      <c r="M21" s="1126"/>
      <c r="N21" s="1125">
        <v>6.5</v>
      </c>
      <c r="O21" s="1125">
        <v>6.5</v>
      </c>
      <c r="P21" s="1125">
        <v>0</v>
      </c>
      <c r="Q21" s="1125">
        <v>0</v>
      </c>
      <c r="R21" s="1125">
        <v>0</v>
      </c>
      <c r="S21" s="1125">
        <v>0</v>
      </c>
      <c r="T21" s="1125">
        <v>0</v>
      </c>
      <c r="U21" s="1125">
        <v>0</v>
      </c>
      <c r="V21" s="1127">
        <v>0</v>
      </c>
      <c r="W21" s="1127">
        <v>0</v>
      </c>
      <c r="X21" s="1124"/>
      <c r="Y21" s="1319"/>
      <c r="Z21" s="1319"/>
    </row>
    <row r="22" spans="1:26" ht="15" customHeight="1">
      <c r="A22" s="1122" t="s">
        <v>2313</v>
      </c>
      <c r="B22" s="1123" t="s">
        <v>2314</v>
      </c>
      <c r="C22" s="1123" t="s">
        <v>752</v>
      </c>
      <c r="D22" s="1123" t="s">
        <v>754</v>
      </c>
      <c r="E22" s="1123" t="s">
        <v>1928</v>
      </c>
      <c r="F22" s="1123" t="s">
        <v>2315</v>
      </c>
      <c r="G22" s="1123" t="s">
        <v>1926</v>
      </c>
      <c r="H22" s="1124" t="s">
        <v>755</v>
      </c>
      <c r="I22" s="1123" t="s">
        <v>704</v>
      </c>
      <c r="J22" s="1125">
        <v>0</v>
      </c>
      <c r="K22" s="1125">
        <v>9.83</v>
      </c>
      <c r="L22" s="1126"/>
      <c r="M22" s="1126"/>
      <c r="N22" s="1125">
        <v>9.83</v>
      </c>
      <c r="O22" s="1125">
        <v>9.83</v>
      </c>
      <c r="P22" s="1125">
        <v>0</v>
      </c>
      <c r="Q22" s="1125">
        <v>0</v>
      </c>
      <c r="R22" s="1125">
        <v>0</v>
      </c>
      <c r="S22" s="1125">
        <v>0</v>
      </c>
      <c r="T22" s="1125">
        <v>0</v>
      </c>
      <c r="U22" s="1125">
        <v>0</v>
      </c>
      <c r="V22" s="1127">
        <v>0</v>
      </c>
      <c r="W22" s="1127">
        <v>0</v>
      </c>
      <c r="X22" s="1124"/>
      <c r="Y22" s="1319"/>
      <c r="Z22" s="1319"/>
    </row>
    <row r="23" spans="1:26" ht="15" customHeight="1">
      <c r="A23" s="1122" t="s">
        <v>2313</v>
      </c>
      <c r="B23" s="1123" t="s">
        <v>2314</v>
      </c>
      <c r="C23" s="1123" t="s">
        <v>752</v>
      </c>
      <c r="D23" s="1123" t="s">
        <v>754</v>
      </c>
      <c r="E23" s="1123" t="s">
        <v>1928</v>
      </c>
      <c r="F23" s="1123" t="s">
        <v>2315</v>
      </c>
      <c r="G23" s="1123" t="s">
        <v>1926</v>
      </c>
      <c r="H23" s="1124" t="s">
        <v>755</v>
      </c>
      <c r="I23" s="1123" t="s">
        <v>1944</v>
      </c>
      <c r="J23" s="1125">
        <v>0</v>
      </c>
      <c r="K23" s="1125">
        <v>39.39</v>
      </c>
      <c r="L23" s="1126"/>
      <c r="M23" s="1126"/>
      <c r="N23" s="1125">
        <v>39.39</v>
      </c>
      <c r="O23" s="1125">
        <v>39.39</v>
      </c>
      <c r="P23" s="1125">
        <v>0</v>
      </c>
      <c r="Q23" s="1125">
        <v>0</v>
      </c>
      <c r="R23" s="1125">
        <v>0</v>
      </c>
      <c r="S23" s="1125">
        <v>0</v>
      </c>
      <c r="T23" s="1125">
        <v>0</v>
      </c>
      <c r="U23" s="1125">
        <v>0</v>
      </c>
      <c r="V23" s="1127">
        <v>0</v>
      </c>
      <c r="W23" s="1127">
        <v>0</v>
      </c>
      <c r="X23" s="1124"/>
      <c r="Y23" s="1319"/>
      <c r="Z23" s="1319"/>
    </row>
    <row r="24" spans="1:26" ht="15" customHeight="1">
      <c r="A24" s="1122" t="s">
        <v>2125</v>
      </c>
      <c r="B24" s="1123" t="s">
        <v>1108</v>
      </c>
      <c r="C24" s="1123" t="s">
        <v>758</v>
      </c>
      <c r="D24" s="1123" t="s">
        <v>2316</v>
      </c>
      <c r="E24" s="1123"/>
      <c r="F24" s="1123" t="s">
        <v>2126</v>
      </c>
      <c r="G24" s="1123" t="s">
        <v>2135</v>
      </c>
      <c r="H24" s="1124" t="s">
        <v>2211</v>
      </c>
      <c r="I24" s="1123" t="s">
        <v>707</v>
      </c>
      <c r="J24" s="1125">
        <v>0</v>
      </c>
      <c r="K24" s="1125">
        <v>40.049999999999997</v>
      </c>
      <c r="L24" s="1126"/>
      <c r="M24" s="1126"/>
      <c r="N24" s="1125">
        <v>40.049999999999997</v>
      </c>
      <c r="O24" s="1125">
        <v>40.049999999999997</v>
      </c>
      <c r="P24" s="1125">
        <v>0</v>
      </c>
      <c r="Q24" s="1125">
        <v>0</v>
      </c>
      <c r="R24" s="1125">
        <v>0</v>
      </c>
      <c r="S24" s="1125">
        <v>0</v>
      </c>
      <c r="T24" s="1125">
        <v>0</v>
      </c>
      <c r="U24" s="1125">
        <v>0</v>
      </c>
      <c r="V24" s="1127">
        <v>1</v>
      </c>
      <c r="W24" s="1127">
        <v>1</v>
      </c>
      <c r="X24" s="1124"/>
      <c r="Y24" s="1319"/>
      <c r="Z24" s="1319"/>
    </row>
    <row r="25" spans="1:26" ht="15" customHeight="1">
      <c r="A25" s="1122" t="s">
        <v>2125</v>
      </c>
      <c r="B25" s="1123" t="s">
        <v>1108</v>
      </c>
      <c r="C25" s="1123" t="s">
        <v>758</v>
      </c>
      <c r="D25" s="1123" t="s">
        <v>2316</v>
      </c>
      <c r="E25" s="1123"/>
      <c r="F25" s="1123" t="s">
        <v>2126</v>
      </c>
      <c r="G25" s="1123" t="s">
        <v>2135</v>
      </c>
      <c r="H25" s="1124" t="s">
        <v>2211</v>
      </c>
      <c r="I25" s="1123" t="s">
        <v>713</v>
      </c>
      <c r="J25" s="1125">
        <v>0</v>
      </c>
      <c r="K25" s="1125">
        <v>6.5</v>
      </c>
      <c r="L25" s="1126"/>
      <c r="M25" s="1126"/>
      <c r="N25" s="1125">
        <v>6.5</v>
      </c>
      <c r="O25" s="1125">
        <v>6.5</v>
      </c>
      <c r="P25" s="1125">
        <v>0</v>
      </c>
      <c r="Q25" s="1125">
        <v>0</v>
      </c>
      <c r="R25" s="1125">
        <v>0</v>
      </c>
      <c r="S25" s="1125">
        <v>0</v>
      </c>
      <c r="T25" s="1125">
        <v>0</v>
      </c>
      <c r="U25" s="1125">
        <v>0</v>
      </c>
      <c r="V25" s="1127">
        <v>1</v>
      </c>
      <c r="W25" s="1127">
        <v>1</v>
      </c>
      <c r="X25" s="1124"/>
      <c r="Y25" s="1319"/>
      <c r="Z25" s="1319"/>
    </row>
    <row r="26" spans="1:26" ht="15" customHeight="1">
      <c r="A26" s="1122" t="s">
        <v>2125</v>
      </c>
      <c r="B26" s="1123" t="s">
        <v>1108</v>
      </c>
      <c r="C26" s="1123" t="s">
        <v>758</v>
      </c>
      <c r="D26" s="1123" t="s">
        <v>2316</v>
      </c>
      <c r="E26" s="1123"/>
      <c r="F26" s="1123" t="s">
        <v>2126</v>
      </c>
      <c r="G26" s="1123" t="s">
        <v>2135</v>
      </c>
      <c r="H26" s="1124" t="s">
        <v>2211</v>
      </c>
      <c r="I26" s="1123" t="s">
        <v>704</v>
      </c>
      <c r="J26" s="1125">
        <v>0</v>
      </c>
      <c r="K26" s="1125">
        <v>9.83</v>
      </c>
      <c r="L26" s="1126"/>
      <c r="M26" s="1126"/>
      <c r="N26" s="1125">
        <v>9.83</v>
      </c>
      <c r="O26" s="1125">
        <v>9.83</v>
      </c>
      <c r="P26" s="1125">
        <v>0</v>
      </c>
      <c r="Q26" s="1125">
        <v>0</v>
      </c>
      <c r="R26" s="1125">
        <v>0</v>
      </c>
      <c r="S26" s="1125">
        <v>0</v>
      </c>
      <c r="T26" s="1125">
        <v>0</v>
      </c>
      <c r="U26" s="1125">
        <v>0</v>
      </c>
      <c r="V26" s="1127">
        <v>1</v>
      </c>
      <c r="W26" s="1127">
        <v>1</v>
      </c>
      <c r="X26" s="1124"/>
      <c r="Y26" s="1319"/>
      <c r="Z26" s="1319"/>
    </row>
    <row r="27" spans="1:26" ht="15" customHeight="1">
      <c r="A27" s="1122" t="s">
        <v>2125</v>
      </c>
      <c r="B27" s="1123" t="s">
        <v>1108</v>
      </c>
      <c r="C27" s="1123" t="s">
        <v>758</v>
      </c>
      <c r="D27" s="1123" t="s">
        <v>2316</v>
      </c>
      <c r="E27" s="1123"/>
      <c r="F27" s="1123" t="s">
        <v>2126</v>
      </c>
      <c r="G27" s="1123" t="s">
        <v>2135</v>
      </c>
      <c r="H27" s="1124" t="s">
        <v>2211</v>
      </c>
      <c r="I27" s="1123" t="s">
        <v>1944</v>
      </c>
      <c r="J27" s="1125">
        <v>0</v>
      </c>
      <c r="K27" s="1125">
        <v>26.79</v>
      </c>
      <c r="L27" s="1126"/>
      <c r="M27" s="1126"/>
      <c r="N27" s="1125">
        <v>26.79</v>
      </c>
      <c r="O27" s="1125">
        <v>26.79</v>
      </c>
      <c r="P27" s="1125">
        <v>0</v>
      </c>
      <c r="Q27" s="1125">
        <v>0</v>
      </c>
      <c r="R27" s="1125">
        <v>0</v>
      </c>
      <c r="S27" s="1125">
        <v>0</v>
      </c>
      <c r="T27" s="1125">
        <v>0</v>
      </c>
      <c r="U27" s="1125">
        <v>0</v>
      </c>
      <c r="V27" s="1127">
        <v>1</v>
      </c>
      <c r="W27" s="1127">
        <v>1</v>
      </c>
      <c r="X27" s="1124"/>
      <c r="Y27" s="1319"/>
      <c r="Z27" s="1319"/>
    </row>
    <row r="28" spans="1:26" ht="15" customHeight="1">
      <c r="A28" s="1122" t="s">
        <v>771</v>
      </c>
      <c r="B28" s="1123" t="s">
        <v>798</v>
      </c>
      <c r="C28" s="1123" t="s">
        <v>783</v>
      </c>
      <c r="D28" s="1123" t="s">
        <v>2317</v>
      </c>
      <c r="E28" s="1123" t="s">
        <v>1928</v>
      </c>
      <c r="F28" s="1123" t="s">
        <v>2318</v>
      </c>
      <c r="G28" s="1123" t="s">
        <v>1926</v>
      </c>
      <c r="H28" s="1124" t="s">
        <v>785</v>
      </c>
      <c r="I28" s="1123" t="s">
        <v>707</v>
      </c>
      <c r="J28" s="1125">
        <v>0</v>
      </c>
      <c r="K28" s="1125">
        <v>3.14</v>
      </c>
      <c r="L28" s="1126"/>
      <c r="M28" s="1126"/>
      <c r="N28" s="1125">
        <v>3.14</v>
      </c>
      <c r="O28" s="1125">
        <v>3.14</v>
      </c>
      <c r="P28" s="1125">
        <v>0</v>
      </c>
      <c r="Q28" s="1125">
        <v>0</v>
      </c>
      <c r="R28" s="1125">
        <v>0</v>
      </c>
      <c r="S28" s="1125">
        <v>0</v>
      </c>
      <c r="T28" s="1125">
        <v>0</v>
      </c>
      <c r="U28" s="1125">
        <v>0</v>
      </c>
      <c r="V28" s="1127">
        <v>0</v>
      </c>
      <c r="W28" s="1127">
        <v>0</v>
      </c>
      <c r="X28" s="1124"/>
      <c r="Y28" s="1319"/>
      <c r="Z28" s="1319"/>
    </row>
    <row r="29" spans="1:26" ht="15" customHeight="1">
      <c r="A29" s="1122" t="s">
        <v>771</v>
      </c>
      <c r="B29" s="1123" t="s">
        <v>798</v>
      </c>
      <c r="C29" s="1123" t="s">
        <v>783</v>
      </c>
      <c r="D29" s="1123" t="s">
        <v>2317</v>
      </c>
      <c r="E29" s="1123" t="s">
        <v>1928</v>
      </c>
      <c r="F29" s="1123" t="s">
        <v>2318</v>
      </c>
      <c r="G29" s="1123" t="s">
        <v>1926</v>
      </c>
      <c r="H29" s="1124" t="s">
        <v>785</v>
      </c>
      <c r="I29" s="1123" t="s">
        <v>713</v>
      </c>
      <c r="J29" s="1125">
        <v>0</v>
      </c>
      <c r="K29" s="1125">
        <v>6.5</v>
      </c>
      <c r="L29" s="1126"/>
      <c r="M29" s="1126"/>
      <c r="N29" s="1125">
        <v>6.5</v>
      </c>
      <c r="O29" s="1125">
        <v>6.5</v>
      </c>
      <c r="P29" s="1125">
        <v>0</v>
      </c>
      <c r="Q29" s="1125">
        <v>0</v>
      </c>
      <c r="R29" s="1125">
        <v>0</v>
      </c>
      <c r="S29" s="1125">
        <v>0</v>
      </c>
      <c r="T29" s="1125">
        <v>0</v>
      </c>
      <c r="U29" s="1125">
        <v>0</v>
      </c>
      <c r="V29" s="1127">
        <v>0</v>
      </c>
      <c r="W29" s="1127">
        <v>0</v>
      </c>
      <c r="X29" s="1124"/>
      <c r="Y29" s="1319"/>
      <c r="Z29" s="1319"/>
    </row>
    <row r="30" spans="1:26" ht="15" customHeight="1">
      <c r="A30" s="1122" t="s">
        <v>771</v>
      </c>
      <c r="B30" s="1123" t="s">
        <v>798</v>
      </c>
      <c r="C30" s="1123" t="s">
        <v>783</v>
      </c>
      <c r="D30" s="1123" t="s">
        <v>2317</v>
      </c>
      <c r="E30" s="1123" t="s">
        <v>1928</v>
      </c>
      <c r="F30" s="1123" t="s">
        <v>2318</v>
      </c>
      <c r="G30" s="1123" t="s">
        <v>1926</v>
      </c>
      <c r="H30" s="1124" t="s">
        <v>785</v>
      </c>
      <c r="I30" s="1123" t="s">
        <v>704</v>
      </c>
      <c r="J30" s="1125">
        <v>0</v>
      </c>
      <c r="K30" s="1125">
        <v>9.83</v>
      </c>
      <c r="L30" s="1126"/>
      <c r="M30" s="1126"/>
      <c r="N30" s="1125">
        <v>9.83</v>
      </c>
      <c r="O30" s="1125">
        <v>9.83</v>
      </c>
      <c r="P30" s="1125">
        <v>0</v>
      </c>
      <c r="Q30" s="1125">
        <v>0</v>
      </c>
      <c r="R30" s="1125">
        <v>0</v>
      </c>
      <c r="S30" s="1125">
        <v>0</v>
      </c>
      <c r="T30" s="1125">
        <v>0</v>
      </c>
      <c r="U30" s="1125">
        <v>0</v>
      </c>
      <c r="V30" s="1127">
        <v>0</v>
      </c>
      <c r="W30" s="1127">
        <v>0</v>
      </c>
      <c r="X30" s="1124"/>
      <c r="Y30" s="1319"/>
      <c r="Z30" s="1319"/>
    </row>
    <row r="31" spans="1:26" ht="15" customHeight="1">
      <c r="A31" s="1122" t="s">
        <v>771</v>
      </c>
      <c r="B31" s="1123" t="s">
        <v>798</v>
      </c>
      <c r="C31" s="1123" t="s">
        <v>783</v>
      </c>
      <c r="D31" s="1123" t="s">
        <v>2317</v>
      </c>
      <c r="E31" s="1123" t="s">
        <v>1928</v>
      </c>
      <c r="F31" s="1123" t="s">
        <v>2318</v>
      </c>
      <c r="G31" s="1123" t="s">
        <v>1926</v>
      </c>
      <c r="H31" s="1124" t="s">
        <v>785</v>
      </c>
      <c r="I31" s="1123" t="s">
        <v>1944</v>
      </c>
      <c r="J31" s="1125">
        <v>0</v>
      </c>
      <c r="K31" s="1125">
        <v>26.21</v>
      </c>
      <c r="L31" s="1126"/>
      <c r="M31" s="1126"/>
      <c r="N31" s="1125">
        <v>26.21</v>
      </c>
      <c r="O31" s="1125">
        <v>26.21</v>
      </c>
      <c r="P31" s="1125">
        <v>0</v>
      </c>
      <c r="Q31" s="1125">
        <v>0</v>
      </c>
      <c r="R31" s="1125">
        <v>0</v>
      </c>
      <c r="S31" s="1125">
        <v>0</v>
      </c>
      <c r="T31" s="1125">
        <v>0</v>
      </c>
      <c r="U31" s="1125">
        <v>0</v>
      </c>
      <c r="V31" s="1127">
        <v>0</v>
      </c>
      <c r="W31" s="1127">
        <v>0</v>
      </c>
      <c r="X31" s="1124"/>
      <c r="Y31" s="1319"/>
      <c r="Z31" s="1319"/>
    </row>
    <row r="32" spans="1:26" ht="15" customHeight="1">
      <c r="A32" s="1122" t="s">
        <v>958</v>
      </c>
      <c r="B32" s="1123" t="s">
        <v>1029</v>
      </c>
      <c r="C32" s="1123" t="s">
        <v>788</v>
      </c>
      <c r="D32" s="1123" t="s">
        <v>2319</v>
      </c>
      <c r="E32" s="1123"/>
      <c r="F32" s="1123" t="s">
        <v>2320</v>
      </c>
      <c r="G32" s="1123" t="s">
        <v>2135</v>
      </c>
      <c r="H32" s="1124" t="s">
        <v>2321</v>
      </c>
      <c r="I32" s="1123" t="s">
        <v>1945</v>
      </c>
      <c r="J32" s="1125">
        <v>-561.54</v>
      </c>
      <c r="K32" s="1125">
        <v>0</v>
      </c>
      <c r="L32" s="1126"/>
      <c r="M32" s="1126"/>
      <c r="N32" s="1125">
        <v>-561.54</v>
      </c>
      <c r="O32" s="1125">
        <v>-561.54</v>
      </c>
      <c r="P32" s="1125">
        <v>0</v>
      </c>
      <c r="Q32" s="1125">
        <v>0</v>
      </c>
      <c r="R32" s="1125">
        <v>0</v>
      </c>
      <c r="S32" s="1125">
        <v>0</v>
      </c>
      <c r="T32" s="1125">
        <v>0</v>
      </c>
      <c r="U32" s="1125">
        <v>0</v>
      </c>
      <c r="V32" s="1127">
        <v>0</v>
      </c>
      <c r="W32" s="1127">
        <v>0</v>
      </c>
      <c r="X32" s="1124"/>
      <c r="Y32" s="1319"/>
      <c r="Z32" s="1319"/>
    </row>
    <row r="33" spans="1:26" ht="15" customHeight="1">
      <c r="A33" s="1122" t="s">
        <v>1068</v>
      </c>
      <c r="B33" s="1123" t="s">
        <v>2322</v>
      </c>
      <c r="C33" s="1123" t="s">
        <v>790</v>
      </c>
      <c r="D33" s="1123" t="s">
        <v>2323</v>
      </c>
      <c r="E33" s="1123" t="s">
        <v>2324</v>
      </c>
      <c r="F33" s="1123" t="s">
        <v>2325</v>
      </c>
      <c r="G33" s="1123" t="s">
        <v>1926</v>
      </c>
      <c r="H33" s="1124" t="s">
        <v>2014</v>
      </c>
      <c r="I33" s="1123" t="s">
        <v>1997</v>
      </c>
      <c r="J33" s="1125">
        <v>-1871.16</v>
      </c>
      <c r="K33" s="1125">
        <v>0</v>
      </c>
      <c r="L33" s="1126"/>
      <c r="M33" s="1126"/>
      <c r="N33" s="1125">
        <v>-1871.16</v>
      </c>
      <c r="O33" s="1125">
        <v>-1871.16</v>
      </c>
      <c r="P33" s="1125">
        <v>0</v>
      </c>
      <c r="Q33" s="1125">
        <v>0</v>
      </c>
      <c r="R33" s="1125">
        <v>0</v>
      </c>
      <c r="S33" s="1125">
        <v>0</v>
      </c>
      <c r="T33" s="1125">
        <v>0</v>
      </c>
      <c r="U33" s="1125">
        <v>0</v>
      </c>
      <c r="V33" s="1127">
        <v>0</v>
      </c>
      <c r="W33" s="1127">
        <v>0</v>
      </c>
      <c r="X33" s="1124"/>
      <c r="Y33" s="1319"/>
      <c r="Z33" s="1319"/>
    </row>
    <row r="34" spans="1:26" ht="15" customHeight="1">
      <c r="A34" s="1122" t="s">
        <v>1023</v>
      </c>
      <c r="B34" s="1123" t="s">
        <v>2326</v>
      </c>
      <c r="C34" s="1123" t="s">
        <v>798</v>
      </c>
      <c r="D34" s="1123" t="s">
        <v>2327</v>
      </c>
      <c r="E34" s="1123" t="s">
        <v>2328</v>
      </c>
      <c r="F34" s="1123" t="s">
        <v>2329</v>
      </c>
      <c r="G34" s="1123" t="s">
        <v>1926</v>
      </c>
      <c r="H34" s="1124" t="s">
        <v>801</v>
      </c>
      <c r="I34" s="1123" t="s">
        <v>707</v>
      </c>
      <c r="J34" s="1125">
        <v>0</v>
      </c>
      <c r="K34" s="1125">
        <v>25.64</v>
      </c>
      <c r="L34" s="1126"/>
      <c r="M34" s="1126"/>
      <c r="N34" s="1125">
        <v>25.64</v>
      </c>
      <c r="O34" s="1125">
        <v>25.64</v>
      </c>
      <c r="P34" s="1125">
        <v>0</v>
      </c>
      <c r="Q34" s="1125">
        <v>0</v>
      </c>
      <c r="R34" s="1125">
        <v>0</v>
      </c>
      <c r="S34" s="1125">
        <v>0</v>
      </c>
      <c r="T34" s="1125">
        <v>0</v>
      </c>
      <c r="U34" s="1125">
        <v>0</v>
      </c>
      <c r="V34" s="1127">
        <v>0</v>
      </c>
      <c r="W34" s="1127">
        <v>0</v>
      </c>
      <c r="X34" s="1124"/>
      <c r="Y34" s="1319"/>
      <c r="Z34" s="1319"/>
    </row>
    <row r="35" spans="1:26" ht="15" customHeight="1">
      <c r="A35" s="1122" t="s">
        <v>1023</v>
      </c>
      <c r="B35" s="1123" t="s">
        <v>2326</v>
      </c>
      <c r="C35" s="1123" t="s">
        <v>798</v>
      </c>
      <c r="D35" s="1123" t="s">
        <v>2327</v>
      </c>
      <c r="E35" s="1123" t="s">
        <v>2328</v>
      </c>
      <c r="F35" s="1123" t="s">
        <v>2329</v>
      </c>
      <c r="G35" s="1123" t="s">
        <v>1926</v>
      </c>
      <c r="H35" s="1124" t="s">
        <v>801</v>
      </c>
      <c r="I35" s="1123" t="s">
        <v>713</v>
      </c>
      <c r="J35" s="1125">
        <v>0</v>
      </c>
      <c r="K35" s="1125">
        <v>6.5</v>
      </c>
      <c r="L35" s="1126"/>
      <c r="M35" s="1126"/>
      <c r="N35" s="1125">
        <v>6.5</v>
      </c>
      <c r="O35" s="1125">
        <v>6.5</v>
      </c>
      <c r="P35" s="1125">
        <v>0</v>
      </c>
      <c r="Q35" s="1125">
        <v>0</v>
      </c>
      <c r="R35" s="1125">
        <v>0</v>
      </c>
      <c r="S35" s="1125">
        <v>0</v>
      </c>
      <c r="T35" s="1125">
        <v>0</v>
      </c>
      <c r="U35" s="1125">
        <v>0</v>
      </c>
      <c r="V35" s="1127">
        <v>0</v>
      </c>
      <c r="W35" s="1127">
        <v>0</v>
      </c>
      <c r="X35" s="1124"/>
      <c r="Y35" s="1319"/>
      <c r="Z35" s="1319"/>
    </row>
    <row r="36" spans="1:26" ht="15" customHeight="1">
      <c r="A36" s="1122" t="s">
        <v>1023</v>
      </c>
      <c r="B36" s="1123" t="s">
        <v>2326</v>
      </c>
      <c r="C36" s="1123" t="s">
        <v>798</v>
      </c>
      <c r="D36" s="1123" t="s">
        <v>2327</v>
      </c>
      <c r="E36" s="1123" t="s">
        <v>2328</v>
      </c>
      <c r="F36" s="1123" t="s">
        <v>2329</v>
      </c>
      <c r="G36" s="1123" t="s">
        <v>1926</v>
      </c>
      <c r="H36" s="1124" t="s">
        <v>801</v>
      </c>
      <c r="I36" s="1123" t="s">
        <v>704</v>
      </c>
      <c r="J36" s="1125">
        <v>0</v>
      </c>
      <c r="K36" s="1125">
        <v>9.83</v>
      </c>
      <c r="L36" s="1126"/>
      <c r="M36" s="1126"/>
      <c r="N36" s="1125">
        <v>9.83</v>
      </c>
      <c r="O36" s="1125">
        <v>9.83</v>
      </c>
      <c r="P36" s="1125">
        <v>0</v>
      </c>
      <c r="Q36" s="1125">
        <v>0</v>
      </c>
      <c r="R36" s="1125">
        <v>0</v>
      </c>
      <c r="S36" s="1125">
        <v>0</v>
      </c>
      <c r="T36" s="1125">
        <v>0</v>
      </c>
      <c r="U36" s="1125">
        <v>0</v>
      </c>
      <c r="V36" s="1127">
        <v>0</v>
      </c>
      <c r="W36" s="1127">
        <v>0</v>
      </c>
      <c r="X36" s="1124"/>
      <c r="Y36" s="1319"/>
      <c r="Z36" s="1319"/>
    </row>
    <row r="37" spans="1:26" ht="15" customHeight="1">
      <c r="A37" s="1122" t="s">
        <v>1023</v>
      </c>
      <c r="B37" s="1123" t="s">
        <v>2326</v>
      </c>
      <c r="C37" s="1123" t="s">
        <v>798</v>
      </c>
      <c r="D37" s="1123" t="s">
        <v>2327</v>
      </c>
      <c r="E37" s="1123" t="s">
        <v>2328</v>
      </c>
      <c r="F37" s="1123" t="s">
        <v>2329</v>
      </c>
      <c r="G37" s="1123" t="s">
        <v>1926</v>
      </c>
      <c r="H37" s="1124" t="s">
        <v>801</v>
      </c>
      <c r="I37" s="1123" t="s">
        <v>1944</v>
      </c>
      <c r="J37" s="1125">
        <v>0</v>
      </c>
      <c r="K37" s="1125">
        <v>51.5</v>
      </c>
      <c r="L37" s="1126"/>
      <c r="M37" s="1126"/>
      <c r="N37" s="1125">
        <v>51.5</v>
      </c>
      <c r="O37" s="1125">
        <v>51.5</v>
      </c>
      <c r="P37" s="1125">
        <v>0</v>
      </c>
      <c r="Q37" s="1125">
        <v>0</v>
      </c>
      <c r="R37" s="1125">
        <v>0</v>
      </c>
      <c r="S37" s="1125">
        <v>0</v>
      </c>
      <c r="T37" s="1125">
        <v>0</v>
      </c>
      <c r="U37" s="1125">
        <v>0</v>
      </c>
      <c r="V37" s="1127">
        <v>0</v>
      </c>
      <c r="W37" s="1127">
        <v>0</v>
      </c>
      <c r="X37" s="1124"/>
      <c r="Y37" s="1319"/>
      <c r="Z37" s="1319"/>
    </row>
    <row r="38" spans="1:26" ht="15" customHeight="1">
      <c r="A38" s="1122" t="s">
        <v>864</v>
      </c>
      <c r="B38" s="1123" t="s">
        <v>909</v>
      </c>
      <c r="C38" s="1123" t="s">
        <v>803</v>
      </c>
      <c r="D38" s="1123" t="s">
        <v>2330</v>
      </c>
      <c r="E38" s="1123" t="s">
        <v>1928</v>
      </c>
      <c r="F38" s="1123" t="s">
        <v>2331</v>
      </c>
      <c r="G38" s="1123" t="s">
        <v>1926</v>
      </c>
      <c r="H38" s="1124" t="s">
        <v>806</v>
      </c>
      <c r="I38" s="1123" t="s">
        <v>707</v>
      </c>
      <c r="J38" s="1125">
        <v>0</v>
      </c>
      <c r="K38" s="1125">
        <v>4.79</v>
      </c>
      <c r="L38" s="1126"/>
      <c r="M38" s="1126"/>
      <c r="N38" s="1125">
        <v>4.79</v>
      </c>
      <c r="O38" s="1125">
        <v>4.79</v>
      </c>
      <c r="P38" s="1125">
        <v>0</v>
      </c>
      <c r="Q38" s="1125">
        <v>0</v>
      </c>
      <c r="R38" s="1125">
        <v>0</v>
      </c>
      <c r="S38" s="1125">
        <v>0</v>
      </c>
      <c r="T38" s="1125">
        <v>0</v>
      </c>
      <c r="U38" s="1125">
        <v>0</v>
      </c>
      <c r="V38" s="1127">
        <v>0</v>
      </c>
      <c r="W38" s="1127">
        <v>0</v>
      </c>
      <c r="X38" s="1124"/>
      <c r="Y38" s="1319"/>
      <c r="Z38" s="1319"/>
    </row>
    <row r="39" spans="1:26" ht="15" customHeight="1">
      <c r="A39" s="1122" t="s">
        <v>864</v>
      </c>
      <c r="B39" s="1123" t="s">
        <v>909</v>
      </c>
      <c r="C39" s="1123" t="s">
        <v>803</v>
      </c>
      <c r="D39" s="1123" t="s">
        <v>2330</v>
      </c>
      <c r="E39" s="1123" t="s">
        <v>1928</v>
      </c>
      <c r="F39" s="1123" t="s">
        <v>2331</v>
      </c>
      <c r="G39" s="1123" t="s">
        <v>1926</v>
      </c>
      <c r="H39" s="1124" t="s">
        <v>806</v>
      </c>
      <c r="I39" s="1123" t="s">
        <v>713</v>
      </c>
      <c r="J39" s="1125">
        <v>0</v>
      </c>
      <c r="K39" s="1125">
        <v>6.5</v>
      </c>
      <c r="L39" s="1126"/>
      <c r="M39" s="1126"/>
      <c r="N39" s="1125">
        <v>6.5</v>
      </c>
      <c r="O39" s="1125">
        <v>6.5</v>
      </c>
      <c r="P39" s="1125">
        <v>0</v>
      </c>
      <c r="Q39" s="1125">
        <v>0</v>
      </c>
      <c r="R39" s="1125">
        <v>0</v>
      </c>
      <c r="S39" s="1125">
        <v>0</v>
      </c>
      <c r="T39" s="1125">
        <v>0</v>
      </c>
      <c r="U39" s="1125">
        <v>0</v>
      </c>
      <c r="V39" s="1127">
        <v>0</v>
      </c>
      <c r="W39" s="1127">
        <v>0</v>
      </c>
      <c r="X39" s="1124"/>
      <c r="Y39" s="1319"/>
      <c r="Z39" s="1319"/>
    </row>
    <row r="40" spans="1:26" ht="15" customHeight="1">
      <c r="A40" s="1122" t="s">
        <v>864</v>
      </c>
      <c r="B40" s="1123" t="s">
        <v>909</v>
      </c>
      <c r="C40" s="1123" t="s">
        <v>803</v>
      </c>
      <c r="D40" s="1123" t="s">
        <v>2330</v>
      </c>
      <c r="E40" s="1123" t="s">
        <v>1928</v>
      </c>
      <c r="F40" s="1123" t="s">
        <v>2331</v>
      </c>
      <c r="G40" s="1123" t="s">
        <v>1926</v>
      </c>
      <c r="H40" s="1124" t="s">
        <v>806</v>
      </c>
      <c r="I40" s="1123" t="s">
        <v>704</v>
      </c>
      <c r="J40" s="1125">
        <v>0</v>
      </c>
      <c r="K40" s="1125">
        <v>9.83</v>
      </c>
      <c r="L40" s="1126"/>
      <c r="M40" s="1126"/>
      <c r="N40" s="1125">
        <v>9.83</v>
      </c>
      <c r="O40" s="1125">
        <v>9.83</v>
      </c>
      <c r="P40" s="1125">
        <v>0</v>
      </c>
      <c r="Q40" s="1125">
        <v>0</v>
      </c>
      <c r="R40" s="1125">
        <v>0</v>
      </c>
      <c r="S40" s="1125">
        <v>0</v>
      </c>
      <c r="T40" s="1125">
        <v>0</v>
      </c>
      <c r="U40" s="1125">
        <v>0</v>
      </c>
      <c r="V40" s="1127">
        <v>0</v>
      </c>
      <c r="W40" s="1127">
        <v>0</v>
      </c>
      <c r="X40" s="1124"/>
      <c r="Y40" s="1319"/>
      <c r="Z40" s="1319"/>
    </row>
    <row r="41" spans="1:26" ht="15" customHeight="1">
      <c r="A41" s="1122" t="s">
        <v>864</v>
      </c>
      <c r="B41" s="1123" t="s">
        <v>909</v>
      </c>
      <c r="C41" s="1123" t="s">
        <v>803</v>
      </c>
      <c r="D41" s="1123" t="s">
        <v>2330</v>
      </c>
      <c r="E41" s="1123" t="s">
        <v>1928</v>
      </c>
      <c r="F41" s="1123" t="s">
        <v>2331</v>
      </c>
      <c r="G41" s="1123" t="s">
        <v>1926</v>
      </c>
      <c r="H41" s="1124" t="s">
        <v>806</v>
      </c>
      <c r="I41" s="1123" t="s">
        <v>1944</v>
      </c>
      <c r="J41" s="1125">
        <v>0</v>
      </c>
      <c r="K41" s="1125">
        <v>58.8</v>
      </c>
      <c r="L41" s="1126"/>
      <c r="M41" s="1126"/>
      <c r="N41" s="1125">
        <v>58.8</v>
      </c>
      <c r="O41" s="1125">
        <v>58.8</v>
      </c>
      <c r="P41" s="1125">
        <v>0</v>
      </c>
      <c r="Q41" s="1125">
        <v>0</v>
      </c>
      <c r="R41" s="1125">
        <v>0</v>
      </c>
      <c r="S41" s="1125">
        <v>0</v>
      </c>
      <c r="T41" s="1125">
        <v>0</v>
      </c>
      <c r="U41" s="1125">
        <v>0</v>
      </c>
      <c r="V41" s="1127">
        <v>0</v>
      </c>
      <c r="W41" s="1127">
        <v>0</v>
      </c>
      <c r="X41" s="1124"/>
      <c r="Y41" s="1319"/>
      <c r="Z41" s="1319"/>
    </row>
    <row r="42" spans="1:26" ht="15" customHeight="1">
      <c r="A42" s="1122" t="s">
        <v>921</v>
      </c>
      <c r="B42" s="1123" t="s">
        <v>2332</v>
      </c>
      <c r="C42" s="1123" t="s">
        <v>809</v>
      </c>
      <c r="D42" s="1123" t="s">
        <v>2333</v>
      </c>
      <c r="E42" s="1123" t="s">
        <v>1928</v>
      </c>
      <c r="F42" s="1123" t="s">
        <v>2334</v>
      </c>
      <c r="G42" s="1123" t="s">
        <v>1926</v>
      </c>
      <c r="H42" s="1124" t="s">
        <v>811</v>
      </c>
      <c r="I42" s="1123" t="s">
        <v>707</v>
      </c>
      <c r="J42" s="1125">
        <v>0</v>
      </c>
      <c r="K42" s="1125">
        <v>6.18</v>
      </c>
      <c r="L42" s="1126"/>
      <c r="M42" s="1126"/>
      <c r="N42" s="1125">
        <v>6.18</v>
      </c>
      <c r="O42" s="1125">
        <v>6.18</v>
      </c>
      <c r="P42" s="1125">
        <v>0</v>
      </c>
      <c r="Q42" s="1125">
        <v>0</v>
      </c>
      <c r="R42" s="1125">
        <v>0</v>
      </c>
      <c r="S42" s="1125">
        <v>0</v>
      </c>
      <c r="T42" s="1125">
        <v>0</v>
      </c>
      <c r="U42" s="1125">
        <v>0</v>
      </c>
      <c r="V42" s="1127">
        <v>1</v>
      </c>
      <c r="W42" s="1127">
        <v>0</v>
      </c>
      <c r="X42" s="1124"/>
      <c r="Y42" s="1319"/>
      <c r="Z42" s="1319"/>
    </row>
    <row r="43" spans="1:26" ht="15" customHeight="1">
      <c r="A43" s="1122" t="s">
        <v>921</v>
      </c>
      <c r="B43" s="1123" t="s">
        <v>2332</v>
      </c>
      <c r="C43" s="1123" t="s">
        <v>809</v>
      </c>
      <c r="D43" s="1123" t="s">
        <v>2333</v>
      </c>
      <c r="E43" s="1123" t="s">
        <v>1928</v>
      </c>
      <c r="F43" s="1123" t="s">
        <v>2334</v>
      </c>
      <c r="G43" s="1123" t="s">
        <v>1926</v>
      </c>
      <c r="H43" s="1124" t="s">
        <v>811</v>
      </c>
      <c r="I43" s="1123" t="s">
        <v>713</v>
      </c>
      <c r="J43" s="1125">
        <v>0</v>
      </c>
      <c r="K43" s="1125">
        <v>6.5</v>
      </c>
      <c r="L43" s="1126"/>
      <c r="M43" s="1126"/>
      <c r="N43" s="1125">
        <v>6.5</v>
      </c>
      <c r="O43" s="1125">
        <v>6.5</v>
      </c>
      <c r="P43" s="1125">
        <v>0</v>
      </c>
      <c r="Q43" s="1125">
        <v>0</v>
      </c>
      <c r="R43" s="1125">
        <v>0</v>
      </c>
      <c r="S43" s="1125">
        <v>0</v>
      </c>
      <c r="T43" s="1125">
        <v>0</v>
      </c>
      <c r="U43" s="1125">
        <v>0</v>
      </c>
      <c r="V43" s="1127">
        <v>1</v>
      </c>
      <c r="W43" s="1127">
        <v>0</v>
      </c>
      <c r="X43" s="1124"/>
      <c r="Y43" s="1319"/>
      <c r="Z43" s="1319"/>
    </row>
    <row r="44" spans="1:26" ht="15" customHeight="1">
      <c r="A44" s="1122" t="s">
        <v>921</v>
      </c>
      <c r="B44" s="1123" t="s">
        <v>2332</v>
      </c>
      <c r="C44" s="1123" t="s">
        <v>809</v>
      </c>
      <c r="D44" s="1123" t="s">
        <v>2333</v>
      </c>
      <c r="E44" s="1123" t="s">
        <v>1928</v>
      </c>
      <c r="F44" s="1123" t="s">
        <v>2334</v>
      </c>
      <c r="G44" s="1123" t="s">
        <v>1926</v>
      </c>
      <c r="H44" s="1124" t="s">
        <v>811</v>
      </c>
      <c r="I44" s="1123" t="s">
        <v>704</v>
      </c>
      <c r="J44" s="1125">
        <v>0</v>
      </c>
      <c r="K44" s="1125">
        <v>9.83</v>
      </c>
      <c r="L44" s="1126"/>
      <c r="M44" s="1126"/>
      <c r="N44" s="1125">
        <v>9.83</v>
      </c>
      <c r="O44" s="1125">
        <v>9.83</v>
      </c>
      <c r="P44" s="1125">
        <v>0</v>
      </c>
      <c r="Q44" s="1125">
        <v>0</v>
      </c>
      <c r="R44" s="1125">
        <v>0</v>
      </c>
      <c r="S44" s="1125">
        <v>0</v>
      </c>
      <c r="T44" s="1125">
        <v>0</v>
      </c>
      <c r="U44" s="1125">
        <v>0</v>
      </c>
      <c r="V44" s="1127">
        <v>1</v>
      </c>
      <c r="W44" s="1127">
        <v>0</v>
      </c>
      <c r="X44" s="1124"/>
      <c r="Y44" s="1319"/>
      <c r="Z44" s="1319"/>
    </row>
    <row r="45" spans="1:26" ht="15" customHeight="1">
      <c r="A45" s="1122" t="s">
        <v>921</v>
      </c>
      <c r="B45" s="1123" t="s">
        <v>2332</v>
      </c>
      <c r="C45" s="1123" t="s">
        <v>809</v>
      </c>
      <c r="D45" s="1123" t="s">
        <v>2333</v>
      </c>
      <c r="E45" s="1123" t="s">
        <v>1928</v>
      </c>
      <c r="F45" s="1123" t="s">
        <v>2334</v>
      </c>
      <c r="G45" s="1123" t="s">
        <v>1926</v>
      </c>
      <c r="H45" s="1124" t="s">
        <v>811</v>
      </c>
      <c r="I45" s="1123" t="s">
        <v>1944</v>
      </c>
      <c r="J45" s="1125">
        <v>0</v>
      </c>
      <c r="K45" s="1125">
        <v>30.17</v>
      </c>
      <c r="L45" s="1126"/>
      <c r="M45" s="1126"/>
      <c r="N45" s="1125">
        <v>30.17</v>
      </c>
      <c r="O45" s="1125">
        <v>30.17</v>
      </c>
      <c r="P45" s="1125">
        <v>0</v>
      </c>
      <c r="Q45" s="1125">
        <v>0</v>
      </c>
      <c r="R45" s="1125">
        <v>0</v>
      </c>
      <c r="S45" s="1125">
        <v>0</v>
      </c>
      <c r="T45" s="1125">
        <v>0</v>
      </c>
      <c r="U45" s="1125">
        <v>0</v>
      </c>
      <c r="V45" s="1127">
        <v>1</v>
      </c>
      <c r="W45" s="1127">
        <v>0</v>
      </c>
      <c r="X45" s="1124"/>
      <c r="Y45" s="1319"/>
      <c r="Z45" s="1319"/>
    </row>
    <row r="46" spans="1:26" ht="15" customHeight="1">
      <c r="A46" s="1122" t="s">
        <v>2335</v>
      </c>
      <c r="B46" s="1123" t="s">
        <v>1342</v>
      </c>
      <c r="C46" s="1123" t="s">
        <v>814</v>
      </c>
      <c r="D46" s="1123" t="s">
        <v>816</v>
      </c>
      <c r="E46" s="1123" t="s">
        <v>1928</v>
      </c>
      <c r="F46" s="1123" t="s">
        <v>2336</v>
      </c>
      <c r="G46" s="1123" t="s">
        <v>1940</v>
      </c>
      <c r="H46" s="1124" t="s">
        <v>2337</v>
      </c>
      <c r="I46" s="1123" t="s">
        <v>713</v>
      </c>
      <c r="J46" s="1125">
        <v>0</v>
      </c>
      <c r="K46" s="1125">
        <v>6.5</v>
      </c>
      <c r="L46" s="1126"/>
      <c r="M46" s="1126"/>
      <c r="N46" s="1125">
        <v>6.5</v>
      </c>
      <c r="O46" s="1125">
        <v>6.5</v>
      </c>
      <c r="P46" s="1125">
        <v>0</v>
      </c>
      <c r="Q46" s="1125">
        <v>0</v>
      </c>
      <c r="R46" s="1125">
        <v>0</v>
      </c>
      <c r="S46" s="1125">
        <v>0</v>
      </c>
      <c r="T46" s="1125">
        <v>0</v>
      </c>
      <c r="U46" s="1125">
        <v>0</v>
      </c>
      <c r="V46" s="1127">
        <v>13</v>
      </c>
      <c r="W46" s="1127">
        <v>0</v>
      </c>
      <c r="X46" s="1124"/>
      <c r="Y46" s="1319"/>
      <c r="Z46" s="1319"/>
    </row>
    <row r="47" spans="1:26" ht="15" customHeight="1">
      <c r="A47" s="1122" t="s">
        <v>2335</v>
      </c>
      <c r="B47" s="1123" t="s">
        <v>1342</v>
      </c>
      <c r="C47" s="1123" t="s">
        <v>814</v>
      </c>
      <c r="D47" s="1123" t="s">
        <v>816</v>
      </c>
      <c r="E47" s="1123" t="s">
        <v>1928</v>
      </c>
      <c r="F47" s="1123" t="s">
        <v>2336</v>
      </c>
      <c r="G47" s="1123" t="s">
        <v>1940</v>
      </c>
      <c r="H47" s="1124" t="s">
        <v>2337</v>
      </c>
      <c r="I47" s="1123" t="s">
        <v>704</v>
      </c>
      <c r="J47" s="1125">
        <v>0</v>
      </c>
      <c r="K47" s="1125">
        <v>9.83</v>
      </c>
      <c r="L47" s="1126"/>
      <c r="M47" s="1126"/>
      <c r="N47" s="1125">
        <v>9.83</v>
      </c>
      <c r="O47" s="1125">
        <v>9.83</v>
      </c>
      <c r="P47" s="1125">
        <v>0</v>
      </c>
      <c r="Q47" s="1125">
        <v>0</v>
      </c>
      <c r="R47" s="1125">
        <v>0</v>
      </c>
      <c r="S47" s="1125">
        <v>0</v>
      </c>
      <c r="T47" s="1125">
        <v>0</v>
      </c>
      <c r="U47" s="1125">
        <v>0</v>
      </c>
      <c r="V47" s="1127">
        <v>13</v>
      </c>
      <c r="W47" s="1127">
        <v>0</v>
      </c>
      <c r="X47" s="1124"/>
      <c r="Y47" s="1319"/>
      <c r="Z47" s="1319"/>
    </row>
    <row r="48" spans="1:26" ht="15" customHeight="1">
      <c r="A48" s="1122" t="s">
        <v>2335</v>
      </c>
      <c r="B48" s="1123" t="s">
        <v>1342</v>
      </c>
      <c r="C48" s="1123" t="s">
        <v>814</v>
      </c>
      <c r="D48" s="1123" t="s">
        <v>816</v>
      </c>
      <c r="E48" s="1123" t="s">
        <v>1928</v>
      </c>
      <c r="F48" s="1123" t="s">
        <v>2336</v>
      </c>
      <c r="G48" s="1123" t="s">
        <v>1940</v>
      </c>
      <c r="H48" s="1124" t="s">
        <v>2337</v>
      </c>
      <c r="I48" s="1123" t="s">
        <v>1944</v>
      </c>
      <c r="J48" s="1125">
        <v>0</v>
      </c>
      <c r="K48" s="1125">
        <v>11.99</v>
      </c>
      <c r="L48" s="1126"/>
      <c r="M48" s="1126"/>
      <c r="N48" s="1125">
        <v>11.99</v>
      </c>
      <c r="O48" s="1125">
        <v>11.99</v>
      </c>
      <c r="P48" s="1125">
        <v>0</v>
      </c>
      <c r="Q48" s="1125">
        <v>0</v>
      </c>
      <c r="R48" s="1125">
        <v>0</v>
      </c>
      <c r="S48" s="1125">
        <v>0</v>
      </c>
      <c r="T48" s="1125">
        <v>0</v>
      </c>
      <c r="U48" s="1125">
        <v>0</v>
      </c>
      <c r="V48" s="1127">
        <v>13</v>
      </c>
      <c r="W48" s="1127">
        <v>0</v>
      </c>
      <c r="X48" s="1124"/>
      <c r="Y48" s="1319"/>
      <c r="Z48" s="1319"/>
    </row>
    <row r="49" spans="1:26" ht="15" customHeight="1">
      <c r="A49" s="1122" t="s">
        <v>2338</v>
      </c>
      <c r="B49" s="1123" t="s">
        <v>2339</v>
      </c>
      <c r="C49" s="1123" t="s">
        <v>818</v>
      </c>
      <c r="D49" s="1123" t="s">
        <v>2340</v>
      </c>
      <c r="E49" s="1123" t="s">
        <v>2341</v>
      </c>
      <c r="F49" s="1123" t="s">
        <v>2342</v>
      </c>
      <c r="G49" s="1123" t="s">
        <v>1926</v>
      </c>
      <c r="H49" s="1124" t="s">
        <v>2018</v>
      </c>
      <c r="I49" s="1123" t="s">
        <v>707</v>
      </c>
      <c r="J49" s="1125">
        <v>0</v>
      </c>
      <c r="K49" s="1125">
        <v>6.76</v>
      </c>
      <c r="L49" s="1126"/>
      <c r="M49" s="1126"/>
      <c r="N49" s="1125">
        <v>6.76</v>
      </c>
      <c r="O49" s="1125">
        <v>6.76</v>
      </c>
      <c r="P49" s="1125">
        <v>0</v>
      </c>
      <c r="Q49" s="1125">
        <v>0</v>
      </c>
      <c r="R49" s="1125">
        <v>0</v>
      </c>
      <c r="S49" s="1125">
        <v>0</v>
      </c>
      <c r="T49" s="1125">
        <v>250</v>
      </c>
      <c r="U49" s="1125">
        <v>0</v>
      </c>
      <c r="V49" s="1127">
        <v>0</v>
      </c>
      <c r="W49" s="1127">
        <v>0</v>
      </c>
      <c r="X49" s="1124"/>
      <c r="Y49" s="1319"/>
      <c r="Z49" s="1319"/>
    </row>
    <row r="50" spans="1:26" ht="15" customHeight="1">
      <c r="A50" s="1122" t="s">
        <v>2338</v>
      </c>
      <c r="B50" s="1123" t="s">
        <v>2339</v>
      </c>
      <c r="C50" s="1123" t="s">
        <v>818</v>
      </c>
      <c r="D50" s="1123" t="s">
        <v>2340</v>
      </c>
      <c r="E50" s="1123" t="s">
        <v>2341</v>
      </c>
      <c r="F50" s="1123" t="s">
        <v>2342</v>
      </c>
      <c r="G50" s="1123" t="s">
        <v>1926</v>
      </c>
      <c r="H50" s="1124" t="s">
        <v>2018</v>
      </c>
      <c r="I50" s="1123" t="s">
        <v>713</v>
      </c>
      <c r="J50" s="1125">
        <v>0</v>
      </c>
      <c r="K50" s="1125">
        <v>2.0299999999999998</v>
      </c>
      <c r="L50" s="1126"/>
      <c r="M50" s="1126"/>
      <c r="N50" s="1125">
        <v>2.0299999999999998</v>
      </c>
      <c r="O50" s="1125">
        <v>2.0299999999999998</v>
      </c>
      <c r="P50" s="1125">
        <v>0</v>
      </c>
      <c r="Q50" s="1125">
        <v>0</v>
      </c>
      <c r="R50" s="1125">
        <v>0</v>
      </c>
      <c r="S50" s="1125">
        <v>0</v>
      </c>
      <c r="T50" s="1125">
        <v>0</v>
      </c>
      <c r="U50" s="1125">
        <v>0</v>
      </c>
      <c r="V50" s="1127">
        <v>0</v>
      </c>
      <c r="W50" s="1127">
        <v>0</v>
      </c>
      <c r="X50" s="1124"/>
      <c r="Y50" s="1319"/>
      <c r="Z50" s="1319"/>
    </row>
    <row r="51" spans="1:26" ht="15" customHeight="1">
      <c r="A51" s="1122" t="s">
        <v>2338</v>
      </c>
      <c r="B51" s="1123" t="s">
        <v>2339</v>
      </c>
      <c r="C51" s="1123" t="s">
        <v>818</v>
      </c>
      <c r="D51" s="1123" t="s">
        <v>2340</v>
      </c>
      <c r="E51" s="1123" t="s">
        <v>2341</v>
      </c>
      <c r="F51" s="1123" t="s">
        <v>2342</v>
      </c>
      <c r="G51" s="1123" t="s">
        <v>1926</v>
      </c>
      <c r="H51" s="1124" t="s">
        <v>2018</v>
      </c>
      <c r="I51" s="1123" t="s">
        <v>704</v>
      </c>
      <c r="J51" s="1125">
        <v>0</v>
      </c>
      <c r="K51" s="1125">
        <v>2.78</v>
      </c>
      <c r="L51" s="1126"/>
      <c r="M51" s="1126"/>
      <c r="N51" s="1125">
        <v>2.78</v>
      </c>
      <c r="O51" s="1125">
        <v>2.78</v>
      </c>
      <c r="P51" s="1125">
        <v>0</v>
      </c>
      <c r="Q51" s="1125">
        <v>0</v>
      </c>
      <c r="R51" s="1125">
        <v>0</v>
      </c>
      <c r="S51" s="1125">
        <v>0</v>
      </c>
      <c r="T51" s="1125">
        <v>0</v>
      </c>
      <c r="U51" s="1125">
        <v>0</v>
      </c>
      <c r="V51" s="1127">
        <v>0</v>
      </c>
      <c r="W51" s="1127">
        <v>0</v>
      </c>
      <c r="X51" s="1124"/>
      <c r="Y51" s="1319"/>
      <c r="Z51" s="1319"/>
    </row>
    <row r="52" spans="1:26" ht="15" customHeight="1">
      <c r="A52" s="1122" t="s">
        <v>2338</v>
      </c>
      <c r="B52" s="1123" t="s">
        <v>2339</v>
      </c>
      <c r="C52" s="1123" t="s">
        <v>818</v>
      </c>
      <c r="D52" s="1123" t="s">
        <v>2340</v>
      </c>
      <c r="E52" s="1123" t="s">
        <v>2341</v>
      </c>
      <c r="F52" s="1123" t="s">
        <v>2342</v>
      </c>
      <c r="G52" s="1123" t="s">
        <v>1926</v>
      </c>
      <c r="H52" s="1124" t="s">
        <v>2018</v>
      </c>
      <c r="I52" s="1123" t="s">
        <v>1944</v>
      </c>
      <c r="J52" s="1125">
        <v>0</v>
      </c>
      <c r="K52" s="1125">
        <v>35.369999999999997</v>
      </c>
      <c r="L52" s="1126"/>
      <c r="M52" s="1126"/>
      <c r="N52" s="1125">
        <v>35.369999999999997</v>
      </c>
      <c r="O52" s="1125">
        <v>35.369999999999997</v>
      </c>
      <c r="P52" s="1125">
        <v>0</v>
      </c>
      <c r="Q52" s="1125">
        <v>0</v>
      </c>
      <c r="R52" s="1125">
        <v>0</v>
      </c>
      <c r="S52" s="1125">
        <v>0</v>
      </c>
      <c r="T52" s="1125">
        <v>0</v>
      </c>
      <c r="U52" s="1125">
        <v>0</v>
      </c>
      <c r="V52" s="1127">
        <v>0</v>
      </c>
      <c r="W52" s="1127">
        <v>0</v>
      </c>
      <c r="X52" s="1124"/>
      <c r="Y52" s="1319"/>
      <c r="Z52" s="1319"/>
    </row>
    <row r="53" spans="1:26" ht="15" customHeight="1">
      <c r="A53" s="1122" t="s">
        <v>2343</v>
      </c>
      <c r="B53" s="1123" t="s">
        <v>1276</v>
      </c>
      <c r="C53" s="1123" t="s">
        <v>822</v>
      </c>
      <c r="D53" s="1123" t="s">
        <v>823</v>
      </c>
      <c r="E53" s="1123" t="s">
        <v>1928</v>
      </c>
      <c r="F53" s="1123" t="s">
        <v>2344</v>
      </c>
      <c r="G53" s="1123" t="s">
        <v>1926</v>
      </c>
      <c r="H53" s="1124" t="s">
        <v>824</v>
      </c>
      <c r="I53" s="1123" t="s">
        <v>707</v>
      </c>
      <c r="J53" s="1125">
        <v>0</v>
      </c>
      <c r="K53" s="1125">
        <v>5.42</v>
      </c>
      <c r="L53" s="1126"/>
      <c r="M53" s="1126"/>
      <c r="N53" s="1125">
        <v>5.42</v>
      </c>
      <c r="O53" s="1125">
        <v>5.42</v>
      </c>
      <c r="P53" s="1125">
        <v>0</v>
      </c>
      <c r="Q53" s="1125">
        <v>0</v>
      </c>
      <c r="R53" s="1125">
        <v>0</v>
      </c>
      <c r="S53" s="1125">
        <v>0</v>
      </c>
      <c r="T53" s="1125">
        <v>350</v>
      </c>
      <c r="U53" s="1125">
        <v>0</v>
      </c>
      <c r="V53" s="1127">
        <v>0</v>
      </c>
      <c r="W53" s="1127">
        <v>0</v>
      </c>
      <c r="X53" s="1124"/>
      <c r="Y53" s="1319"/>
      <c r="Z53" s="1319"/>
    </row>
    <row r="54" spans="1:26" ht="15" customHeight="1">
      <c r="A54" s="1122" t="s">
        <v>2343</v>
      </c>
      <c r="B54" s="1123" t="s">
        <v>1276</v>
      </c>
      <c r="C54" s="1123" t="s">
        <v>822</v>
      </c>
      <c r="D54" s="1123" t="s">
        <v>823</v>
      </c>
      <c r="E54" s="1123" t="s">
        <v>1928</v>
      </c>
      <c r="F54" s="1123" t="s">
        <v>2344</v>
      </c>
      <c r="G54" s="1123" t="s">
        <v>1926</v>
      </c>
      <c r="H54" s="1124" t="s">
        <v>824</v>
      </c>
      <c r="I54" s="1123" t="s">
        <v>713</v>
      </c>
      <c r="J54" s="1125">
        <v>0</v>
      </c>
      <c r="K54" s="1125">
        <v>5</v>
      </c>
      <c r="L54" s="1126"/>
      <c r="M54" s="1126"/>
      <c r="N54" s="1125">
        <v>5</v>
      </c>
      <c r="O54" s="1125">
        <v>5</v>
      </c>
      <c r="P54" s="1125">
        <v>0</v>
      </c>
      <c r="Q54" s="1125">
        <v>0</v>
      </c>
      <c r="R54" s="1125">
        <v>0</v>
      </c>
      <c r="S54" s="1125">
        <v>0</v>
      </c>
      <c r="T54" s="1125">
        <v>0</v>
      </c>
      <c r="U54" s="1125">
        <v>0</v>
      </c>
      <c r="V54" s="1127">
        <v>0</v>
      </c>
      <c r="W54" s="1127">
        <v>0</v>
      </c>
      <c r="X54" s="1124"/>
      <c r="Y54" s="1319"/>
      <c r="Z54" s="1319"/>
    </row>
    <row r="55" spans="1:26" ht="15" customHeight="1">
      <c r="A55" s="1122" t="s">
        <v>2343</v>
      </c>
      <c r="B55" s="1123" t="s">
        <v>1276</v>
      </c>
      <c r="C55" s="1123" t="s">
        <v>822</v>
      </c>
      <c r="D55" s="1123" t="s">
        <v>823</v>
      </c>
      <c r="E55" s="1123" t="s">
        <v>1928</v>
      </c>
      <c r="F55" s="1123" t="s">
        <v>2344</v>
      </c>
      <c r="G55" s="1123" t="s">
        <v>1926</v>
      </c>
      <c r="H55" s="1124" t="s">
        <v>824</v>
      </c>
      <c r="I55" s="1123" t="s">
        <v>704</v>
      </c>
      <c r="J55" s="1125">
        <v>0</v>
      </c>
      <c r="K55" s="1125">
        <v>6.83</v>
      </c>
      <c r="L55" s="1126"/>
      <c r="M55" s="1126"/>
      <c r="N55" s="1125">
        <v>6.83</v>
      </c>
      <c r="O55" s="1125">
        <v>6.83</v>
      </c>
      <c r="P55" s="1125">
        <v>0</v>
      </c>
      <c r="Q55" s="1125">
        <v>0</v>
      </c>
      <c r="R55" s="1125">
        <v>0</v>
      </c>
      <c r="S55" s="1125">
        <v>0</v>
      </c>
      <c r="T55" s="1125">
        <v>0</v>
      </c>
      <c r="U55" s="1125">
        <v>0</v>
      </c>
      <c r="V55" s="1127">
        <v>0</v>
      </c>
      <c r="W55" s="1127">
        <v>0</v>
      </c>
      <c r="X55" s="1124"/>
      <c r="Y55" s="1319"/>
      <c r="Z55" s="1319"/>
    </row>
    <row r="56" spans="1:26" ht="15" customHeight="1">
      <c r="A56" s="1122" t="s">
        <v>2343</v>
      </c>
      <c r="B56" s="1123" t="s">
        <v>1276</v>
      </c>
      <c r="C56" s="1123" t="s">
        <v>822</v>
      </c>
      <c r="D56" s="1123" t="s">
        <v>823</v>
      </c>
      <c r="E56" s="1123" t="s">
        <v>1928</v>
      </c>
      <c r="F56" s="1123" t="s">
        <v>2344</v>
      </c>
      <c r="G56" s="1123" t="s">
        <v>1926</v>
      </c>
      <c r="H56" s="1124" t="s">
        <v>824</v>
      </c>
      <c r="I56" s="1123" t="s">
        <v>1944</v>
      </c>
      <c r="J56" s="1125">
        <v>0</v>
      </c>
      <c r="K56" s="1125">
        <v>25.09</v>
      </c>
      <c r="L56" s="1126"/>
      <c r="M56" s="1126"/>
      <c r="N56" s="1125">
        <v>25.09</v>
      </c>
      <c r="O56" s="1125">
        <v>25.09</v>
      </c>
      <c r="P56" s="1125">
        <v>0</v>
      </c>
      <c r="Q56" s="1125">
        <v>0</v>
      </c>
      <c r="R56" s="1125">
        <v>0</v>
      </c>
      <c r="S56" s="1125">
        <v>0</v>
      </c>
      <c r="T56" s="1125">
        <v>0</v>
      </c>
      <c r="U56" s="1125">
        <v>0</v>
      </c>
      <c r="V56" s="1127">
        <v>0</v>
      </c>
      <c r="W56" s="1127">
        <v>0</v>
      </c>
      <c r="X56" s="1124"/>
      <c r="Y56" s="1319"/>
      <c r="Z56" s="1319"/>
    </row>
    <row r="57" spans="1:26" ht="15" customHeight="1">
      <c r="A57" s="1122" t="s">
        <v>2345</v>
      </c>
      <c r="B57" s="1123" t="s">
        <v>2346</v>
      </c>
      <c r="C57" s="1123" t="s">
        <v>825</v>
      </c>
      <c r="D57" s="1123" t="s">
        <v>2347</v>
      </c>
      <c r="E57" s="1123"/>
      <c r="F57" s="1123" t="s">
        <v>2348</v>
      </c>
      <c r="G57" s="1123" t="s">
        <v>1926</v>
      </c>
      <c r="H57" s="1124" t="s">
        <v>827</v>
      </c>
      <c r="I57" s="1123" t="s">
        <v>707</v>
      </c>
      <c r="J57" s="1125">
        <v>0</v>
      </c>
      <c r="K57" s="1125">
        <v>10.72</v>
      </c>
      <c r="L57" s="1126"/>
      <c r="M57" s="1126"/>
      <c r="N57" s="1125">
        <v>10.72</v>
      </c>
      <c r="O57" s="1125">
        <v>10.72</v>
      </c>
      <c r="P57" s="1125">
        <v>0</v>
      </c>
      <c r="Q57" s="1125">
        <v>0</v>
      </c>
      <c r="R57" s="1125">
        <v>0</v>
      </c>
      <c r="S57" s="1125">
        <v>0</v>
      </c>
      <c r="T57" s="1125">
        <v>0</v>
      </c>
      <c r="U57" s="1125">
        <v>0</v>
      </c>
      <c r="V57" s="1127">
        <v>0</v>
      </c>
      <c r="W57" s="1127">
        <v>0</v>
      </c>
      <c r="X57" s="1124"/>
      <c r="Y57" s="1319"/>
      <c r="Z57" s="1319"/>
    </row>
    <row r="58" spans="1:26" ht="15" customHeight="1">
      <c r="A58" s="1122" t="s">
        <v>2345</v>
      </c>
      <c r="B58" s="1123" t="s">
        <v>2346</v>
      </c>
      <c r="C58" s="1123" t="s">
        <v>825</v>
      </c>
      <c r="D58" s="1123" t="s">
        <v>2347</v>
      </c>
      <c r="E58" s="1123"/>
      <c r="F58" s="1123" t="s">
        <v>2348</v>
      </c>
      <c r="G58" s="1123" t="s">
        <v>1926</v>
      </c>
      <c r="H58" s="1124" t="s">
        <v>827</v>
      </c>
      <c r="I58" s="1123" t="s">
        <v>713</v>
      </c>
      <c r="J58" s="1125">
        <v>0</v>
      </c>
      <c r="K58" s="1125">
        <v>5</v>
      </c>
      <c r="L58" s="1126"/>
      <c r="M58" s="1126"/>
      <c r="N58" s="1125">
        <v>5</v>
      </c>
      <c r="O58" s="1125">
        <v>5</v>
      </c>
      <c r="P58" s="1125">
        <v>0</v>
      </c>
      <c r="Q58" s="1125">
        <v>0</v>
      </c>
      <c r="R58" s="1125">
        <v>0</v>
      </c>
      <c r="S58" s="1125">
        <v>0</v>
      </c>
      <c r="T58" s="1125">
        <v>0</v>
      </c>
      <c r="U58" s="1125">
        <v>0</v>
      </c>
      <c r="V58" s="1127">
        <v>0</v>
      </c>
      <c r="W58" s="1127">
        <v>0</v>
      </c>
      <c r="X58" s="1124"/>
      <c r="Y58" s="1319"/>
      <c r="Z58" s="1319"/>
    </row>
    <row r="59" spans="1:26" ht="15" customHeight="1">
      <c r="A59" s="1122" t="s">
        <v>2345</v>
      </c>
      <c r="B59" s="1123" t="s">
        <v>2346</v>
      </c>
      <c r="C59" s="1123" t="s">
        <v>825</v>
      </c>
      <c r="D59" s="1123" t="s">
        <v>2347</v>
      </c>
      <c r="E59" s="1123"/>
      <c r="F59" s="1123" t="s">
        <v>2348</v>
      </c>
      <c r="G59" s="1123" t="s">
        <v>1926</v>
      </c>
      <c r="H59" s="1124" t="s">
        <v>827</v>
      </c>
      <c r="I59" s="1123" t="s">
        <v>704</v>
      </c>
      <c r="J59" s="1125">
        <v>0</v>
      </c>
      <c r="K59" s="1125">
        <v>6.83</v>
      </c>
      <c r="L59" s="1126"/>
      <c r="M59" s="1126"/>
      <c r="N59" s="1125">
        <v>6.83</v>
      </c>
      <c r="O59" s="1125">
        <v>6.83</v>
      </c>
      <c r="P59" s="1125">
        <v>0</v>
      </c>
      <c r="Q59" s="1125">
        <v>0</v>
      </c>
      <c r="R59" s="1125">
        <v>0</v>
      </c>
      <c r="S59" s="1125">
        <v>0</v>
      </c>
      <c r="T59" s="1125">
        <v>0</v>
      </c>
      <c r="U59" s="1125">
        <v>0</v>
      </c>
      <c r="V59" s="1127">
        <v>0</v>
      </c>
      <c r="W59" s="1127">
        <v>0</v>
      </c>
      <c r="X59" s="1124"/>
      <c r="Y59" s="1319"/>
      <c r="Z59" s="1319"/>
    </row>
    <row r="60" spans="1:26" ht="15" customHeight="1">
      <c r="A60" s="1122" t="s">
        <v>2345</v>
      </c>
      <c r="B60" s="1123" t="s">
        <v>2346</v>
      </c>
      <c r="C60" s="1123" t="s">
        <v>825</v>
      </c>
      <c r="D60" s="1123" t="s">
        <v>2347</v>
      </c>
      <c r="E60" s="1123"/>
      <c r="F60" s="1123" t="s">
        <v>2348</v>
      </c>
      <c r="G60" s="1123" t="s">
        <v>1926</v>
      </c>
      <c r="H60" s="1124" t="s">
        <v>827</v>
      </c>
      <c r="I60" s="1123" t="s">
        <v>1944</v>
      </c>
      <c r="J60" s="1125">
        <v>0</v>
      </c>
      <c r="K60" s="1125">
        <v>74.02</v>
      </c>
      <c r="L60" s="1126"/>
      <c r="M60" s="1126"/>
      <c r="N60" s="1125">
        <v>74.02</v>
      </c>
      <c r="O60" s="1125">
        <v>74.02</v>
      </c>
      <c r="P60" s="1125">
        <v>0</v>
      </c>
      <c r="Q60" s="1125">
        <v>0</v>
      </c>
      <c r="R60" s="1125">
        <v>0</v>
      </c>
      <c r="S60" s="1125">
        <v>0</v>
      </c>
      <c r="T60" s="1125">
        <v>0</v>
      </c>
      <c r="U60" s="1125">
        <v>0</v>
      </c>
      <c r="V60" s="1127">
        <v>0</v>
      </c>
      <c r="W60" s="1127">
        <v>0</v>
      </c>
      <c r="X60" s="1124"/>
      <c r="Y60" s="1319"/>
      <c r="Z60" s="1319"/>
    </row>
    <row r="61" spans="1:26" ht="15" customHeight="1">
      <c r="A61" s="1122" t="s">
        <v>908</v>
      </c>
      <c r="B61" s="1123" t="s">
        <v>2128</v>
      </c>
      <c r="C61" s="1123" t="s">
        <v>829</v>
      </c>
      <c r="D61" s="1123" t="s">
        <v>831</v>
      </c>
      <c r="E61" s="1123" t="s">
        <v>2129</v>
      </c>
      <c r="F61" s="1123" t="s">
        <v>2130</v>
      </c>
      <c r="G61" s="1123" t="s">
        <v>1926</v>
      </c>
      <c r="H61" s="1124" t="s">
        <v>832</v>
      </c>
      <c r="I61" s="1123" t="s">
        <v>707</v>
      </c>
      <c r="J61" s="1125">
        <v>0</v>
      </c>
      <c r="K61" s="1125">
        <v>32.99</v>
      </c>
      <c r="L61" s="1126"/>
      <c r="M61" s="1126"/>
      <c r="N61" s="1125">
        <v>32.99</v>
      </c>
      <c r="O61" s="1125">
        <v>32.99</v>
      </c>
      <c r="P61" s="1125">
        <v>0</v>
      </c>
      <c r="Q61" s="1125">
        <v>0</v>
      </c>
      <c r="R61" s="1125">
        <v>0</v>
      </c>
      <c r="S61" s="1125">
        <v>0</v>
      </c>
      <c r="T61" s="1125">
        <v>1756</v>
      </c>
      <c r="U61" s="1125">
        <v>0</v>
      </c>
      <c r="V61" s="1127">
        <v>0</v>
      </c>
      <c r="W61" s="1127">
        <v>0</v>
      </c>
      <c r="X61" s="1124"/>
      <c r="Y61" s="1319"/>
      <c r="Z61" s="1319"/>
    </row>
    <row r="62" spans="1:26" ht="15" customHeight="1">
      <c r="A62" s="1122" t="s">
        <v>908</v>
      </c>
      <c r="B62" s="1123" t="s">
        <v>2128</v>
      </c>
      <c r="C62" s="1123" t="s">
        <v>829</v>
      </c>
      <c r="D62" s="1123" t="s">
        <v>831</v>
      </c>
      <c r="E62" s="1123" t="s">
        <v>2129</v>
      </c>
      <c r="F62" s="1123" t="s">
        <v>2130</v>
      </c>
      <c r="G62" s="1123" t="s">
        <v>1926</v>
      </c>
      <c r="H62" s="1124" t="s">
        <v>832</v>
      </c>
      <c r="I62" s="1123" t="s">
        <v>713</v>
      </c>
      <c r="J62" s="1125">
        <v>0</v>
      </c>
      <c r="K62" s="1125">
        <v>6.5</v>
      </c>
      <c r="L62" s="1126"/>
      <c r="M62" s="1126"/>
      <c r="N62" s="1125">
        <v>6.5</v>
      </c>
      <c r="O62" s="1125">
        <v>6.5</v>
      </c>
      <c r="P62" s="1125">
        <v>0</v>
      </c>
      <c r="Q62" s="1125">
        <v>0</v>
      </c>
      <c r="R62" s="1125">
        <v>0</v>
      </c>
      <c r="S62" s="1125">
        <v>0</v>
      </c>
      <c r="T62" s="1125">
        <v>0</v>
      </c>
      <c r="U62" s="1125">
        <v>0</v>
      </c>
      <c r="V62" s="1127">
        <v>0</v>
      </c>
      <c r="W62" s="1127">
        <v>0</v>
      </c>
      <c r="X62" s="1124"/>
      <c r="Y62" s="1319"/>
      <c r="Z62" s="1319"/>
    </row>
    <row r="63" spans="1:26" ht="15" customHeight="1">
      <c r="A63" s="1122" t="s">
        <v>908</v>
      </c>
      <c r="B63" s="1123" t="s">
        <v>2128</v>
      </c>
      <c r="C63" s="1123" t="s">
        <v>829</v>
      </c>
      <c r="D63" s="1123" t="s">
        <v>831</v>
      </c>
      <c r="E63" s="1123" t="s">
        <v>2129</v>
      </c>
      <c r="F63" s="1123" t="s">
        <v>2130</v>
      </c>
      <c r="G63" s="1123" t="s">
        <v>1926</v>
      </c>
      <c r="H63" s="1124" t="s">
        <v>832</v>
      </c>
      <c r="I63" s="1123" t="s">
        <v>704</v>
      </c>
      <c r="J63" s="1125">
        <v>0</v>
      </c>
      <c r="K63" s="1125">
        <v>9.83</v>
      </c>
      <c r="L63" s="1126"/>
      <c r="M63" s="1126"/>
      <c r="N63" s="1125">
        <v>9.83</v>
      </c>
      <c r="O63" s="1125">
        <v>9.83</v>
      </c>
      <c r="P63" s="1125">
        <v>0</v>
      </c>
      <c r="Q63" s="1125">
        <v>0</v>
      </c>
      <c r="R63" s="1125">
        <v>0</v>
      </c>
      <c r="S63" s="1125">
        <v>0</v>
      </c>
      <c r="T63" s="1125">
        <v>0</v>
      </c>
      <c r="U63" s="1125">
        <v>0</v>
      </c>
      <c r="V63" s="1127">
        <v>0</v>
      </c>
      <c r="W63" s="1127">
        <v>0</v>
      </c>
      <c r="X63" s="1124"/>
      <c r="Y63" s="1319"/>
      <c r="Z63" s="1319"/>
    </row>
    <row r="64" spans="1:26" ht="15" customHeight="1">
      <c r="A64" s="1122" t="s">
        <v>908</v>
      </c>
      <c r="B64" s="1123" t="s">
        <v>2128</v>
      </c>
      <c r="C64" s="1123" t="s">
        <v>829</v>
      </c>
      <c r="D64" s="1123" t="s">
        <v>831</v>
      </c>
      <c r="E64" s="1123" t="s">
        <v>2129</v>
      </c>
      <c r="F64" s="1123" t="s">
        <v>2130</v>
      </c>
      <c r="G64" s="1123" t="s">
        <v>1926</v>
      </c>
      <c r="H64" s="1124" t="s">
        <v>832</v>
      </c>
      <c r="I64" s="1123" t="s">
        <v>1944</v>
      </c>
      <c r="J64" s="1125">
        <v>0</v>
      </c>
      <c r="K64" s="1125">
        <v>52.22</v>
      </c>
      <c r="L64" s="1126"/>
      <c r="M64" s="1126"/>
      <c r="N64" s="1125">
        <v>52.22</v>
      </c>
      <c r="O64" s="1125">
        <v>52.22</v>
      </c>
      <c r="P64" s="1125">
        <v>0</v>
      </c>
      <c r="Q64" s="1125">
        <v>0</v>
      </c>
      <c r="R64" s="1125">
        <v>0</v>
      </c>
      <c r="S64" s="1125">
        <v>0</v>
      </c>
      <c r="T64" s="1125">
        <v>0</v>
      </c>
      <c r="U64" s="1125">
        <v>0</v>
      </c>
      <c r="V64" s="1127">
        <v>0</v>
      </c>
      <c r="W64" s="1127">
        <v>0</v>
      </c>
      <c r="X64" s="1124"/>
      <c r="Y64" s="1319"/>
      <c r="Z64" s="1319"/>
    </row>
    <row r="65" spans="1:26" ht="15" customHeight="1">
      <c r="A65" s="1122" t="s">
        <v>2349</v>
      </c>
      <c r="B65" s="1123" t="s">
        <v>2146</v>
      </c>
      <c r="C65" s="1123" t="s">
        <v>835</v>
      </c>
      <c r="D65" s="1123" t="s">
        <v>836</v>
      </c>
      <c r="E65" s="1123" t="s">
        <v>1928</v>
      </c>
      <c r="F65" s="1123" t="s">
        <v>2350</v>
      </c>
      <c r="G65" s="1123" t="s">
        <v>1926</v>
      </c>
      <c r="H65" s="1124" t="s">
        <v>837</v>
      </c>
      <c r="I65" s="1123" t="s">
        <v>707</v>
      </c>
      <c r="J65" s="1125">
        <v>0</v>
      </c>
      <c r="K65" s="1125">
        <v>13.99</v>
      </c>
      <c r="L65" s="1126"/>
      <c r="M65" s="1126"/>
      <c r="N65" s="1125">
        <v>13.99</v>
      </c>
      <c r="O65" s="1125">
        <v>13.99</v>
      </c>
      <c r="P65" s="1125">
        <v>0</v>
      </c>
      <c r="Q65" s="1125">
        <v>0</v>
      </c>
      <c r="R65" s="1125">
        <v>0</v>
      </c>
      <c r="S65" s="1125">
        <v>0</v>
      </c>
      <c r="T65" s="1125">
        <v>0</v>
      </c>
      <c r="U65" s="1125">
        <v>0</v>
      </c>
      <c r="V65" s="1127">
        <v>0</v>
      </c>
      <c r="W65" s="1127">
        <v>0</v>
      </c>
      <c r="X65" s="1124"/>
      <c r="Y65" s="1319"/>
      <c r="Z65" s="1319"/>
    </row>
    <row r="66" spans="1:26" ht="15" customHeight="1">
      <c r="A66" s="1122" t="s">
        <v>2349</v>
      </c>
      <c r="B66" s="1123" t="s">
        <v>2146</v>
      </c>
      <c r="C66" s="1123" t="s">
        <v>835</v>
      </c>
      <c r="D66" s="1123" t="s">
        <v>836</v>
      </c>
      <c r="E66" s="1123" t="s">
        <v>1928</v>
      </c>
      <c r="F66" s="1123" t="s">
        <v>2350</v>
      </c>
      <c r="G66" s="1123" t="s">
        <v>1926</v>
      </c>
      <c r="H66" s="1124" t="s">
        <v>837</v>
      </c>
      <c r="I66" s="1123" t="s">
        <v>713</v>
      </c>
      <c r="J66" s="1125">
        <v>0</v>
      </c>
      <c r="K66" s="1125">
        <v>6.5</v>
      </c>
      <c r="L66" s="1126"/>
      <c r="M66" s="1126"/>
      <c r="N66" s="1125">
        <v>6.5</v>
      </c>
      <c r="O66" s="1125">
        <v>6.5</v>
      </c>
      <c r="P66" s="1125">
        <v>0</v>
      </c>
      <c r="Q66" s="1125">
        <v>0</v>
      </c>
      <c r="R66" s="1125">
        <v>0</v>
      </c>
      <c r="S66" s="1125">
        <v>0</v>
      </c>
      <c r="T66" s="1125">
        <v>0</v>
      </c>
      <c r="U66" s="1125">
        <v>0</v>
      </c>
      <c r="V66" s="1127">
        <v>0</v>
      </c>
      <c r="W66" s="1127">
        <v>0</v>
      </c>
      <c r="X66" s="1124"/>
      <c r="Y66" s="1319"/>
      <c r="Z66" s="1319"/>
    </row>
    <row r="67" spans="1:26" ht="15" customHeight="1">
      <c r="A67" s="1122" t="s">
        <v>2349</v>
      </c>
      <c r="B67" s="1123" t="s">
        <v>2146</v>
      </c>
      <c r="C67" s="1123" t="s">
        <v>835</v>
      </c>
      <c r="D67" s="1123" t="s">
        <v>836</v>
      </c>
      <c r="E67" s="1123" t="s">
        <v>1928</v>
      </c>
      <c r="F67" s="1123" t="s">
        <v>2350</v>
      </c>
      <c r="G67" s="1123" t="s">
        <v>1926</v>
      </c>
      <c r="H67" s="1124" t="s">
        <v>837</v>
      </c>
      <c r="I67" s="1123" t="s">
        <v>704</v>
      </c>
      <c r="J67" s="1125">
        <v>0</v>
      </c>
      <c r="K67" s="1125">
        <v>9.83</v>
      </c>
      <c r="L67" s="1126"/>
      <c r="M67" s="1126"/>
      <c r="N67" s="1125">
        <v>9.83</v>
      </c>
      <c r="O67" s="1125">
        <v>9.83</v>
      </c>
      <c r="P67" s="1125">
        <v>0</v>
      </c>
      <c r="Q67" s="1125">
        <v>0</v>
      </c>
      <c r="R67" s="1125">
        <v>0</v>
      </c>
      <c r="S67" s="1125">
        <v>0</v>
      </c>
      <c r="T67" s="1125">
        <v>0</v>
      </c>
      <c r="U67" s="1125">
        <v>0</v>
      </c>
      <c r="V67" s="1127">
        <v>0</v>
      </c>
      <c r="W67" s="1127">
        <v>0</v>
      </c>
      <c r="X67" s="1124"/>
      <c r="Y67" s="1319"/>
      <c r="Z67" s="1319"/>
    </row>
    <row r="68" spans="1:26" ht="15" customHeight="1">
      <c r="A68" s="1122" t="s">
        <v>2349</v>
      </c>
      <c r="B68" s="1123" t="s">
        <v>2146</v>
      </c>
      <c r="C68" s="1123" t="s">
        <v>835</v>
      </c>
      <c r="D68" s="1123" t="s">
        <v>836</v>
      </c>
      <c r="E68" s="1123" t="s">
        <v>1928</v>
      </c>
      <c r="F68" s="1123" t="s">
        <v>2350</v>
      </c>
      <c r="G68" s="1123" t="s">
        <v>1926</v>
      </c>
      <c r="H68" s="1124" t="s">
        <v>837</v>
      </c>
      <c r="I68" s="1123" t="s">
        <v>1944</v>
      </c>
      <c r="J68" s="1125">
        <v>0</v>
      </c>
      <c r="K68" s="1125">
        <v>52.75</v>
      </c>
      <c r="L68" s="1126"/>
      <c r="M68" s="1126"/>
      <c r="N68" s="1125">
        <v>52.75</v>
      </c>
      <c r="O68" s="1125">
        <v>52.75</v>
      </c>
      <c r="P68" s="1125">
        <v>0</v>
      </c>
      <c r="Q68" s="1125">
        <v>0</v>
      </c>
      <c r="R68" s="1125">
        <v>0</v>
      </c>
      <c r="S68" s="1125">
        <v>0</v>
      </c>
      <c r="T68" s="1125">
        <v>0</v>
      </c>
      <c r="U68" s="1125">
        <v>0</v>
      </c>
      <c r="V68" s="1127">
        <v>0</v>
      </c>
      <c r="W68" s="1127">
        <v>0</v>
      </c>
      <c r="X68" s="1124"/>
      <c r="Y68" s="1319"/>
      <c r="Z68" s="1319"/>
    </row>
    <row r="69" spans="1:26" ht="15" customHeight="1">
      <c r="A69" s="1122" t="s">
        <v>2351</v>
      </c>
      <c r="B69" s="1123" t="s">
        <v>1284</v>
      </c>
      <c r="C69" s="1123" t="s">
        <v>839</v>
      </c>
      <c r="D69" s="1123" t="s">
        <v>2352</v>
      </c>
      <c r="E69" s="1123" t="s">
        <v>2353</v>
      </c>
      <c r="F69" s="1123" t="s">
        <v>2354</v>
      </c>
      <c r="G69" s="1123" t="s">
        <v>1926</v>
      </c>
      <c r="H69" s="1124" t="s">
        <v>739</v>
      </c>
      <c r="I69" s="1123" t="s">
        <v>707</v>
      </c>
      <c r="J69" s="1125">
        <v>0</v>
      </c>
      <c r="K69" s="1125">
        <v>14.09</v>
      </c>
      <c r="L69" s="1126"/>
      <c r="M69" s="1126"/>
      <c r="N69" s="1125">
        <v>14.09</v>
      </c>
      <c r="O69" s="1125">
        <v>14.09</v>
      </c>
      <c r="P69" s="1125">
        <v>0</v>
      </c>
      <c r="Q69" s="1125">
        <v>0</v>
      </c>
      <c r="R69" s="1125">
        <v>0</v>
      </c>
      <c r="S69" s="1125">
        <v>0</v>
      </c>
      <c r="T69" s="1125">
        <v>250</v>
      </c>
      <c r="U69" s="1125">
        <v>0</v>
      </c>
      <c r="V69" s="1127">
        <v>0</v>
      </c>
      <c r="W69" s="1127">
        <v>0</v>
      </c>
      <c r="X69" s="1124"/>
      <c r="Y69" s="1319"/>
      <c r="Z69" s="1319"/>
    </row>
    <row r="70" spans="1:26" ht="15" customHeight="1">
      <c r="A70" s="1122" t="s">
        <v>2351</v>
      </c>
      <c r="B70" s="1123" t="s">
        <v>1284</v>
      </c>
      <c r="C70" s="1123" t="s">
        <v>839</v>
      </c>
      <c r="D70" s="1123" t="s">
        <v>2352</v>
      </c>
      <c r="E70" s="1123" t="s">
        <v>2353</v>
      </c>
      <c r="F70" s="1123" t="s">
        <v>2354</v>
      </c>
      <c r="G70" s="1123" t="s">
        <v>1926</v>
      </c>
      <c r="H70" s="1124" t="s">
        <v>739</v>
      </c>
      <c r="I70" s="1123" t="s">
        <v>713</v>
      </c>
      <c r="J70" s="1125">
        <v>0</v>
      </c>
      <c r="K70" s="1125">
        <v>5</v>
      </c>
      <c r="L70" s="1126"/>
      <c r="M70" s="1126"/>
      <c r="N70" s="1125">
        <v>5</v>
      </c>
      <c r="O70" s="1125">
        <v>5</v>
      </c>
      <c r="P70" s="1125">
        <v>0</v>
      </c>
      <c r="Q70" s="1125">
        <v>0</v>
      </c>
      <c r="R70" s="1125">
        <v>0</v>
      </c>
      <c r="S70" s="1125">
        <v>0</v>
      </c>
      <c r="T70" s="1125">
        <v>0</v>
      </c>
      <c r="U70" s="1125">
        <v>0</v>
      </c>
      <c r="V70" s="1127">
        <v>0</v>
      </c>
      <c r="W70" s="1127">
        <v>0</v>
      </c>
      <c r="X70" s="1124"/>
      <c r="Y70" s="1319"/>
      <c r="Z70" s="1319"/>
    </row>
    <row r="71" spans="1:26" ht="15" customHeight="1">
      <c r="A71" s="1122" t="s">
        <v>2351</v>
      </c>
      <c r="B71" s="1123" t="s">
        <v>1284</v>
      </c>
      <c r="C71" s="1123" t="s">
        <v>839</v>
      </c>
      <c r="D71" s="1123" t="s">
        <v>2352</v>
      </c>
      <c r="E71" s="1123" t="s">
        <v>2353</v>
      </c>
      <c r="F71" s="1123" t="s">
        <v>2354</v>
      </c>
      <c r="G71" s="1123" t="s">
        <v>1926</v>
      </c>
      <c r="H71" s="1124" t="s">
        <v>739</v>
      </c>
      <c r="I71" s="1123" t="s">
        <v>704</v>
      </c>
      <c r="J71" s="1125">
        <v>0</v>
      </c>
      <c r="K71" s="1125">
        <v>6.83</v>
      </c>
      <c r="L71" s="1126"/>
      <c r="M71" s="1126"/>
      <c r="N71" s="1125">
        <v>6.83</v>
      </c>
      <c r="O71" s="1125">
        <v>6.83</v>
      </c>
      <c r="P71" s="1125">
        <v>0</v>
      </c>
      <c r="Q71" s="1125">
        <v>0</v>
      </c>
      <c r="R71" s="1125">
        <v>0</v>
      </c>
      <c r="S71" s="1125">
        <v>0</v>
      </c>
      <c r="T71" s="1125">
        <v>0</v>
      </c>
      <c r="U71" s="1125">
        <v>0</v>
      </c>
      <c r="V71" s="1127">
        <v>0</v>
      </c>
      <c r="W71" s="1127">
        <v>0</v>
      </c>
      <c r="X71" s="1124"/>
      <c r="Y71" s="1319"/>
      <c r="Z71" s="1319"/>
    </row>
    <row r="72" spans="1:26" ht="15" customHeight="1">
      <c r="A72" s="1122" t="s">
        <v>2351</v>
      </c>
      <c r="B72" s="1123" t="s">
        <v>1284</v>
      </c>
      <c r="C72" s="1123" t="s">
        <v>839</v>
      </c>
      <c r="D72" s="1123" t="s">
        <v>2352</v>
      </c>
      <c r="E72" s="1123" t="s">
        <v>2353</v>
      </c>
      <c r="F72" s="1123" t="s">
        <v>2354</v>
      </c>
      <c r="G72" s="1123" t="s">
        <v>1926</v>
      </c>
      <c r="H72" s="1124" t="s">
        <v>739</v>
      </c>
      <c r="I72" s="1123" t="s">
        <v>1944</v>
      </c>
      <c r="J72" s="1125">
        <v>0</v>
      </c>
      <c r="K72" s="1125">
        <v>69.400000000000006</v>
      </c>
      <c r="L72" s="1126"/>
      <c r="M72" s="1126"/>
      <c r="N72" s="1125">
        <v>69.400000000000006</v>
      </c>
      <c r="O72" s="1125">
        <v>69.400000000000006</v>
      </c>
      <c r="P72" s="1125">
        <v>0</v>
      </c>
      <c r="Q72" s="1125">
        <v>0</v>
      </c>
      <c r="R72" s="1125">
        <v>0</v>
      </c>
      <c r="S72" s="1125">
        <v>0</v>
      </c>
      <c r="T72" s="1125">
        <v>0</v>
      </c>
      <c r="U72" s="1125">
        <v>0</v>
      </c>
      <c r="V72" s="1127">
        <v>0</v>
      </c>
      <c r="W72" s="1127">
        <v>0</v>
      </c>
      <c r="X72" s="1124"/>
      <c r="Y72" s="1319"/>
      <c r="Z72" s="1319"/>
    </row>
    <row r="73" spans="1:26" ht="15" customHeight="1">
      <c r="A73" s="1122" t="s">
        <v>2131</v>
      </c>
      <c r="B73" s="1123" t="s">
        <v>2132</v>
      </c>
      <c r="C73" s="1123" t="s">
        <v>844</v>
      </c>
      <c r="D73" s="1123" t="s">
        <v>2133</v>
      </c>
      <c r="E73" s="1123" t="s">
        <v>1928</v>
      </c>
      <c r="F73" s="1123" t="s">
        <v>2134</v>
      </c>
      <c r="G73" s="1123" t="s">
        <v>2135</v>
      </c>
      <c r="H73" s="1124" t="s">
        <v>1495</v>
      </c>
      <c r="I73" s="1123" t="s">
        <v>1929</v>
      </c>
      <c r="J73" s="1125">
        <v>-48.54</v>
      </c>
      <c r="K73" s="1125">
        <v>0</v>
      </c>
      <c r="L73" s="1126"/>
      <c r="M73" s="1126"/>
      <c r="N73" s="1125">
        <v>-48.54</v>
      </c>
      <c r="O73" s="1125">
        <v>0</v>
      </c>
      <c r="P73" s="1125">
        <v>0</v>
      </c>
      <c r="Q73" s="1125">
        <v>0</v>
      </c>
      <c r="R73" s="1125">
        <v>-48.54</v>
      </c>
      <c r="S73" s="1125">
        <v>0</v>
      </c>
      <c r="T73" s="1125">
        <v>0</v>
      </c>
      <c r="U73" s="1125">
        <v>0</v>
      </c>
      <c r="V73" s="1127">
        <v>0</v>
      </c>
      <c r="W73" s="1127">
        <v>0</v>
      </c>
      <c r="X73" s="1124"/>
      <c r="Y73" s="1319"/>
      <c r="Z73" s="1319"/>
    </row>
    <row r="74" spans="1:26" ht="15" customHeight="1">
      <c r="A74" s="1122" t="s">
        <v>1121</v>
      </c>
      <c r="B74" s="1123" t="s">
        <v>2355</v>
      </c>
      <c r="C74" s="1123" t="s">
        <v>844</v>
      </c>
      <c r="D74" s="1123" t="s">
        <v>2356</v>
      </c>
      <c r="E74" s="1123" t="s">
        <v>2357</v>
      </c>
      <c r="F74" s="1123" t="s">
        <v>2358</v>
      </c>
      <c r="G74" s="1123" t="s">
        <v>1926</v>
      </c>
      <c r="H74" s="1124" t="s">
        <v>1072</v>
      </c>
      <c r="I74" s="1123" t="s">
        <v>707</v>
      </c>
      <c r="J74" s="1125">
        <v>0</v>
      </c>
      <c r="K74" s="1125">
        <v>0.17</v>
      </c>
      <c r="L74" s="1126"/>
      <c r="M74" s="1126"/>
      <c r="N74" s="1125">
        <v>0.17</v>
      </c>
      <c r="O74" s="1125">
        <v>0.17</v>
      </c>
      <c r="P74" s="1125">
        <v>0</v>
      </c>
      <c r="Q74" s="1125">
        <v>0</v>
      </c>
      <c r="R74" s="1125">
        <v>0</v>
      </c>
      <c r="S74" s="1125">
        <v>0</v>
      </c>
      <c r="T74" s="1125">
        <v>500</v>
      </c>
      <c r="U74" s="1125">
        <v>0</v>
      </c>
      <c r="V74" s="1127">
        <v>0</v>
      </c>
      <c r="W74" s="1127">
        <v>0</v>
      </c>
      <c r="X74" s="1124"/>
      <c r="Y74" s="1319"/>
      <c r="Z74" s="1319"/>
    </row>
    <row r="75" spans="1:26" ht="24">
      <c r="A75" s="1122" t="s">
        <v>1121</v>
      </c>
      <c r="B75" s="1123" t="s">
        <v>2355</v>
      </c>
      <c r="C75" s="1123" t="s">
        <v>844</v>
      </c>
      <c r="D75" s="1123" t="s">
        <v>2356</v>
      </c>
      <c r="E75" s="1123" t="s">
        <v>2357</v>
      </c>
      <c r="F75" s="1123" t="s">
        <v>2358</v>
      </c>
      <c r="G75" s="1123" t="s">
        <v>1926</v>
      </c>
      <c r="H75" s="1124" t="s">
        <v>1072</v>
      </c>
      <c r="I75" s="1123" t="s">
        <v>1996</v>
      </c>
      <c r="J75" s="1125">
        <v>0</v>
      </c>
      <c r="K75" s="1125">
        <v>40.32</v>
      </c>
      <c r="L75" s="1126"/>
      <c r="M75" s="1126"/>
      <c r="N75" s="1125">
        <v>40.32</v>
      </c>
      <c r="O75" s="1125">
        <v>40.32</v>
      </c>
      <c r="P75" s="1125">
        <v>0</v>
      </c>
      <c r="Q75" s="1125">
        <v>0</v>
      </c>
      <c r="R75" s="1125">
        <v>0</v>
      </c>
      <c r="S75" s="1125">
        <v>0</v>
      </c>
      <c r="T75" s="1125">
        <v>0</v>
      </c>
      <c r="U75" s="1125">
        <v>0</v>
      </c>
      <c r="V75" s="1127">
        <v>0</v>
      </c>
      <c r="W75" s="1127">
        <v>0</v>
      </c>
      <c r="X75" s="1124"/>
      <c r="Y75" s="1319"/>
      <c r="Z75" s="1319"/>
    </row>
    <row r="76" spans="1:26" ht="24">
      <c r="A76" s="1122" t="s">
        <v>1121</v>
      </c>
      <c r="B76" s="1123" t="s">
        <v>2355</v>
      </c>
      <c r="C76" s="1123" t="s">
        <v>844</v>
      </c>
      <c r="D76" s="1123" t="s">
        <v>2356</v>
      </c>
      <c r="E76" s="1123" t="s">
        <v>2357</v>
      </c>
      <c r="F76" s="1123" t="s">
        <v>2358</v>
      </c>
      <c r="G76" s="1123" t="s">
        <v>1926</v>
      </c>
      <c r="H76" s="1124" t="s">
        <v>1072</v>
      </c>
      <c r="I76" s="1123" t="s">
        <v>704</v>
      </c>
      <c r="J76" s="1125">
        <v>0</v>
      </c>
      <c r="K76" s="1125">
        <v>24.19</v>
      </c>
      <c r="L76" s="1126"/>
      <c r="M76" s="1126"/>
      <c r="N76" s="1125">
        <v>24.19</v>
      </c>
      <c r="O76" s="1125">
        <v>24.19</v>
      </c>
      <c r="P76" s="1125">
        <v>0</v>
      </c>
      <c r="Q76" s="1125">
        <v>0</v>
      </c>
      <c r="R76" s="1125">
        <v>0</v>
      </c>
      <c r="S76" s="1125">
        <v>0</v>
      </c>
      <c r="T76" s="1125">
        <v>0</v>
      </c>
      <c r="U76" s="1125">
        <v>0</v>
      </c>
      <c r="V76" s="1127">
        <v>0</v>
      </c>
      <c r="W76" s="1127">
        <v>0</v>
      </c>
      <c r="X76" s="1124"/>
      <c r="Y76" s="1319"/>
      <c r="Z76" s="1319"/>
    </row>
    <row r="77" spans="1:26" ht="24">
      <c r="A77" s="1122" t="s">
        <v>1121</v>
      </c>
      <c r="B77" s="1123" t="s">
        <v>2355</v>
      </c>
      <c r="C77" s="1123" t="s">
        <v>844</v>
      </c>
      <c r="D77" s="1123" t="s">
        <v>2356</v>
      </c>
      <c r="E77" s="1123" t="s">
        <v>2357</v>
      </c>
      <c r="F77" s="1123" t="s">
        <v>2358</v>
      </c>
      <c r="G77" s="1123" t="s">
        <v>1926</v>
      </c>
      <c r="H77" s="1124" t="s">
        <v>1072</v>
      </c>
      <c r="I77" s="1123" t="s">
        <v>705</v>
      </c>
      <c r="J77" s="1125">
        <v>0</v>
      </c>
      <c r="K77" s="1125">
        <v>16.13</v>
      </c>
      <c r="L77" s="1126"/>
      <c r="M77" s="1126"/>
      <c r="N77" s="1125">
        <v>16.13</v>
      </c>
      <c r="O77" s="1125">
        <v>16.13</v>
      </c>
      <c r="P77" s="1125">
        <v>0</v>
      </c>
      <c r="Q77" s="1125">
        <v>0</v>
      </c>
      <c r="R77" s="1125">
        <v>0</v>
      </c>
      <c r="S77" s="1125">
        <v>0</v>
      </c>
      <c r="T77" s="1125">
        <v>0</v>
      </c>
      <c r="U77" s="1125">
        <v>0</v>
      </c>
      <c r="V77" s="1127">
        <v>0</v>
      </c>
      <c r="W77" s="1127">
        <v>0</v>
      </c>
      <c r="X77" s="1124"/>
      <c r="Y77" s="1319"/>
      <c r="Z77" s="1319"/>
    </row>
    <row r="78" spans="1:26" ht="24">
      <c r="A78" s="1122" t="s">
        <v>1121</v>
      </c>
      <c r="B78" s="1123" t="s">
        <v>2355</v>
      </c>
      <c r="C78" s="1123" t="s">
        <v>844</v>
      </c>
      <c r="D78" s="1123" t="s">
        <v>2356</v>
      </c>
      <c r="E78" s="1123" t="s">
        <v>2357</v>
      </c>
      <c r="F78" s="1123" t="s">
        <v>2358</v>
      </c>
      <c r="G78" s="1123" t="s">
        <v>1926</v>
      </c>
      <c r="H78" s="1124" t="s">
        <v>1072</v>
      </c>
      <c r="I78" s="1123" t="s">
        <v>706</v>
      </c>
      <c r="J78" s="1125">
        <v>0</v>
      </c>
      <c r="K78" s="1125">
        <v>17.739999999999998</v>
      </c>
      <c r="L78" s="1126"/>
      <c r="M78" s="1126"/>
      <c r="N78" s="1125">
        <v>17.739999999999998</v>
      </c>
      <c r="O78" s="1125">
        <v>17.739999999999998</v>
      </c>
      <c r="P78" s="1125">
        <v>0</v>
      </c>
      <c r="Q78" s="1125">
        <v>0</v>
      </c>
      <c r="R78" s="1125">
        <v>0</v>
      </c>
      <c r="S78" s="1125">
        <v>0</v>
      </c>
      <c r="T78" s="1125">
        <v>0</v>
      </c>
      <c r="U78" s="1125">
        <v>0</v>
      </c>
      <c r="V78" s="1127">
        <v>0</v>
      </c>
      <c r="W78" s="1127">
        <v>0</v>
      </c>
      <c r="X78" s="1124"/>
      <c r="Y78" s="1319"/>
      <c r="Z78" s="1319"/>
    </row>
    <row r="79" spans="1:26" ht="24">
      <c r="A79" s="1122" t="s">
        <v>1121</v>
      </c>
      <c r="B79" s="1123" t="s">
        <v>2355</v>
      </c>
      <c r="C79" s="1123" t="s">
        <v>844</v>
      </c>
      <c r="D79" s="1123" t="s">
        <v>2356</v>
      </c>
      <c r="E79" s="1123" t="s">
        <v>2357</v>
      </c>
      <c r="F79" s="1123" t="s">
        <v>2358</v>
      </c>
      <c r="G79" s="1123" t="s">
        <v>1926</v>
      </c>
      <c r="H79" s="1124" t="s">
        <v>1072</v>
      </c>
      <c r="I79" s="1123" t="s">
        <v>712</v>
      </c>
      <c r="J79" s="1125">
        <v>-12.1</v>
      </c>
      <c r="K79" s="1125">
        <v>0</v>
      </c>
      <c r="L79" s="1126"/>
      <c r="M79" s="1126"/>
      <c r="N79" s="1125">
        <v>-12.1</v>
      </c>
      <c r="O79" s="1125">
        <v>0</v>
      </c>
      <c r="P79" s="1125">
        <v>-12.1</v>
      </c>
      <c r="Q79" s="1125">
        <v>0</v>
      </c>
      <c r="R79" s="1125">
        <v>0</v>
      </c>
      <c r="S79" s="1125">
        <v>0</v>
      </c>
      <c r="T79" s="1125">
        <v>0</v>
      </c>
      <c r="U79" s="1125">
        <v>0</v>
      </c>
      <c r="V79" s="1127">
        <v>0</v>
      </c>
      <c r="W79" s="1127">
        <v>0</v>
      </c>
      <c r="X79" s="1124"/>
      <c r="Y79" s="1319"/>
      <c r="Z79" s="1319"/>
    </row>
    <row r="80" spans="1:26" ht="24">
      <c r="A80" s="1122" t="s">
        <v>1121</v>
      </c>
      <c r="B80" s="1123" t="s">
        <v>2355</v>
      </c>
      <c r="C80" s="1123" t="s">
        <v>844</v>
      </c>
      <c r="D80" s="1123" t="s">
        <v>2356</v>
      </c>
      <c r="E80" s="1123" t="s">
        <v>2357</v>
      </c>
      <c r="F80" s="1123" t="s">
        <v>2358</v>
      </c>
      <c r="G80" s="1123" t="s">
        <v>1926</v>
      </c>
      <c r="H80" s="1124" t="s">
        <v>1072</v>
      </c>
      <c r="I80" s="1123" t="s">
        <v>2204</v>
      </c>
      <c r="J80" s="1125">
        <v>-776.42</v>
      </c>
      <c r="K80" s="1125">
        <v>0</v>
      </c>
      <c r="L80" s="1126"/>
      <c r="M80" s="1126"/>
      <c r="N80" s="1125">
        <v>-776.42</v>
      </c>
      <c r="O80" s="1125">
        <v>-776.42</v>
      </c>
      <c r="P80" s="1125">
        <v>0</v>
      </c>
      <c r="Q80" s="1125">
        <v>0</v>
      </c>
      <c r="R80" s="1125">
        <v>0</v>
      </c>
      <c r="S80" s="1125">
        <v>0</v>
      </c>
      <c r="T80" s="1125">
        <v>0</v>
      </c>
      <c r="U80" s="1125">
        <v>0</v>
      </c>
      <c r="V80" s="1127">
        <v>0</v>
      </c>
      <c r="W80" s="1127">
        <v>0</v>
      </c>
      <c r="X80" s="1124"/>
      <c r="Y80" s="1319"/>
      <c r="Z80" s="1319"/>
    </row>
    <row r="81" spans="1:26" ht="24">
      <c r="A81" s="1122" t="s">
        <v>859</v>
      </c>
      <c r="B81" s="1123" t="s">
        <v>908</v>
      </c>
      <c r="C81" s="1123" t="s">
        <v>846</v>
      </c>
      <c r="D81" s="1123" t="s">
        <v>2359</v>
      </c>
      <c r="E81" s="1123" t="s">
        <v>1928</v>
      </c>
      <c r="F81" s="1123" t="s">
        <v>2360</v>
      </c>
      <c r="G81" s="1123" t="s">
        <v>1926</v>
      </c>
      <c r="H81" s="1124" t="s">
        <v>848</v>
      </c>
      <c r="I81" s="1123" t="s">
        <v>707</v>
      </c>
      <c r="J81" s="1125">
        <v>0</v>
      </c>
      <c r="K81" s="1125">
        <v>0.91</v>
      </c>
      <c r="L81" s="1126"/>
      <c r="M81" s="1126"/>
      <c r="N81" s="1125">
        <v>0.91</v>
      </c>
      <c r="O81" s="1125">
        <v>0.91</v>
      </c>
      <c r="P81" s="1125">
        <v>0</v>
      </c>
      <c r="Q81" s="1125">
        <v>0</v>
      </c>
      <c r="R81" s="1125">
        <v>0</v>
      </c>
      <c r="S81" s="1125">
        <v>0</v>
      </c>
      <c r="T81" s="1125">
        <v>0</v>
      </c>
      <c r="U81" s="1125">
        <v>0</v>
      </c>
      <c r="V81" s="1127">
        <v>0</v>
      </c>
      <c r="W81" s="1127">
        <v>1</v>
      </c>
      <c r="X81" s="1124"/>
      <c r="Y81" s="1319"/>
      <c r="Z81" s="1319"/>
    </row>
    <row r="82" spans="1:26" ht="24">
      <c r="A82" s="1122" t="s">
        <v>859</v>
      </c>
      <c r="B82" s="1123" t="s">
        <v>908</v>
      </c>
      <c r="C82" s="1123" t="s">
        <v>846</v>
      </c>
      <c r="D82" s="1123" t="s">
        <v>2359</v>
      </c>
      <c r="E82" s="1123" t="s">
        <v>1928</v>
      </c>
      <c r="F82" s="1123" t="s">
        <v>2360</v>
      </c>
      <c r="G82" s="1123" t="s">
        <v>1926</v>
      </c>
      <c r="H82" s="1124" t="s">
        <v>848</v>
      </c>
      <c r="I82" s="1123" t="s">
        <v>713</v>
      </c>
      <c r="J82" s="1125">
        <v>0</v>
      </c>
      <c r="K82" s="1125">
        <v>6.5</v>
      </c>
      <c r="L82" s="1126"/>
      <c r="M82" s="1126"/>
      <c r="N82" s="1125">
        <v>6.5</v>
      </c>
      <c r="O82" s="1125">
        <v>6.5</v>
      </c>
      <c r="P82" s="1125">
        <v>0</v>
      </c>
      <c r="Q82" s="1125">
        <v>0</v>
      </c>
      <c r="R82" s="1125">
        <v>0</v>
      </c>
      <c r="S82" s="1125">
        <v>0</v>
      </c>
      <c r="T82" s="1125">
        <v>0</v>
      </c>
      <c r="U82" s="1125">
        <v>0</v>
      </c>
      <c r="V82" s="1127">
        <v>0</v>
      </c>
      <c r="W82" s="1127">
        <v>1</v>
      </c>
      <c r="X82" s="1124"/>
      <c r="Y82" s="1319"/>
      <c r="Z82" s="1319"/>
    </row>
    <row r="83" spans="1:26" ht="24">
      <c r="A83" s="1122" t="s">
        <v>859</v>
      </c>
      <c r="B83" s="1123" t="s">
        <v>908</v>
      </c>
      <c r="C83" s="1123" t="s">
        <v>846</v>
      </c>
      <c r="D83" s="1123" t="s">
        <v>2359</v>
      </c>
      <c r="E83" s="1123" t="s">
        <v>1928</v>
      </c>
      <c r="F83" s="1123" t="s">
        <v>2360</v>
      </c>
      <c r="G83" s="1123" t="s">
        <v>1926</v>
      </c>
      <c r="H83" s="1124" t="s">
        <v>848</v>
      </c>
      <c r="I83" s="1123" t="s">
        <v>704</v>
      </c>
      <c r="J83" s="1125">
        <v>0</v>
      </c>
      <c r="K83" s="1125">
        <v>3</v>
      </c>
      <c r="L83" s="1126"/>
      <c r="M83" s="1126"/>
      <c r="N83" s="1125">
        <v>3</v>
      </c>
      <c r="O83" s="1125">
        <v>3</v>
      </c>
      <c r="P83" s="1125">
        <v>0</v>
      </c>
      <c r="Q83" s="1125">
        <v>0</v>
      </c>
      <c r="R83" s="1125">
        <v>0</v>
      </c>
      <c r="S83" s="1125">
        <v>0</v>
      </c>
      <c r="T83" s="1125">
        <v>0</v>
      </c>
      <c r="U83" s="1125">
        <v>0</v>
      </c>
      <c r="V83" s="1127">
        <v>0</v>
      </c>
      <c r="W83" s="1127">
        <v>1</v>
      </c>
      <c r="X83" s="1124"/>
      <c r="Y83" s="1319"/>
      <c r="Z83" s="1319"/>
    </row>
    <row r="84" spans="1:26" ht="24">
      <c r="A84" s="1122" t="s">
        <v>859</v>
      </c>
      <c r="B84" s="1123" t="s">
        <v>908</v>
      </c>
      <c r="C84" s="1123" t="s">
        <v>846</v>
      </c>
      <c r="D84" s="1123" t="s">
        <v>2359</v>
      </c>
      <c r="E84" s="1123" t="s">
        <v>1928</v>
      </c>
      <c r="F84" s="1123" t="s">
        <v>2360</v>
      </c>
      <c r="G84" s="1123" t="s">
        <v>1926</v>
      </c>
      <c r="H84" s="1124" t="s">
        <v>848</v>
      </c>
      <c r="I84" s="1123" t="s">
        <v>1944</v>
      </c>
      <c r="J84" s="1125">
        <v>0</v>
      </c>
      <c r="K84" s="1125">
        <v>23.45</v>
      </c>
      <c r="L84" s="1126"/>
      <c r="M84" s="1126"/>
      <c r="N84" s="1125">
        <v>23.45</v>
      </c>
      <c r="O84" s="1125">
        <v>23.45</v>
      </c>
      <c r="P84" s="1125">
        <v>0</v>
      </c>
      <c r="Q84" s="1125">
        <v>0</v>
      </c>
      <c r="R84" s="1125">
        <v>0</v>
      </c>
      <c r="S84" s="1125">
        <v>0</v>
      </c>
      <c r="T84" s="1125">
        <v>0</v>
      </c>
      <c r="U84" s="1125">
        <v>0</v>
      </c>
      <c r="V84" s="1127">
        <v>0</v>
      </c>
      <c r="W84" s="1127">
        <v>1</v>
      </c>
      <c r="X84" s="1124"/>
      <c r="Y84" s="1319"/>
      <c r="Z84" s="1319"/>
    </row>
    <row r="85" spans="1:26" ht="24">
      <c r="A85" s="1122" t="s">
        <v>715</v>
      </c>
      <c r="B85" s="1123" t="s">
        <v>738</v>
      </c>
      <c r="C85" s="1123" t="s">
        <v>852</v>
      </c>
      <c r="D85" s="1123" t="s">
        <v>853</v>
      </c>
      <c r="E85" s="1123" t="s">
        <v>1928</v>
      </c>
      <c r="F85" s="1123" t="s">
        <v>2361</v>
      </c>
      <c r="G85" s="1123" t="s">
        <v>1926</v>
      </c>
      <c r="H85" s="1124" t="s">
        <v>854</v>
      </c>
      <c r="I85" s="1123" t="s">
        <v>707</v>
      </c>
      <c r="J85" s="1125">
        <v>0</v>
      </c>
      <c r="K85" s="1125">
        <v>3.2</v>
      </c>
      <c r="L85" s="1126"/>
      <c r="M85" s="1126"/>
      <c r="N85" s="1125">
        <v>3.2</v>
      </c>
      <c r="O85" s="1125">
        <v>3.2</v>
      </c>
      <c r="P85" s="1125">
        <v>0</v>
      </c>
      <c r="Q85" s="1125">
        <v>0</v>
      </c>
      <c r="R85" s="1125">
        <v>0</v>
      </c>
      <c r="S85" s="1125">
        <v>0</v>
      </c>
      <c r="T85" s="1125">
        <v>0</v>
      </c>
      <c r="U85" s="1125">
        <v>0</v>
      </c>
      <c r="V85" s="1127">
        <v>0</v>
      </c>
      <c r="W85" s="1127">
        <v>0</v>
      </c>
      <c r="X85" s="1124"/>
      <c r="Y85" s="1319"/>
      <c r="Z85" s="1319"/>
    </row>
    <row r="86" spans="1:26" ht="24">
      <c r="A86" s="1122" t="s">
        <v>715</v>
      </c>
      <c r="B86" s="1123" t="s">
        <v>738</v>
      </c>
      <c r="C86" s="1123" t="s">
        <v>852</v>
      </c>
      <c r="D86" s="1123" t="s">
        <v>853</v>
      </c>
      <c r="E86" s="1123" t="s">
        <v>1928</v>
      </c>
      <c r="F86" s="1123" t="s">
        <v>2361</v>
      </c>
      <c r="G86" s="1123" t="s">
        <v>1926</v>
      </c>
      <c r="H86" s="1124" t="s">
        <v>854</v>
      </c>
      <c r="I86" s="1123" t="s">
        <v>713</v>
      </c>
      <c r="J86" s="1125">
        <v>0</v>
      </c>
      <c r="K86" s="1125">
        <v>6.5</v>
      </c>
      <c r="L86" s="1126"/>
      <c r="M86" s="1126"/>
      <c r="N86" s="1125">
        <v>6.5</v>
      </c>
      <c r="O86" s="1125">
        <v>6.5</v>
      </c>
      <c r="P86" s="1125">
        <v>0</v>
      </c>
      <c r="Q86" s="1125">
        <v>0</v>
      </c>
      <c r="R86" s="1125">
        <v>0</v>
      </c>
      <c r="S86" s="1125">
        <v>0</v>
      </c>
      <c r="T86" s="1125">
        <v>0</v>
      </c>
      <c r="U86" s="1125">
        <v>0</v>
      </c>
      <c r="V86" s="1127">
        <v>0</v>
      </c>
      <c r="W86" s="1127">
        <v>0</v>
      </c>
      <c r="X86" s="1124"/>
      <c r="Y86" s="1319"/>
      <c r="Z86" s="1319"/>
    </row>
    <row r="87" spans="1:26" ht="24">
      <c r="A87" s="1122" t="s">
        <v>715</v>
      </c>
      <c r="B87" s="1123" t="s">
        <v>738</v>
      </c>
      <c r="C87" s="1123" t="s">
        <v>852</v>
      </c>
      <c r="D87" s="1123" t="s">
        <v>853</v>
      </c>
      <c r="E87" s="1123" t="s">
        <v>1928</v>
      </c>
      <c r="F87" s="1123" t="s">
        <v>2361</v>
      </c>
      <c r="G87" s="1123" t="s">
        <v>1926</v>
      </c>
      <c r="H87" s="1124" t="s">
        <v>854</v>
      </c>
      <c r="I87" s="1123" t="s">
        <v>704</v>
      </c>
      <c r="J87" s="1125">
        <v>0</v>
      </c>
      <c r="K87" s="1125">
        <v>9.83</v>
      </c>
      <c r="L87" s="1126"/>
      <c r="M87" s="1126"/>
      <c r="N87" s="1125">
        <v>9.83</v>
      </c>
      <c r="O87" s="1125">
        <v>9.83</v>
      </c>
      <c r="P87" s="1125">
        <v>0</v>
      </c>
      <c r="Q87" s="1125">
        <v>0</v>
      </c>
      <c r="R87" s="1125">
        <v>0</v>
      </c>
      <c r="S87" s="1125">
        <v>0</v>
      </c>
      <c r="T87" s="1125">
        <v>0</v>
      </c>
      <c r="U87" s="1125">
        <v>0</v>
      </c>
      <c r="V87" s="1127">
        <v>0</v>
      </c>
      <c r="W87" s="1127">
        <v>0</v>
      </c>
      <c r="X87" s="1124"/>
      <c r="Y87" s="1319"/>
      <c r="Z87" s="1319"/>
    </row>
    <row r="88" spans="1:26" ht="24">
      <c r="A88" s="1122" t="s">
        <v>715</v>
      </c>
      <c r="B88" s="1123" t="s">
        <v>738</v>
      </c>
      <c r="C88" s="1123" t="s">
        <v>852</v>
      </c>
      <c r="D88" s="1123" t="s">
        <v>853</v>
      </c>
      <c r="E88" s="1123" t="s">
        <v>1928</v>
      </c>
      <c r="F88" s="1123" t="s">
        <v>2361</v>
      </c>
      <c r="G88" s="1123" t="s">
        <v>1926</v>
      </c>
      <c r="H88" s="1124" t="s">
        <v>854</v>
      </c>
      <c r="I88" s="1123" t="s">
        <v>1944</v>
      </c>
      <c r="J88" s="1125">
        <v>0</v>
      </c>
      <c r="K88" s="1125">
        <v>17.23</v>
      </c>
      <c r="L88" s="1126"/>
      <c r="M88" s="1126"/>
      <c r="N88" s="1125">
        <v>17.23</v>
      </c>
      <c r="O88" s="1125">
        <v>17.23</v>
      </c>
      <c r="P88" s="1125">
        <v>0</v>
      </c>
      <c r="Q88" s="1125">
        <v>0</v>
      </c>
      <c r="R88" s="1125">
        <v>0</v>
      </c>
      <c r="S88" s="1125">
        <v>0</v>
      </c>
      <c r="T88" s="1125">
        <v>0</v>
      </c>
      <c r="U88" s="1125">
        <v>0</v>
      </c>
      <c r="V88" s="1127">
        <v>0</v>
      </c>
      <c r="W88" s="1127">
        <v>0</v>
      </c>
      <c r="X88" s="1124"/>
      <c r="Y88" s="1319"/>
      <c r="Z88" s="1319"/>
    </row>
    <row r="89" spans="1:26" ht="24">
      <c r="A89" s="1122" t="s">
        <v>999</v>
      </c>
      <c r="B89" s="1123" t="s">
        <v>1203</v>
      </c>
      <c r="C89" s="1123" t="s">
        <v>857</v>
      </c>
      <c r="D89" s="1123" t="s">
        <v>1930</v>
      </c>
      <c r="E89" s="1123" t="s">
        <v>1931</v>
      </c>
      <c r="F89" s="1123" t="s">
        <v>1932</v>
      </c>
      <c r="G89" s="1123" t="s">
        <v>1926</v>
      </c>
      <c r="H89" s="1124" t="s">
        <v>843</v>
      </c>
      <c r="I89" s="1123" t="s">
        <v>707</v>
      </c>
      <c r="J89" s="1125">
        <v>0</v>
      </c>
      <c r="K89" s="1125">
        <v>1.44</v>
      </c>
      <c r="L89" s="1126"/>
      <c r="M89" s="1126"/>
      <c r="N89" s="1125">
        <v>1.44</v>
      </c>
      <c r="O89" s="1125">
        <v>1.44</v>
      </c>
      <c r="P89" s="1125">
        <v>0</v>
      </c>
      <c r="Q89" s="1125">
        <v>0</v>
      </c>
      <c r="R89" s="1125">
        <v>0</v>
      </c>
      <c r="S89" s="1125">
        <v>0</v>
      </c>
      <c r="T89" s="1125">
        <v>250</v>
      </c>
      <c r="U89" s="1125">
        <v>0</v>
      </c>
      <c r="V89" s="1127">
        <v>1</v>
      </c>
      <c r="W89" s="1127">
        <v>2</v>
      </c>
      <c r="X89" s="1124"/>
      <c r="Y89" s="1319"/>
      <c r="Z89" s="1319"/>
    </row>
    <row r="90" spans="1:26" ht="24">
      <c r="A90" s="1122" t="s">
        <v>999</v>
      </c>
      <c r="B90" s="1123" t="s">
        <v>1203</v>
      </c>
      <c r="C90" s="1123" t="s">
        <v>857</v>
      </c>
      <c r="D90" s="1123" t="s">
        <v>1930</v>
      </c>
      <c r="E90" s="1123" t="s">
        <v>1931</v>
      </c>
      <c r="F90" s="1123" t="s">
        <v>1932</v>
      </c>
      <c r="G90" s="1123" t="s">
        <v>1926</v>
      </c>
      <c r="H90" s="1124" t="s">
        <v>843</v>
      </c>
      <c r="I90" s="1123" t="s">
        <v>713</v>
      </c>
      <c r="J90" s="1125">
        <v>0</v>
      </c>
      <c r="K90" s="1125">
        <v>6.5</v>
      </c>
      <c r="L90" s="1126"/>
      <c r="M90" s="1126"/>
      <c r="N90" s="1125">
        <v>6.5</v>
      </c>
      <c r="O90" s="1125">
        <v>6.5</v>
      </c>
      <c r="P90" s="1125">
        <v>0</v>
      </c>
      <c r="Q90" s="1125">
        <v>0</v>
      </c>
      <c r="R90" s="1125">
        <v>0</v>
      </c>
      <c r="S90" s="1125">
        <v>0</v>
      </c>
      <c r="T90" s="1125">
        <v>0</v>
      </c>
      <c r="U90" s="1125">
        <v>0</v>
      </c>
      <c r="V90" s="1127">
        <v>1</v>
      </c>
      <c r="W90" s="1127">
        <v>2</v>
      </c>
      <c r="X90" s="1124"/>
      <c r="Y90" s="1319"/>
      <c r="Z90" s="1319"/>
    </row>
    <row r="91" spans="1:26" ht="24">
      <c r="A91" s="1122" t="s">
        <v>999</v>
      </c>
      <c r="B91" s="1123" t="s">
        <v>1203</v>
      </c>
      <c r="C91" s="1123" t="s">
        <v>857</v>
      </c>
      <c r="D91" s="1123" t="s">
        <v>1930</v>
      </c>
      <c r="E91" s="1123" t="s">
        <v>1931</v>
      </c>
      <c r="F91" s="1123" t="s">
        <v>1932</v>
      </c>
      <c r="G91" s="1123" t="s">
        <v>1926</v>
      </c>
      <c r="H91" s="1124" t="s">
        <v>843</v>
      </c>
      <c r="I91" s="1123" t="s">
        <v>704</v>
      </c>
      <c r="J91" s="1125">
        <v>0</v>
      </c>
      <c r="K91" s="1125">
        <v>9.83</v>
      </c>
      <c r="L91" s="1126"/>
      <c r="M91" s="1126"/>
      <c r="N91" s="1125">
        <v>9.83</v>
      </c>
      <c r="O91" s="1125">
        <v>9.83</v>
      </c>
      <c r="P91" s="1125">
        <v>0</v>
      </c>
      <c r="Q91" s="1125">
        <v>0</v>
      </c>
      <c r="R91" s="1125">
        <v>0</v>
      </c>
      <c r="S91" s="1125">
        <v>0</v>
      </c>
      <c r="T91" s="1125">
        <v>0</v>
      </c>
      <c r="U91" s="1125">
        <v>0</v>
      </c>
      <c r="V91" s="1127">
        <v>1</v>
      </c>
      <c r="W91" s="1127">
        <v>2</v>
      </c>
      <c r="X91" s="1124"/>
      <c r="Y91" s="1319"/>
      <c r="Z91" s="1319"/>
    </row>
    <row r="92" spans="1:26" ht="13.15" customHeight="1">
      <c r="A92" s="1122" t="s">
        <v>999</v>
      </c>
      <c r="B92" s="1123" t="s">
        <v>1203</v>
      </c>
      <c r="C92" s="1123" t="s">
        <v>857</v>
      </c>
      <c r="D92" s="1123" t="s">
        <v>1930</v>
      </c>
      <c r="E92" s="1123" t="s">
        <v>1931</v>
      </c>
      <c r="F92" s="1123" t="s">
        <v>1932</v>
      </c>
      <c r="G92" s="1123" t="s">
        <v>1926</v>
      </c>
      <c r="H92" s="1124" t="s">
        <v>843</v>
      </c>
      <c r="I92" s="1123" t="s">
        <v>1944</v>
      </c>
      <c r="J92" s="1125">
        <v>0</v>
      </c>
      <c r="K92" s="1125">
        <v>12.36</v>
      </c>
      <c r="L92" s="1126"/>
      <c r="M92" s="1126"/>
      <c r="N92" s="1125">
        <v>12.36</v>
      </c>
      <c r="O92" s="1125">
        <v>12.36</v>
      </c>
      <c r="P92" s="1125">
        <v>0</v>
      </c>
      <c r="Q92" s="1125">
        <v>0</v>
      </c>
      <c r="R92" s="1125">
        <v>0</v>
      </c>
      <c r="S92" s="1125">
        <v>0</v>
      </c>
      <c r="T92" s="1125">
        <v>0</v>
      </c>
      <c r="U92" s="1125">
        <v>0</v>
      </c>
      <c r="V92" s="1127">
        <v>1</v>
      </c>
      <c r="W92" s="1127">
        <v>2</v>
      </c>
      <c r="X92" s="1124"/>
      <c r="Y92" s="1319"/>
      <c r="Z92" s="1319"/>
    </row>
    <row r="93" spans="1:26" ht="24">
      <c r="A93" s="1122" t="s">
        <v>1133</v>
      </c>
      <c r="B93" s="1123" t="s">
        <v>1377</v>
      </c>
      <c r="C93" s="1123" t="s">
        <v>858</v>
      </c>
      <c r="D93" s="1123" t="s">
        <v>2362</v>
      </c>
      <c r="E93" s="1123" t="s">
        <v>2363</v>
      </c>
      <c r="F93" s="1123" t="s">
        <v>2364</v>
      </c>
      <c r="G93" s="1123" t="s">
        <v>1926</v>
      </c>
      <c r="H93" s="1124" t="s">
        <v>2218</v>
      </c>
      <c r="I93" s="1123" t="s">
        <v>1929</v>
      </c>
      <c r="J93" s="1125">
        <v>-64.88</v>
      </c>
      <c r="K93" s="1125">
        <v>0</v>
      </c>
      <c r="L93" s="1126"/>
      <c r="M93" s="1126"/>
      <c r="N93" s="1125">
        <v>-64.88</v>
      </c>
      <c r="O93" s="1125">
        <v>-64.88</v>
      </c>
      <c r="P93" s="1125">
        <v>0</v>
      </c>
      <c r="Q93" s="1125">
        <v>0</v>
      </c>
      <c r="R93" s="1125">
        <v>0</v>
      </c>
      <c r="S93" s="1125">
        <v>0</v>
      </c>
      <c r="T93" s="1125">
        <v>250</v>
      </c>
      <c r="U93" s="1125">
        <v>0</v>
      </c>
      <c r="V93" s="1127">
        <v>0</v>
      </c>
      <c r="W93" s="1127">
        <v>0</v>
      </c>
      <c r="X93" s="1124"/>
      <c r="Y93" s="1319"/>
      <c r="Z93" s="1319"/>
    </row>
    <row r="94" spans="1:26" ht="24">
      <c r="A94" s="1122" t="s">
        <v>752</v>
      </c>
      <c r="B94" s="1123" t="s">
        <v>762</v>
      </c>
      <c r="C94" s="1123" t="s">
        <v>859</v>
      </c>
      <c r="D94" s="1123" t="s">
        <v>860</v>
      </c>
      <c r="E94" s="1123" t="s">
        <v>1928</v>
      </c>
      <c r="F94" s="1123" t="s">
        <v>2365</v>
      </c>
      <c r="G94" s="1123" t="s">
        <v>1926</v>
      </c>
      <c r="H94" s="1124" t="s">
        <v>861</v>
      </c>
      <c r="I94" s="1123" t="s">
        <v>707</v>
      </c>
      <c r="J94" s="1125">
        <v>0</v>
      </c>
      <c r="K94" s="1125">
        <v>5.73</v>
      </c>
      <c r="L94" s="1126"/>
      <c r="M94" s="1126"/>
      <c r="N94" s="1125">
        <v>5.73</v>
      </c>
      <c r="O94" s="1125">
        <v>5.73</v>
      </c>
      <c r="P94" s="1125">
        <v>0</v>
      </c>
      <c r="Q94" s="1125">
        <v>0</v>
      </c>
      <c r="R94" s="1125">
        <v>0</v>
      </c>
      <c r="S94" s="1125">
        <v>0</v>
      </c>
      <c r="T94" s="1125">
        <v>0</v>
      </c>
      <c r="U94" s="1125">
        <v>0</v>
      </c>
      <c r="V94" s="1127">
        <v>1</v>
      </c>
      <c r="W94" s="1127">
        <v>0</v>
      </c>
      <c r="X94" s="1124"/>
      <c r="Y94" s="1319"/>
      <c r="Z94" s="1319"/>
    </row>
    <row r="95" spans="1:26" ht="24">
      <c r="A95" s="1122" t="s">
        <v>752</v>
      </c>
      <c r="B95" s="1123" t="s">
        <v>762</v>
      </c>
      <c r="C95" s="1123" t="s">
        <v>859</v>
      </c>
      <c r="D95" s="1123" t="s">
        <v>860</v>
      </c>
      <c r="E95" s="1123" t="s">
        <v>1928</v>
      </c>
      <c r="F95" s="1123" t="s">
        <v>2365</v>
      </c>
      <c r="G95" s="1123" t="s">
        <v>1926</v>
      </c>
      <c r="H95" s="1124" t="s">
        <v>861</v>
      </c>
      <c r="I95" s="1123" t="s">
        <v>713</v>
      </c>
      <c r="J95" s="1125">
        <v>0</v>
      </c>
      <c r="K95" s="1125">
        <v>6.5</v>
      </c>
      <c r="L95" s="1126"/>
      <c r="M95" s="1126"/>
      <c r="N95" s="1125">
        <v>6.5</v>
      </c>
      <c r="O95" s="1125">
        <v>6.5</v>
      </c>
      <c r="P95" s="1125">
        <v>0</v>
      </c>
      <c r="Q95" s="1125">
        <v>0</v>
      </c>
      <c r="R95" s="1125">
        <v>0</v>
      </c>
      <c r="S95" s="1125">
        <v>0</v>
      </c>
      <c r="T95" s="1125">
        <v>0</v>
      </c>
      <c r="U95" s="1125">
        <v>0</v>
      </c>
      <c r="V95" s="1127">
        <v>1</v>
      </c>
      <c r="W95" s="1127">
        <v>0</v>
      </c>
      <c r="X95" s="1124"/>
      <c r="Y95" s="1319"/>
      <c r="Z95" s="1319"/>
    </row>
    <row r="96" spans="1:26" ht="24">
      <c r="A96" s="1122" t="s">
        <v>752</v>
      </c>
      <c r="B96" s="1123" t="s">
        <v>762</v>
      </c>
      <c r="C96" s="1123" t="s">
        <v>859</v>
      </c>
      <c r="D96" s="1123" t="s">
        <v>860</v>
      </c>
      <c r="E96" s="1123" t="s">
        <v>1928</v>
      </c>
      <c r="F96" s="1123" t="s">
        <v>2365</v>
      </c>
      <c r="G96" s="1123" t="s">
        <v>1926</v>
      </c>
      <c r="H96" s="1124" t="s">
        <v>861</v>
      </c>
      <c r="I96" s="1123" t="s">
        <v>704</v>
      </c>
      <c r="J96" s="1125">
        <v>0</v>
      </c>
      <c r="K96" s="1125">
        <v>9.83</v>
      </c>
      <c r="L96" s="1126"/>
      <c r="M96" s="1126"/>
      <c r="N96" s="1125">
        <v>9.83</v>
      </c>
      <c r="O96" s="1125">
        <v>9.83</v>
      </c>
      <c r="P96" s="1125">
        <v>0</v>
      </c>
      <c r="Q96" s="1125">
        <v>0</v>
      </c>
      <c r="R96" s="1125">
        <v>0</v>
      </c>
      <c r="S96" s="1125">
        <v>0</v>
      </c>
      <c r="T96" s="1125">
        <v>0</v>
      </c>
      <c r="U96" s="1125">
        <v>0</v>
      </c>
      <c r="V96" s="1127">
        <v>1</v>
      </c>
      <c r="W96" s="1127">
        <v>0</v>
      </c>
      <c r="X96" s="1124"/>
      <c r="Y96" s="1319"/>
      <c r="Z96" s="1319"/>
    </row>
    <row r="97" spans="1:26" ht="24">
      <c r="A97" s="1122" t="s">
        <v>752</v>
      </c>
      <c r="B97" s="1123" t="s">
        <v>762</v>
      </c>
      <c r="C97" s="1123" t="s">
        <v>859</v>
      </c>
      <c r="D97" s="1123" t="s">
        <v>860</v>
      </c>
      <c r="E97" s="1123" t="s">
        <v>1928</v>
      </c>
      <c r="F97" s="1123" t="s">
        <v>2365</v>
      </c>
      <c r="G97" s="1123" t="s">
        <v>1926</v>
      </c>
      <c r="H97" s="1124" t="s">
        <v>861</v>
      </c>
      <c r="I97" s="1123" t="s">
        <v>1944</v>
      </c>
      <c r="J97" s="1125">
        <v>0</v>
      </c>
      <c r="K97" s="1125">
        <v>24.22</v>
      </c>
      <c r="L97" s="1126"/>
      <c r="M97" s="1126"/>
      <c r="N97" s="1125">
        <v>24.22</v>
      </c>
      <c r="O97" s="1125">
        <v>24.22</v>
      </c>
      <c r="P97" s="1125">
        <v>0</v>
      </c>
      <c r="Q97" s="1125">
        <v>0</v>
      </c>
      <c r="R97" s="1125">
        <v>0</v>
      </c>
      <c r="S97" s="1125">
        <v>0</v>
      </c>
      <c r="T97" s="1125">
        <v>0</v>
      </c>
      <c r="U97" s="1125">
        <v>0</v>
      </c>
      <c r="V97" s="1127">
        <v>1</v>
      </c>
      <c r="W97" s="1127">
        <v>0</v>
      </c>
      <c r="X97" s="1124"/>
      <c r="Y97" s="1319"/>
      <c r="Z97" s="1319"/>
    </row>
    <row r="98" spans="1:26" ht="24">
      <c r="A98" s="1122" t="s">
        <v>1934</v>
      </c>
      <c r="B98" s="1123" t="s">
        <v>1935</v>
      </c>
      <c r="C98" s="1123" t="s">
        <v>864</v>
      </c>
      <c r="D98" s="1123" t="s">
        <v>1936</v>
      </c>
      <c r="E98" s="1123" t="s">
        <v>1937</v>
      </c>
      <c r="F98" s="1123" t="s">
        <v>1938</v>
      </c>
      <c r="G98" s="1123" t="s">
        <v>1926</v>
      </c>
      <c r="H98" s="1124" t="s">
        <v>1832</v>
      </c>
      <c r="I98" s="1123" t="s">
        <v>713</v>
      </c>
      <c r="J98" s="1125">
        <v>0</v>
      </c>
      <c r="K98" s="1125">
        <v>5</v>
      </c>
      <c r="L98" s="1126"/>
      <c r="M98" s="1126"/>
      <c r="N98" s="1125">
        <v>5</v>
      </c>
      <c r="O98" s="1125">
        <v>5</v>
      </c>
      <c r="P98" s="1125">
        <v>0</v>
      </c>
      <c r="Q98" s="1125">
        <v>0</v>
      </c>
      <c r="R98" s="1125">
        <v>0</v>
      </c>
      <c r="S98" s="1125">
        <v>0</v>
      </c>
      <c r="T98" s="1125">
        <v>250</v>
      </c>
      <c r="U98" s="1125">
        <v>0</v>
      </c>
      <c r="V98" s="1127">
        <v>0</v>
      </c>
      <c r="W98" s="1127">
        <v>0</v>
      </c>
      <c r="X98" s="1124"/>
      <c r="Y98" s="1319"/>
      <c r="Z98" s="1319"/>
    </row>
    <row r="99" spans="1:26" ht="24">
      <c r="A99" s="1122" t="s">
        <v>1934</v>
      </c>
      <c r="B99" s="1123" t="s">
        <v>1935</v>
      </c>
      <c r="C99" s="1123" t="s">
        <v>864</v>
      </c>
      <c r="D99" s="1123" t="s">
        <v>1936</v>
      </c>
      <c r="E99" s="1123" t="s">
        <v>1937</v>
      </c>
      <c r="F99" s="1123" t="s">
        <v>1938</v>
      </c>
      <c r="G99" s="1123" t="s">
        <v>1926</v>
      </c>
      <c r="H99" s="1124" t="s">
        <v>1832</v>
      </c>
      <c r="I99" s="1123" t="s">
        <v>704</v>
      </c>
      <c r="J99" s="1125">
        <v>0</v>
      </c>
      <c r="K99" s="1125">
        <v>6.83</v>
      </c>
      <c r="L99" s="1126"/>
      <c r="M99" s="1126"/>
      <c r="N99" s="1125">
        <v>6.83</v>
      </c>
      <c r="O99" s="1125">
        <v>6.83</v>
      </c>
      <c r="P99" s="1125">
        <v>0</v>
      </c>
      <c r="Q99" s="1125">
        <v>0</v>
      </c>
      <c r="R99" s="1125">
        <v>0</v>
      </c>
      <c r="S99" s="1125">
        <v>0</v>
      </c>
      <c r="T99" s="1125">
        <v>0</v>
      </c>
      <c r="U99" s="1125">
        <v>0</v>
      </c>
      <c r="V99" s="1127">
        <v>0</v>
      </c>
      <c r="W99" s="1127">
        <v>0</v>
      </c>
      <c r="X99" s="1124"/>
      <c r="Y99" s="1319"/>
      <c r="Z99" s="1319"/>
    </row>
    <row r="100" spans="1:26" ht="24">
      <c r="A100" s="1122" t="s">
        <v>1934</v>
      </c>
      <c r="B100" s="1123" t="s">
        <v>1935</v>
      </c>
      <c r="C100" s="1123" t="s">
        <v>864</v>
      </c>
      <c r="D100" s="1123" t="s">
        <v>1936</v>
      </c>
      <c r="E100" s="1123" t="s">
        <v>1937</v>
      </c>
      <c r="F100" s="1123" t="s">
        <v>1938</v>
      </c>
      <c r="G100" s="1123" t="s">
        <v>1926</v>
      </c>
      <c r="H100" s="1124" t="s">
        <v>1832</v>
      </c>
      <c r="I100" s="1123" t="s">
        <v>1944</v>
      </c>
      <c r="J100" s="1125">
        <v>0</v>
      </c>
      <c r="K100" s="1125">
        <v>2.73</v>
      </c>
      <c r="L100" s="1126"/>
      <c r="M100" s="1126"/>
      <c r="N100" s="1125">
        <v>2.73</v>
      </c>
      <c r="O100" s="1125">
        <v>2.73</v>
      </c>
      <c r="P100" s="1125">
        <v>0</v>
      </c>
      <c r="Q100" s="1125">
        <v>0</v>
      </c>
      <c r="R100" s="1125">
        <v>0</v>
      </c>
      <c r="S100" s="1125">
        <v>0</v>
      </c>
      <c r="T100" s="1125">
        <v>0</v>
      </c>
      <c r="U100" s="1125">
        <v>0</v>
      </c>
      <c r="V100" s="1127">
        <v>0</v>
      </c>
      <c r="W100" s="1127">
        <v>0</v>
      </c>
      <c r="X100" s="1124"/>
      <c r="Y100" s="1319"/>
      <c r="Z100" s="1319"/>
    </row>
    <row r="101" spans="1:26" ht="24">
      <c r="A101" s="1122" t="s">
        <v>2366</v>
      </c>
      <c r="B101" s="1123" t="s">
        <v>1345</v>
      </c>
      <c r="C101" s="1123" t="s">
        <v>865</v>
      </c>
      <c r="D101" s="1123" t="s">
        <v>2367</v>
      </c>
      <c r="E101" s="1123" t="s">
        <v>1928</v>
      </c>
      <c r="F101" s="1123" t="s">
        <v>2368</v>
      </c>
      <c r="G101" s="1123" t="s">
        <v>1926</v>
      </c>
      <c r="H101" s="1124" t="s">
        <v>867</v>
      </c>
      <c r="I101" s="1123" t="s">
        <v>713</v>
      </c>
      <c r="J101" s="1125">
        <v>0</v>
      </c>
      <c r="K101" s="1125">
        <v>6.5</v>
      </c>
      <c r="L101" s="1126"/>
      <c r="M101" s="1126"/>
      <c r="N101" s="1125">
        <v>6.5</v>
      </c>
      <c r="O101" s="1125">
        <v>6.5</v>
      </c>
      <c r="P101" s="1125">
        <v>0</v>
      </c>
      <c r="Q101" s="1125">
        <v>0</v>
      </c>
      <c r="R101" s="1125">
        <v>0</v>
      </c>
      <c r="S101" s="1125">
        <v>0</v>
      </c>
      <c r="T101" s="1125">
        <v>0</v>
      </c>
      <c r="U101" s="1125">
        <v>0</v>
      </c>
      <c r="V101" s="1127">
        <v>1</v>
      </c>
      <c r="W101" s="1127">
        <v>0</v>
      </c>
      <c r="X101" s="1124"/>
      <c r="Y101" s="1319"/>
      <c r="Z101" s="1319"/>
    </row>
    <row r="102" spans="1:26" ht="24">
      <c r="A102" s="1122" t="s">
        <v>2366</v>
      </c>
      <c r="B102" s="1123" t="s">
        <v>1345</v>
      </c>
      <c r="C102" s="1123" t="s">
        <v>865</v>
      </c>
      <c r="D102" s="1123" t="s">
        <v>2367</v>
      </c>
      <c r="E102" s="1123" t="s">
        <v>1928</v>
      </c>
      <c r="F102" s="1123" t="s">
        <v>2368</v>
      </c>
      <c r="G102" s="1123" t="s">
        <v>1926</v>
      </c>
      <c r="H102" s="1124" t="s">
        <v>867</v>
      </c>
      <c r="I102" s="1123" t="s">
        <v>704</v>
      </c>
      <c r="J102" s="1125">
        <v>0</v>
      </c>
      <c r="K102" s="1125">
        <v>9.83</v>
      </c>
      <c r="L102" s="1126"/>
      <c r="M102" s="1126"/>
      <c r="N102" s="1125">
        <v>9.83</v>
      </c>
      <c r="O102" s="1125">
        <v>9.83</v>
      </c>
      <c r="P102" s="1125">
        <v>0</v>
      </c>
      <c r="Q102" s="1125">
        <v>0</v>
      </c>
      <c r="R102" s="1125">
        <v>0</v>
      </c>
      <c r="S102" s="1125">
        <v>0</v>
      </c>
      <c r="T102" s="1125">
        <v>0</v>
      </c>
      <c r="U102" s="1125">
        <v>0</v>
      </c>
      <c r="V102" s="1127">
        <v>1</v>
      </c>
      <c r="W102" s="1127">
        <v>0</v>
      </c>
      <c r="X102" s="1124"/>
      <c r="Y102" s="1319"/>
      <c r="Z102" s="1319"/>
    </row>
    <row r="103" spans="1:26" ht="24">
      <c r="A103" s="1122" t="s">
        <v>2366</v>
      </c>
      <c r="B103" s="1123" t="s">
        <v>1345</v>
      </c>
      <c r="C103" s="1123" t="s">
        <v>865</v>
      </c>
      <c r="D103" s="1123" t="s">
        <v>2367</v>
      </c>
      <c r="E103" s="1123" t="s">
        <v>1928</v>
      </c>
      <c r="F103" s="1123" t="s">
        <v>2368</v>
      </c>
      <c r="G103" s="1123" t="s">
        <v>1926</v>
      </c>
      <c r="H103" s="1124" t="s">
        <v>867</v>
      </c>
      <c r="I103" s="1123" t="s">
        <v>1944</v>
      </c>
      <c r="J103" s="1125">
        <v>0</v>
      </c>
      <c r="K103" s="1125">
        <v>28.71</v>
      </c>
      <c r="L103" s="1126"/>
      <c r="M103" s="1126"/>
      <c r="N103" s="1125">
        <v>28.71</v>
      </c>
      <c r="O103" s="1125">
        <v>28.71</v>
      </c>
      <c r="P103" s="1125">
        <v>0</v>
      </c>
      <c r="Q103" s="1125">
        <v>0</v>
      </c>
      <c r="R103" s="1125">
        <v>0</v>
      </c>
      <c r="S103" s="1125">
        <v>0</v>
      </c>
      <c r="T103" s="1125">
        <v>0</v>
      </c>
      <c r="U103" s="1125">
        <v>0</v>
      </c>
      <c r="V103" s="1127">
        <v>1</v>
      </c>
      <c r="W103" s="1127">
        <v>0</v>
      </c>
      <c r="X103" s="1124"/>
      <c r="Y103" s="1319"/>
      <c r="Z103" s="1319"/>
    </row>
    <row r="104" spans="1:26" ht="24">
      <c r="A104" s="1122" t="s">
        <v>2369</v>
      </c>
      <c r="B104" s="1123" t="s">
        <v>2370</v>
      </c>
      <c r="C104" s="1123" t="s">
        <v>869</v>
      </c>
      <c r="D104" s="1123" t="s">
        <v>2371</v>
      </c>
      <c r="E104" s="1123" t="s">
        <v>1928</v>
      </c>
      <c r="F104" s="1123" t="s">
        <v>2372</v>
      </c>
      <c r="G104" s="1123" t="s">
        <v>1926</v>
      </c>
      <c r="H104" s="1124" t="s">
        <v>871</v>
      </c>
      <c r="I104" s="1123" t="s">
        <v>707</v>
      </c>
      <c r="J104" s="1125">
        <v>0</v>
      </c>
      <c r="K104" s="1125">
        <v>8.15</v>
      </c>
      <c r="L104" s="1126"/>
      <c r="M104" s="1126"/>
      <c r="N104" s="1125">
        <v>8.15</v>
      </c>
      <c r="O104" s="1125">
        <v>8.15</v>
      </c>
      <c r="P104" s="1125">
        <v>0</v>
      </c>
      <c r="Q104" s="1125">
        <v>0</v>
      </c>
      <c r="R104" s="1125">
        <v>0</v>
      </c>
      <c r="S104" s="1125">
        <v>0</v>
      </c>
      <c r="T104" s="1125">
        <v>0</v>
      </c>
      <c r="U104" s="1125">
        <v>0</v>
      </c>
      <c r="V104" s="1127">
        <v>0</v>
      </c>
      <c r="W104" s="1127">
        <v>0</v>
      </c>
      <c r="X104" s="1124"/>
      <c r="Y104" s="1319"/>
      <c r="Z104" s="1319"/>
    </row>
    <row r="105" spans="1:26" ht="24">
      <c r="A105" s="1122" t="s">
        <v>2369</v>
      </c>
      <c r="B105" s="1123" t="s">
        <v>2370</v>
      </c>
      <c r="C105" s="1123" t="s">
        <v>869</v>
      </c>
      <c r="D105" s="1123" t="s">
        <v>2371</v>
      </c>
      <c r="E105" s="1123" t="s">
        <v>1928</v>
      </c>
      <c r="F105" s="1123" t="s">
        <v>2372</v>
      </c>
      <c r="G105" s="1123" t="s">
        <v>1926</v>
      </c>
      <c r="H105" s="1124" t="s">
        <v>871</v>
      </c>
      <c r="I105" s="1123" t="s">
        <v>713</v>
      </c>
      <c r="J105" s="1125">
        <v>0</v>
      </c>
      <c r="K105" s="1125">
        <v>6.5</v>
      </c>
      <c r="L105" s="1126"/>
      <c r="M105" s="1126"/>
      <c r="N105" s="1125">
        <v>6.5</v>
      </c>
      <c r="O105" s="1125">
        <v>6.5</v>
      </c>
      <c r="P105" s="1125">
        <v>0</v>
      </c>
      <c r="Q105" s="1125">
        <v>0</v>
      </c>
      <c r="R105" s="1125">
        <v>0</v>
      </c>
      <c r="S105" s="1125">
        <v>0</v>
      </c>
      <c r="T105" s="1125">
        <v>0</v>
      </c>
      <c r="U105" s="1125">
        <v>0</v>
      </c>
      <c r="V105" s="1127">
        <v>0</v>
      </c>
      <c r="W105" s="1127">
        <v>0</v>
      </c>
      <c r="X105" s="1124"/>
      <c r="Y105" s="1319"/>
      <c r="Z105" s="1319"/>
    </row>
    <row r="106" spans="1:26" ht="24">
      <c r="A106" s="1122" t="s">
        <v>2369</v>
      </c>
      <c r="B106" s="1123" t="s">
        <v>2370</v>
      </c>
      <c r="C106" s="1123" t="s">
        <v>869</v>
      </c>
      <c r="D106" s="1123" t="s">
        <v>2371</v>
      </c>
      <c r="E106" s="1123" t="s">
        <v>1928</v>
      </c>
      <c r="F106" s="1123" t="s">
        <v>2372</v>
      </c>
      <c r="G106" s="1123" t="s">
        <v>1926</v>
      </c>
      <c r="H106" s="1124" t="s">
        <v>871</v>
      </c>
      <c r="I106" s="1123" t="s">
        <v>704</v>
      </c>
      <c r="J106" s="1125">
        <v>0</v>
      </c>
      <c r="K106" s="1125">
        <v>9.83</v>
      </c>
      <c r="L106" s="1126"/>
      <c r="M106" s="1126"/>
      <c r="N106" s="1125">
        <v>9.83</v>
      </c>
      <c r="O106" s="1125">
        <v>9.83</v>
      </c>
      <c r="P106" s="1125">
        <v>0</v>
      </c>
      <c r="Q106" s="1125">
        <v>0</v>
      </c>
      <c r="R106" s="1125">
        <v>0</v>
      </c>
      <c r="S106" s="1125">
        <v>0</v>
      </c>
      <c r="T106" s="1125">
        <v>0</v>
      </c>
      <c r="U106" s="1125">
        <v>0</v>
      </c>
      <c r="V106" s="1127">
        <v>0</v>
      </c>
      <c r="W106" s="1127">
        <v>0</v>
      </c>
      <c r="X106" s="1124"/>
      <c r="Y106" s="1319"/>
      <c r="Z106" s="1319"/>
    </row>
    <row r="107" spans="1:26" ht="24">
      <c r="A107" s="1122" t="s">
        <v>2369</v>
      </c>
      <c r="B107" s="1123" t="s">
        <v>2370</v>
      </c>
      <c r="C107" s="1123" t="s">
        <v>869</v>
      </c>
      <c r="D107" s="1123" t="s">
        <v>2371</v>
      </c>
      <c r="E107" s="1123" t="s">
        <v>1928</v>
      </c>
      <c r="F107" s="1123" t="s">
        <v>2372</v>
      </c>
      <c r="G107" s="1123" t="s">
        <v>1926</v>
      </c>
      <c r="H107" s="1124" t="s">
        <v>871</v>
      </c>
      <c r="I107" s="1123" t="s">
        <v>1944</v>
      </c>
      <c r="J107" s="1125">
        <v>0</v>
      </c>
      <c r="K107" s="1125">
        <v>52.49</v>
      </c>
      <c r="L107" s="1126"/>
      <c r="M107" s="1126"/>
      <c r="N107" s="1125">
        <v>52.49</v>
      </c>
      <c r="O107" s="1125">
        <v>52.49</v>
      </c>
      <c r="P107" s="1125">
        <v>0</v>
      </c>
      <c r="Q107" s="1125">
        <v>0</v>
      </c>
      <c r="R107" s="1125">
        <v>0</v>
      </c>
      <c r="S107" s="1125">
        <v>0</v>
      </c>
      <c r="T107" s="1125">
        <v>0</v>
      </c>
      <c r="U107" s="1125">
        <v>0</v>
      </c>
      <c r="V107" s="1127">
        <v>0</v>
      </c>
      <c r="W107" s="1127">
        <v>0</v>
      </c>
      <c r="X107" s="1124"/>
      <c r="Y107" s="1319"/>
      <c r="Z107" s="1319"/>
    </row>
    <row r="108" spans="1:26" ht="24">
      <c r="A108" s="1122" t="s">
        <v>894</v>
      </c>
      <c r="B108" s="1123" t="s">
        <v>1125</v>
      </c>
      <c r="C108" s="1123" t="s">
        <v>872</v>
      </c>
      <c r="D108" s="1123" t="s">
        <v>873</v>
      </c>
      <c r="E108" s="1123" t="s">
        <v>1928</v>
      </c>
      <c r="F108" s="1123" t="s">
        <v>2373</v>
      </c>
      <c r="G108" s="1123" t="s">
        <v>1926</v>
      </c>
      <c r="H108" s="1124" t="s">
        <v>874</v>
      </c>
      <c r="I108" s="1123" t="s">
        <v>707</v>
      </c>
      <c r="J108" s="1125">
        <v>0</v>
      </c>
      <c r="K108" s="1125">
        <v>4.74</v>
      </c>
      <c r="L108" s="1126"/>
      <c r="M108" s="1126"/>
      <c r="N108" s="1125">
        <v>4.74</v>
      </c>
      <c r="O108" s="1125">
        <v>4.74</v>
      </c>
      <c r="P108" s="1125">
        <v>0</v>
      </c>
      <c r="Q108" s="1125">
        <v>0</v>
      </c>
      <c r="R108" s="1125">
        <v>0</v>
      </c>
      <c r="S108" s="1125">
        <v>0</v>
      </c>
      <c r="T108" s="1125">
        <v>0</v>
      </c>
      <c r="U108" s="1125">
        <v>0</v>
      </c>
      <c r="V108" s="1127">
        <v>2</v>
      </c>
      <c r="W108" s="1127">
        <v>0</v>
      </c>
      <c r="X108" s="1124"/>
      <c r="Y108" s="1319"/>
      <c r="Z108" s="1319"/>
    </row>
    <row r="109" spans="1:26" ht="24">
      <c r="A109" s="1122" t="s">
        <v>894</v>
      </c>
      <c r="B109" s="1123" t="s">
        <v>1125</v>
      </c>
      <c r="C109" s="1123" t="s">
        <v>872</v>
      </c>
      <c r="D109" s="1123" t="s">
        <v>873</v>
      </c>
      <c r="E109" s="1123" t="s">
        <v>1928</v>
      </c>
      <c r="F109" s="1123" t="s">
        <v>2373</v>
      </c>
      <c r="G109" s="1123" t="s">
        <v>1926</v>
      </c>
      <c r="H109" s="1124" t="s">
        <v>874</v>
      </c>
      <c r="I109" s="1123" t="s">
        <v>713</v>
      </c>
      <c r="J109" s="1125">
        <v>0</v>
      </c>
      <c r="K109" s="1125">
        <v>6.5</v>
      </c>
      <c r="L109" s="1126"/>
      <c r="M109" s="1126"/>
      <c r="N109" s="1125">
        <v>6.5</v>
      </c>
      <c r="O109" s="1125">
        <v>6.5</v>
      </c>
      <c r="P109" s="1125">
        <v>0</v>
      </c>
      <c r="Q109" s="1125">
        <v>0</v>
      </c>
      <c r="R109" s="1125">
        <v>0</v>
      </c>
      <c r="S109" s="1125">
        <v>0</v>
      </c>
      <c r="T109" s="1125">
        <v>0</v>
      </c>
      <c r="U109" s="1125">
        <v>0</v>
      </c>
      <c r="V109" s="1127">
        <v>2</v>
      </c>
      <c r="W109" s="1127">
        <v>0</v>
      </c>
      <c r="X109" s="1124"/>
      <c r="Y109" s="1319"/>
      <c r="Z109" s="1319"/>
    </row>
    <row r="110" spans="1:26" ht="24">
      <c r="A110" s="1122" t="s">
        <v>894</v>
      </c>
      <c r="B110" s="1123" t="s">
        <v>1125</v>
      </c>
      <c r="C110" s="1123" t="s">
        <v>872</v>
      </c>
      <c r="D110" s="1123" t="s">
        <v>873</v>
      </c>
      <c r="E110" s="1123" t="s">
        <v>1928</v>
      </c>
      <c r="F110" s="1123" t="s">
        <v>2373</v>
      </c>
      <c r="G110" s="1123" t="s">
        <v>1926</v>
      </c>
      <c r="H110" s="1124" t="s">
        <v>874</v>
      </c>
      <c r="I110" s="1123" t="s">
        <v>704</v>
      </c>
      <c r="J110" s="1125">
        <v>0</v>
      </c>
      <c r="K110" s="1125">
        <v>9.83</v>
      </c>
      <c r="L110" s="1126"/>
      <c r="M110" s="1126"/>
      <c r="N110" s="1125">
        <v>9.83</v>
      </c>
      <c r="O110" s="1125">
        <v>9.83</v>
      </c>
      <c r="P110" s="1125">
        <v>0</v>
      </c>
      <c r="Q110" s="1125">
        <v>0</v>
      </c>
      <c r="R110" s="1125">
        <v>0</v>
      </c>
      <c r="S110" s="1125">
        <v>0</v>
      </c>
      <c r="T110" s="1125">
        <v>0</v>
      </c>
      <c r="U110" s="1125">
        <v>0</v>
      </c>
      <c r="V110" s="1127">
        <v>2</v>
      </c>
      <c r="W110" s="1127">
        <v>0</v>
      </c>
      <c r="X110" s="1124"/>
      <c r="Y110" s="1319"/>
      <c r="Z110" s="1319"/>
    </row>
    <row r="111" spans="1:26" ht="24">
      <c r="A111" s="1122" t="s">
        <v>894</v>
      </c>
      <c r="B111" s="1123" t="s">
        <v>1125</v>
      </c>
      <c r="C111" s="1123" t="s">
        <v>872</v>
      </c>
      <c r="D111" s="1123" t="s">
        <v>873</v>
      </c>
      <c r="E111" s="1123" t="s">
        <v>1928</v>
      </c>
      <c r="F111" s="1123" t="s">
        <v>2373</v>
      </c>
      <c r="G111" s="1123" t="s">
        <v>1926</v>
      </c>
      <c r="H111" s="1124" t="s">
        <v>874</v>
      </c>
      <c r="I111" s="1123" t="s">
        <v>1944</v>
      </c>
      <c r="J111" s="1125">
        <v>0</v>
      </c>
      <c r="K111" s="1125">
        <v>29.83</v>
      </c>
      <c r="L111" s="1126"/>
      <c r="M111" s="1126"/>
      <c r="N111" s="1125">
        <v>29.83</v>
      </c>
      <c r="O111" s="1125">
        <v>29.83</v>
      </c>
      <c r="P111" s="1125">
        <v>0</v>
      </c>
      <c r="Q111" s="1125">
        <v>0</v>
      </c>
      <c r="R111" s="1125">
        <v>0</v>
      </c>
      <c r="S111" s="1125">
        <v>0</v>
      </c>
      <c r="T111" s="1125">
        <v>0</v>
      </c>
      <c r="U111" s="1125">
        <v>0</v>
      </c>
      <c r="V111" s="1127">
        <v>2</v>
      </c>
      <c r="W111" s="1127">
        <v>0</v>
      </c>
      <c r="X111" s="1124"/>
      <c r="Y111" s="1319"/>
      <c r="Z111" s="1319"/>
    </row>
    <row r="112" spans="1:26" ht="24">
      <c r="A112" s="1122" t="s">
        <v>2374</v>
      </c>
      <c r="B112" s="1123" t="s">
        <v>2375</v>
      </c>
      <c r="C112" s="1123" t="s">
        <v>875</v>
      </c>
      <c r="D112" s="1123" t="s">
        <v>2376</v>
      </c>
      <c r="E112" s="1123"/>
      <c r="F112" s="1123" t="s">
        <v>2377</v>
      </c>
      <c r="G112" s="1123" t="s">
        <v>2135</v>
      </c>
      <c r="H112" s="1124" t="s">
        <v>2220</v>
      </c>
      <c r="I112" s="1123" t="s">
        <v>707</v>
      </c>
      <c r="J112" s="1125">
        <v>0</v>
      </c>
      <c r="K112" s="1125">
        <v>12.48</v>
      </c>
      <c r="L112" s="1126"/>
      <c r="M112" s="1126"/>
      <c r="N112" s="1125">
        <v>12.48</v>
      </c>
      <c r="O112" s="1125">
        <v>12.48</v>
      </c>
      <c r="P112" s="1125">
        <v>0</v>
      </c>
      <c r="Q112" s="1125">
        <v>0</v>
      </c>
      <c r="R112" s="1125">
        <v>0</v>
      </c>
      <c r="S112" s="1125">
        <v>0</v>
      </c>
      <c r="T112" s="1125">
        <v>0</v>
      </c>
      <c r="U112" s="1125">
        <v>0</v>
      </c>
      <c r="V112" s="1127">
        <v>2</v>
      </c>
      <c r="W112" s="1127">
        <v>0</v>
      </c>
      <c r="X112" s="1124"/>
      <c r="Y112" s="1319"/>
      <c r="Z112" s="1319"/>
    </row>
    <row r="113" spans="1:26" ht="24">
      <c r="A113" s="1122" t="s">
        <v>2374</v>
      </c>
      <c r="B113" s="1123" t="s">
        <v>2375</v>
      </c>
      <c r="C113" s="1123" t="s">
        <v>875</v>
      </c>
      <c r="D113" s="1123" t="s">
        <v>2376</v>
      </c>
      <c r="E113" s="1123"/>
      <c r="F113" s="1123" t="s">
        <v>2377</v>
      </c>
      <c r="G113" s="1123" t="s">
        <v>2135</v>
      </c>
      <c r="H113" s="1124" t="s">
        <v>2220</v>
      </c>
      <c r="I113" s="1123" t="s">
        <v>713</v>
      </c>
      <c r="J113" s="1125">
        <v>0</v>
      </c>
      <c r="K113" s="1125">
        <v>6.5</v>
      </c>
      <c r="L113" s="1126"/>
      <c r="M113" s="1126"/>
      <c r="N113" s="1125">
        <v>6.5</v>
      </c>
      <c r="O113" s="1125">
        <v>6.5</v>
      </c>
      <c r="P113" s="1125">
        <v>0</v>
      </c>
      <c r="Q113" s="1125">
        <v>0</v>
      </c>
      <c r="R113" s="1125">
        <v>0</v>
      </c>
      <c r="S113" s="1125">
        <v>0</v>
      </c>
      <c r="T113" s="1125">
        <v>0</v>
      </c>
      <c r="U113" s="1125">
        <v>0</v>
      </c>
      <c r="V113" s="1127">
        <v>2</v>
      </c>
      <c r="W113" s="1127">
        <v>0</v>
      </c>
      <c r="X113" s="1124"/>
      <c r="Y113" s="1319"/>
      <c r="Z113" s="1319"/>
    </row>
    <row r="114" spans="1:26" ht="24">
      <c r="A114" s="1122" t="s">
        <v>2374</v>
      </c>
      <c r="B114" s="1123" t="s">
        <v>2375</v>
      </c>
      <c r="C114" s="1123" t="s">
        <v>875</v>
      </c>
      <c r="D114" s="1123" t="s">
        <v>2376</v>
      </c>
      <c r="E114" s="1123"/>
      <c r="F114" s="1123" t="s">
        <v>2377</v>
      </c>
      <c r="G114" s="1123" t="s">
        <v>2135</v>
      </c>
      <c r="H114" s="1124" t="s">
        <v>2220</v>
      </c>
      <c r="I114" s="1123" t="s">
        <v>704</v>
      </c>
      <c r="J114" s="1125">
        <v>0</v>
      </c>
      <c r="K114" s="1125">
        <v>9.83</v>
      </c>
      <c r="L114" s="1126"/>
      <c r="M114" s="1126"/>
      <c r="N114" s="1125">
        <v>9.83</v>
      </c>
      <c r="O114" s="1125">
        <v>9.83</v>
      </c>
      <c r="P114" s="1125">
        <v>0</v>
      </c>
      <c r="Q114" s="1125">
        <v>0</v>
      </c>
      <c r="R114" s="1125">
        <v>0</v>
      </c>
      <c r="S114" s="1125">
        <v>0</v>
      </c>
      <c r="T114" s="1125">
        <v>0</v>
      </c>
      <c r="U114" s="1125">
        <v>0</v>
      </c>
      <c r="V114" s="1127">
        <v>2</v>
      </c>
      <c r="W114" s="1127">
        <v>0</v>
      </c>
      <c r="X114" s="1124"/>
      <c r="Y114" s="1319"/>
      <c r="Z114" s="1319"/>
    </row>
    <row r="115" spans="1:26" ht="24">
      <c r="A115" s="1122" t="s">
        <v>2374</v>
      </c>
      <c r="B115" s="1123" t="s">
        <v>2375</v>
      </c>
      <c r="C115" s="1123" t="s">
        <v>875</v>
      </c>
      <c r="D115" s="1123" t="s">
        <v>2376</v>
      </c>
      <c r="E115" s="1123"/>
      <c r="F115" s="1123" t="s">
        <v>2377</v>
      </c>
      <c r="G115" s="1123" t="s">
        <v>2135</v>
      </c>
      <c r="H115" s="1124" t="s">
        <v>2220</v>
      </c>
      <c r="I115" s="1123" t="s">
        <v>1944</v>
      </c>
      <c r="J115" s="1125">
        <v>0</v>
      </c>
      <c r="K115" s="1125">
        <v>58.49</v>
      </c>
      <c r="L115" s="1126"/>
      <c r="M115" s="1126"/>
      <c r="N115" s="1125">
        <v>58.49</v>
      </c>
      <c r="O115" s="1125">
        <v>58.49</v>
      </c>
      <c r="P115" s="1125">
        <v>0</v>
      </c>
      <c r="Q115" s="1125">
        <v>0</v>
      </c>
      <c r="R115" s="1125">
        <v>0</v>
      </c>
      <c r="S115" s="1125">
        <v>0</v>
      </c>
      <c r="T115" s="1125">
        <v>0</v>
      </c>
      <c r="U115" s="1125">
        <v>0</v>
      </c>
      <c r="V115" s="1127">
        <v>2</v>
      </c>
      <c r="W115" s="1127">
        <v>0</v>
      </c>
      <c r="X115" s="1124"/>
      <c r="Y115" s="1319"/>
      <c r="Z115" s="1319"/>
    </row>
    <row r="116" spans="1:26" ht="24">
      <c r="A116" s="1122" t="s">
        <v>2378</v>
      </c>
      <c r="B116" s="1123" t="s">
        <v>2153</v>
      </c>
      <c r="C116" s="1123" t="s">
        <v>878</v>
      </c>
      <c r="D116" s="1123" t="s">
        <v>2379</v>
      </c>
      <c r="E116" s="1123" t="s">
        <v>1928</v>
      </c>
      <c r="F116" s="1123" t="s">
        <v>2380</v>
      </c>
      <c r="G116" s="1123" t="s">
        <v>1926</v>
      </c>
      <c r="H116" s="1124" t="s">
        <v>880</v>
      </c>
      <c r="I116" s="1123" t="s">
        <v>707</v>
      </c>
      <c r="J116" s="1125">
        <v>0</v>
      </c>
      <c r="K116" s="1125">
        <v>5.94</v>
      </c>
      <c r="L116" s="1126"/>
      <c r="M116" s="1126"/>
      <c r="N116" s="1125">
        <v>5.94</v>
      </c>
      <c r="O116" s="1125">
        <v>5.94</v>
      </c>
      <c r="P116" s="1125">
        <v>0</v>
      </c>
      <c r="Q116" s="1125">
        <v>0</v>
      </c>
      <c r="R116" s="1125">
        <v>0</v>
      </c>
      <c r="S116" s="1125">
        <v>0</v>
      </c>
      <c r="T116" s="1125">
        <v>0</v>
      </c>
      <c r="U116" s="1125">
        <v>0</v>
      </c>
      <c r="V116" s="1127">
        <v>0</v>
      </c>
      <c r="W116" s="1127">
        <v>0</v>
      </c>
      <c r="X116" s="1124"/>
      <c r="Y116" s="1319"/>
      <c r="Z116" s="1319"/>
    </row>
    <row r="117" spans="1:26" ht="24">
      <c r="A117" s="1122" t="s">
        <v>2378</v>
      </c>
      <c r="B117" s="1123" t="s">
        <v>2153</v>
      </c>
      <c r="C117" s="1123" t="s">
        <v>878</v>
      </c>
      <c r="D117" s="1123" t="s">
        <v>2379</v>
      </c>
      <c r="E117" s="1123" t="s">
        <v>1928</v>
      </c>
      <c r="F117" s="1123" t="s">
        <v>2380</v>
      </c>
      <c r="G117" s="1123" t="s">
        <v>1926</v>
      </c>
      <c r="H117" s="1124" t="s">
        <v>880</v>
      </c>
      <c r="I117" s="1123" t="s">
        <v>713</v>
      </c>
      <c r="J117" s="1125">
        <v>0</v>
      </c>
      <c r="K117" s="1125">
        <v>6.5</v>
      </c>
      <c r="L117" s="1126"/>
      <c r="M117" s="1126"/>
      <c r="N117" s="1125">
        <v>6.5</v>
      </c>
      <c r="O117" s="1125">
        <v>6.5</v>
      </c>
      <c r="P117" s="1125">
        <v>0</v>
      </c>
      <c r="Q117" s="1125">
        <v>0</v>
      </c>
      <c r="R117" s="1125">
        <v>0</v>
      </c>
      <c r="S117" s="1125">
        <v>0</v>
      </c>
      <c r="T117" s="1125">
        <v>0</v>
      </c>
      <c r="U117" s="1125">
        <v>0</v>
      </c>
      <c r="V117" s="1127">
        <v>0</v>
      </c>
      <c r="W117" s="1127">
        <v>0</v>
      </c>
      <c r="X117" s="1124"/>
      <c r="Y117" s="1319"/>
      <c r="Z117" s="1319"/>
    </row>
    <row r="118" spans="1:26" ht="24">
      <c r="A118" s="1122" t="s">
        <v>2378</v>
      </c>
      <c r="B118" s="1123" t="s">
        <v>2153</v>
      </c>
      <c r="C118" s="1123" t="s">
        <v>878</v>
      </c>
      <c r="D118" s="1123" t="s">
        <v>2379</v>
      </c>
      <c r="E118" s="1123" t="s">
        <v>1928</v>
      </c>
      <c r="F118" s="1123" t="s">
        <v>2380</v>
      </c>
      <c r="G118" s="1123" t="s">
        <v>1926</v>
      </c>
      <c r="H118" s="1124" t="s">
        <v>880</v>
      </c>
      <c r="I118" s="1123" t="s">
        <v>704</v>
      </c>
      <c r="J118" s="1125">
        <v>0</v>
      </c>
      <c r="K118" s="1125">
        <v>9.83</v>
      </c>
      <c r="L118" s="1126"/>
      <c r="M118" s="1126"/>
      <c r="N118" s="1125">
        <v>9.83</v>
      </c>
      <c r="O118" s="1125">
        <v>9.83</v>
      </c>
      <c r="P118" s="1125">
        <v>0</v>
      </c>
      <c r="Q118" s="1125">
        <v>0</v>
      </c>
      <c r="R118" s="1125">
        <v>0</v>
      </c>
      <c r="S118" s="1125">
        <v>0</v>
      </c>
      <c r="T118" s="1125">
        <v>0</v>
      </c>
      <c r="U118" s="1125">
        <v>0</v>
      </c>
      <c r="V118" s="1127">
        <v>0</v>
      </c>
      <c r="W118" s="1127">
        <v>0</v>
      </c>
      <c r="X118" s="1124"/>
      <c r="Y118" s="1319"/>
      <c r="Z118" s="1319"/>
    </row>
    <row r="119" spans="1:26" ht="24">
      <c r="A119" s="1122" t="s">
        <v>2378</v>
      </c>
      <c r="B119" s="1123" t="s">
        <v>2153</v>
      </c>
      <c r="C119" s="1123" t="s">
        <v>878</v>
      </c>
      <c r="D119" s="1123" t="s">
        <v>2379</v>
      </c>
      <c r="E119" s="1123" t="s">
        <v>1928</v>
      </c>
      <c r="F119" s="1123" t="s">
        <v>2380</v>
      </c>
      <c r="G119" s="1123" t="s">
        <v>1926</v>
      </c>
      <c r="H119" s="1124" t="s">
        <v>880</v>
      </c>
      <c r="I119" s="1123" t="s">
        <v>1944</v>
      </c>
      <c r="J119" s="1125">
        <v>0</v>
      </c>
      <c r="K119" s="1125">
        <v>45.19</v>
      </c>
      <c r="L119" s="1126"/>
      <c r="M119" s="1126"/>
      <c r="N119" s="1125">
        <v>45.19</v>
      </c>
      <c r="O119" s="1125">
        <v>45.19</v>
      </c>
      <c r="P119" s="1125">
        <v>0</v>
      </c>
      <c r="Q119" s="1125">
        <v>0</v>
      </c>
      <c r="R119" s="1125">
        <v>0</v>
      </c>
      <c r="S119" s="1125">
        <v>0</v>
      </c>
      <c r="T119" s="1125">
        <v>0</v>
      </c>
      <c r="U119" s="1125">
        <v>0</v>
      </c>
      <c r="V119" s="1127">
        <v>0</v>
      </c>
      <c r="W119" s="1127">
        <v>0</v>
      </c>
      <c r="X119" s="1124"/>
      <c r="Y119" s="1319"/>
      <c r="Z119" s="1319"/>
    </row>
    <row r="120" spans="1:26" ht="24">
      <c r="A120" s="1122" t="s">
        <v>2381</v>
      </c>
      <c r="B120" s="1123" t="s">
        <v>887</v>
      </c>
      <c r="C120" s="1123" t="s">
        <v>882</v>
      </c>
      <c r="D120" s="1123" t="s">
        <v>2382</v>
      </c>
      <c r="E120" s="1123" t="s">
        <v>1928</v>
      </c>
      <c r="F120" s="1123" t="s">
        <v>2383</v>
      </c>
      <c r="G120" s="1123" t="s">
        <v>1926</v>
      </c>
      <c r="H120" s="1124" t="s">
        <v>884</v>
      </c>
      <c r="I120" s="1123" t="s">
        <v>707</v>
      </c>
      <c r="J120" s="1125">
        <v>0</v>
      </c>
      <c r="K120" s="1125">
        <v>4.9400000000000004</v>
      </c>
      <c r="L120" s="1126"/>
      <c r="M120" s="1126"/>
      <c r="N120" s="1125">
        <v>4.9400000000000004</v>
      </c>
      <c r="O120" s="1125">
        <v>4.9400000000000004</v>
      </c>
      <c r="P120" s="1125">
        <v>0</v>
      </c>
      <c r="Q120" s="1125">
        <v>0</v>
      </c>
      <c r="R120" s="1125">
        <v>0</v>
      </c>
      <c r="S120" s="1125">
        <v>0</v>
      </c>
      <c r="T120" s="1125">
        <v>0</v>
      </c>
      <c r="U120" s="1125">
        <v>0</v>
      </c>
      <c r="V120" s="1127">
        <v>0</v>
      </c>
      <c r="W120" s="1127">
        <v>0</v>
      </c>
      <c r="X120" s="1124"/>
      <c r="Y120" s="1319"/>
      <c r="Z120" s="1319"/>
    </row>
    <row r="121" spans="1:26" ht="24">
      <c r="A121" s="1122" t="s">
        <v>2381</v>
      </c>
      <c r="B121" s="1123" t="s">
        <v>887</v>
      </c>
      <c r="C121" s="1123" t="s">
        <v>882</v>
      </c>
      <c r="D121" s="1123" t="s">
        <v>2382</v>
      </c>
      <c r="E121" s="1123" t="s">
        <v>1928</v>
      </c>
      <c r="F121" s="1123" t="s">
        <v>2383</v>
      </c>
      <c r="G121" s="1123" t="s">
        <v>1926</v>
      </c>
      <c r="H121" s="1124" t="s">
        <v>884</v>
      </c>
      <c r="I121" s="1123" t="s">
        <v>713</v>
      </c>
      <c r="J121" s="1125">
        <v>0</v>
      </c>
      <c r="K121" s="1125">
        <v>6.5</v>
      </c>
      <c r="L121" s="1126"/>
      <c r="M121" s="1126"/>
      <c r="N121" s="1125">
        <v>6.5</v>
      </c>
      <c r="O121" s="1125">
        <v>6.5</v>
      </c>
      <c r="P121" s="1125">
        <v>0</v>
      </c>
      <c r="Q121" s="1125">
        <v>0</v>
      </c>
      <c r="R121" s="1125">
        <v>0</v>
      </c>
      <c r="S121" s="1125">
        <v>0</v>
      </c>
      <c r="T121" s="1125">
        <v>0</v>
      </c>
      <c r="U121" s="1125">
        <v>0</v>
      </c>
      <c r="V121" s="1127">
        <v>0</v>
      </c>
      <c r="W121" s="1127">
        <v>0</v>
      </c>
      <c r="X121" s="1124"/>
      <c r="Y121" s="1319"/>
      <c r="Z121" s="1319"/>
    </row>
    <row r="122" spans="1:26" ht="24">
      <c r="A122" s="1122" t="s">
        <v>2381</v>
      </c>
      <c r="B122" s="1123" t="s">
        <v>887</v>
      </c>
      <c r="C122" s="1123" t="s">
        <v>882</v>
      </c>
      <c r="D122" s="1123" t="s">
        <v>2382</v>
      </c>
      <c r="E122" s="1123" t="s">
        <v>1928</v>
      </c>
      <c r="F122" s="1123" t="s">
        <v>2383</v>
      </c>
      <c r="G122" s="1123" t="s">
        <v>1926</v>
      </c>
      <c r="H122" s="1124" t="s">
        <v>884</v>
      </c>
      <c r="I122" s="1123" t="s">
        <v>704</v>
      </c>
      <c r="J122" s="1125">
        <v>0</v>
      </c>
      <c r="K122" s="1125">
        <v>9.83</v>
      </c>
      <c r="L122" s="1126"/>
      <c r="M122" s="1126"/>
      <c r="N122" s="1125">
        <v>9.83</v>
      </c>
      <c r="O122" s="1125">
        <v>9.83</v>
      </c>
      <c r="P122" s="1125">
        <v>0</v>
      </c>
      <c r="Q122" s="1125">
        <v>0</v>
      </c>
      <c r="R122" s="1125">
        <v>0</v>
      </c>
      <c r="S122" s="1125">
        <v>0</v>
      </c>
      <c r="T122" s="1125">
        <v>0</v>
      </c>
      <c r="U122" s="1125">
        <v>0</v>
      </c>
      <c r="V122" s="1127">
        <v>0</v>
      </c>
      <c r="W122" s="1127">
        <v>0</v>
      </c>
      <c r="X122" s="1124"/>
      <c r="Y122" s="1319"/>
      <c r="Z122" s="1319"/>
    </row>
    <row r="123" spans="1:26" ht="24">
      <c r="A123" s="1122" t="s">
        <v>2381</v>
      </c>
      <c r="B123" s="1123" t="s">
        <v>887</v>
      </c>
      <c r="C123" s="1123" t="s">
        <v>882</v>
      </c>
      <c r="D123" s="1123" t="s">
        <v>2382</v>
      </c>
      <c r="E123" s="1123" t="s">
        <v>1928</v>
      </c>
      <c r="F123" s="1123" t="s">
        <v>2383</v>
      </c>
      <c r="G123" s="1123" t="s">
        <v>1926</v>
      </c>
      <c r="H123" s="1124" t="s">
        <v>884</v>
      </c>
      <c r="I123" s="1123" t="s">
        <v>1944</v>
      </c>
      <c r="J123" s="1125">
        <v>0</v>
      </c>
      <c r="K123" s="1125">
        <v>7.88</v>
      </c>
      <c r="L123" s="1126"/>
      <c r="M123" s="1126"/>
      <c r="N123" s="1125">
        <v>7.88</v>
      </c>
      <c r="O123" s="1125">
        <v>7.88</v>
      </c>
      <c r="P123" s="1125">
        <v>0</v>
      </c>
      <c r="Q123" s="1125">
        <v>0</v>
      </c>
      <c r="R123" s="1125">
        <v>0</v>
      </c>
      <c r="S123" s="1125">
        <v>0</v>
      </c>
      <c r="T123" s="1125">
        <v>0</v>
      </c>
      <c r="U123" s="1125">
        <v>0</v>
      </c>
      <c r="V123" s="1127">
        <v>0</v>
      </c>
      <c r="W123" s="1127">
        <v>0</v>
      </c>
      <c r="X123" s="1124"/>
      <c r="Y123" s="1319"/>
      <c r="Z123" s="1319"/>
    </row>
    <row r="124" spans="1:26" ht="24">
      <c r="A124" s="1122" t="s">
        <v>2384</v>
      </c>
      <c r="B124" s="1123" t="s">
        <v>2385</v>
      </c>
      <c r="C124" s="1123" t="s">
        <v>887</v>
      </c>
      <c r="D124" s="1123" t="s">
        <v>888</v>
      </c>
      <c r="E124" s="1123" t="s">
        <v>1928</v>
      </c>
      <c r="F124" s="1123" t="s">
        <v>2386</v>
      </c>
      <c r="G124" s="1123" t="s">
        <v>1926</v>
      </c>
      <c r="H124" s="1124" t="s">
        <v>842</v>
      </c>
      <c r="I124" s="1123" t="s">
        <v>707</v>
      </c>
      <c r="J124" s="1125">
        <v>0</v>
      </c>
      <c r="K124" s="1125">
        <v>35.909999999999997</v>
      </c>
      <c r="L124" s="1126"/>
      <c r="M124" s="1126"/>
      <c r="N124" s="1125">
        <v>35.909999999999997</v>
      </c>
      <c r="O124" s="1125">
        <v>35.909999999999997</v>
      </c>
      <c r="P124" s="1125">
        <v>0</v>
      </c>
      <c r="Q124" s="1125">
        <v>0</v>
      </c>
      <c r="R124" s="1125">
        <v>0</v>
      </c>
      <c r="S124" s="1125">
        <v>0</v>
      </c>
      <c r="T124" s="1125">
        <v>1670</v>
      </c>
      <c r="U124" s="1125">
        <v>0</v>
      </c>
      <c r="V124" s="1127">
        <v>1</v>
      </c>
      <c r="W124" s="1127">
        <v>1</v>
      </c>
      <c r="X124" s="1124"/>
      <c r="Y124" s="1319"/>
      <c r="Z124" s="1319"/>
    </row>
    <row r="125" spans="1:26" ht="24">
      <c r="A125" s="1122" t="s">
        <v>2384</v>
      </c>
      <c r="B125" s="1123" t="s">
        <v>2385</v>
      </c>
      <c r="C125" s="1123" t="s">
        <v>887</v>
      </c>
      <c r="D125" s="1123" t="s">
        <v>888</v>
      </c>
      <c r="E125" s="1123" t="s">
        <v>1928</v>
      </c>
      <c r="F125" s="1123" t="s">
        <v>2386</v>
      </c>
      <c r="G125" s="1123" t="s">
        <v>1926</v>
      </c>
      <c r="H125" s="1124" t="s">
        <v>842</v>
      </c>
      <c r="I125" s="1123" t="s">
        <v>713</v>
      </c>
      <c r="J125" s="1125">
        <v>0</v>
      </c>
      <c r="K125" s="1125">
        <v>6.5</v>
      </c>
      <c r="L125" s="1126"/>
      <c r="M125" s="1126"/>
      <c r="N125" s="1125">
        <v>6.5</v>
      </c>
      <c r="O125" s="1125">
        <v>6.5</v>
      </c>
      <c r="P125" s="1125">
        <v>0</v>
      </c>
      <c r="Q125" s="1125">
        <v>0</v>
      </c>
      <c r="R125" s="1125">
        <v>0</v>
      </c>
      <c r="S125" s="1125">
        <v>0</v>
      </c>
      <c r="T125" s="1125">
        <v>0</v>
      </c>
      <c r="U125" s="1125">
        <v>0</v>
      </c>
      <c r="V125" s="1127">
        <v>1</v>
      </c>
      <c r="W125" s="1127">
        <v>1</v>
      </c>
      <c r="X125" s="1124"/>
      <c r="Y125" s="1319"/>
      <c r="Z125" s="1319"/>
    </row>
    <row r="126" spans="1:26" ht="24">
      <c r="A126" s="1122" t="s">
        <v>2384</v>
      </c>
      <c r="B126" s="1123" t="s">
        <v>2385</v>
      </c>
      <c r="C126" s="1123" t="s">
        <v>887</v>
      </c>
      <c r="D126" s="1123" t="s">
        <v>888</v>
      </c>
      <c r="E126" s="1123" t="s">
        <v>1928</v>
      </c>
      <c r="F126" s="1123" t="s">
        <v>2386</v>
      </c>
      <c r="G126" s="1123" t="s">
        <v>1926</v>
      </c>
      <c r="H126" s="1124" t="s">
        <v>842</v>
      </c>
      <c r="I126" s="1123" t="s">
        <v>704</v>
      </c>
      <c r="J126" s="1125">
        <v>0</v>
      </c>
      <c r="K126" s="1125">
        <v>9.83</v>
      </c>
      <c r="L126" s="1126"/>
      <c r="M126" s="1126"/>
      <c r="N126" s="1125">
        <v>9.83</v>
      </c>
      <c r="O126" s="1125">
        <v>9.83</v>
      </c>
      <c r="P126" s="1125">
        <v>0</v>
      </c>
      <c r="Q126" s="1125">
        <v>0</v>
      </c>
      <c r="R126" s="1125">
        <v>0</v>
      </c>
      <c r="S126" s="1125">
        <v>0</v>
      </c>
      <c r="T126" s="1125">
        <v>0</v>
      </c>
      <c r="U126" s="1125">
        <v>0</v>
      </c>
      <c r="V126" s="1127">
        <v>1</v>
      </c>
      <c r="W126" s="1127">
        <v>1</v>
      </c>
      <c r="X126" s="1124"/>
      <c r="Y126" s="1319"/>
      <c r="Z126" s="1319"/>
    </row>
    <row r="127" spans="1:26" ht="24">
      <c r="A127" s="1122" t="s">
        <v>2384</v>
      </c>
      <c r="B127" s="1123" t="s">
        <v>2385</v>
      </c>
      <c r="C127" s="1123" t="s">
        <v>887</v>
      </c>
      <c r="D127" s="1123" t="s">
        <v>888</v>
      </c>
      <c r="E127" s="1123" t="s">
        <v>1928</v>
      </c>
      <c r="F127" s="1123" t="s">
        <v>2386</v>
      </c>
      <c r="G127" s="1123" t="s">
        <v>1926</v>
      </c>
      <c r="H127" s="1124" t="s">
        <v>842</v>
      </c>
      <c r="I127" s="1123" t="s">
        <v>1944</v>
      </c>
      <c r="J127" s="1125">
        <v>0</v>
      </c>
      <c r="K127" s="1125">
        <v>26.79</v>
      </c>
      <c r="L127" s="1126"/>
      <c r="M127" s="1126"/>
      <c r="N127" s="1125">
        <v>26.79</v>
      </c>
      <c r="O127" s="1125">
        <v>26.79</v>
      </c>
      <c r="P127" s="1125">
        <v>0</v>
      </c>
      <c r="Q127" s="1125">
        <v>0</v>
      </c>
      <c r="R127" s="1125">
        <v>0</v>
      </c>
      <c r="S127" s="1125">
        <v>0</v>
      </c>
      <c r="T127" s="1125">
        <v>0</v>
      </c>
      <c r="U127" s="1125">
        <v>0</v>
      </c>
      <c r="V127" s="1127">
        <v>1</v>
      </c>
      <c r="W127" s="1127">
        <v>1</v>
      </c>
      <c r="X127" s="1124"/>
      <c r="Y127" s="1319"/>
      <c r="Z127" s="1319"/>
    </row>
    <row r="128" spans="1:26" ht="24">
      <c r="A128" s="1122" t="s">
        <v>774</v>
      </c>
      <c r="B128" s="1123" t="s">
        <v>1096</v>
      </c>
      <c r="C128" s="1123" t="s">
        <v>889</v>
      </c>
      <c r="D128" s="1123" t="s">
        <v>2387</v>
      </c>
      <c r="E128" s="1123"/>
      <c r="F128" s="1123" t="s">
        <v>2388</v>
      </c>
      <c r="G128" s="1123" t="s">
        <v>1940</v>
      </c>
      <c r="H128" s="1124" t="s">
        <v>2389</v>
      </c>
      <c r="I128" s="1123" t="s">
        <v>707</v>
      </c>
      <c r="J128" s="1125">
        <v>0</v>
      </c>
      <c r="K128" s="1125">
        <v>10.76</v>
      </c>
      <c r="L128" s="1126"/>
      <c r="M128" s="1126"/>
      <c r="N128" s="1125">
        <v>10.76</v>
      </c>
      <c r="O128" s="1125">
        <v>10.76</v>
      </c>
      <c r="P128" s="1125">
        <v>0</v>
      </c>
      <c r="Q128" s="1125">
        <v>0</v>
      </c>
      <c r="R128" s="1125">
        <v>0</v>
      </c>
      <c r="S128" s="1125">
        <v>0</v>
      </c>
      <c r="T128" s="1125">
        <v>0</v>
      </c>
      <c r="U128" s="1125">
        <v>0</v>
      </c>
      <c r="V128" s="1127">
        <v>0</v>
      </c>
      <c r="W128" s="1127">
        <v>0</v>
      </c>
      <c r="X128" s="1124"/>
      <c r="Y128" s="1319"/>
      <c r="Z128" s="1319"/>
    </row>
    <row r="129" spans="1:26" ht="24">
      <c r="A129" s="1122" t="s">
        <v>774</v>
      </c>
      <c r="B129" s="1123" t="s">
        <v>1096</v>
      </c>
      <c r="C129" s="1123" t="s">
        <v>889</v>
      </c>
      <c r="D129" s="1123" t="s">
        <v>2387</v>
      </c>
      <c r="E129" s="1123"/>
      <c r="F129" s="1123" t="s">
        <v>2388</v>
      </c>
      <c r="G129" s="1123" t="s">
        <v>1940</v>
      </c>
      <c r="H129" s="1124" t="s">
        <v>2389</v>
      </c>
      <c r="I129" s="1123" t="s">
        <v>713</v>
      </c>
      <c r="J129" s="1125">
        <v>0</v>
      </c>
      <c r="K129" s="1125">
        <v>6.5</v>
      </c>
      <c r="L129" s="1126"/>
      <c r="M129" s="1126"/>
      <c r="N129" s="1125">
        <v>6.5</v>
      </c>
      <c r="O129" s="1125">
        <v>6.5</v>
      </c>
      <c r="P129" s="1125">
        <v>0</v>
      </c>
      <c r="Q129" s="1125">
        <v>0</v>
      </c>
      <c r="R129" s="1125">
        <v>0</v>
      </c>
      <c r="S129" s="1125">
        <v>0</v>
      </c>
      <c r="T129" s="1125">
        <v>0</v>
      </c>
      <c r="U129" s="1125">
        <v>0</v>
      </c>
      <c r="V129" s="1127">
        <v>0</v>
      </c>
      <c r="W129" s="1127">
        <v>0</v>
      </c>
      <c r="X129" s="1124"/>
      <c r="Y129" s="1319"/>
      <c r="Z129" s="1319"/>
    </row>
    <row r="130" spans="1:26" ht="24">
      <c r="A130" s="1122" t="s">
        <v>774</v>
      </c>
      <c r="B130" s="1123" t="s">
        <v>1096</v>
      </c>
      <c r="C130" s="1123" t="s">
        <v>889</v>
      </c>
      <c r="D130" s="1123" t="s">
        <v>2387</v>
      </c>
      <c r="E130" s="1123"/>
      <c r="F130" s="1123" t="s">
        <v>2388</v>
      </c>
      <c r="G130" s="1123" t="s">
        <v>1940</v>
      </c>
      <c r="H130" s="1124" t="s">
        <v>2389</v>
      </c>
      <c r="I130" s="1123" t="s">
        <v>704</v>
      </c>
      <c r="J130" s="1125">
        <v>0</v>
      </c>
      <c r="K130" s="1125">
        <v>9.83</v>
      </c>
      <c r="L130" s="1126"/>
      <c r="M130" s="1126"/>
      <c r="N130" s="1125">
        <v>9.83</v>
      </c>
      <c r="O130" s="1125">
        <v>9.83</v>
      </c>
      <c r="P130" s="1125">
        <v>0</v>
      </c>
      <c r="Q130" s="1125">
        <v>0</v>
      </c>
      <c r="R130" s="1125">
        <v>0</v>
      </c>
      <c r="S130" s="1125">
        <v>0</v>
      </c>
      <c r="T130" s="1125">
        <v>0</v>
      </c>
      <c r="U130" s="1125">
        <v>0</v>
      </c>
      <c r="V130" s="1127">
        <v>0</v>
      </c>
      <c r="W130" s="1127">
        <v>0</v>
      </c>
      <c r="X130" s="1124"/>
      <c r="Y130" s="1319"/>
      <c r="Z130" s="1319"/>
    </row>
    <row r="131" spans="1:26" ht="24">
      <c r="A131" s="1122" t="s">
        <v>774</v>
      </c>
      <c r="B131" s="1123" t="s">
        <v>1096</v>
      </c>
      <c r="C131" s="1123" t="s">
        <v>889</v>
      </c>
      <c r="D131" s="1123" t="s">
        <v>2387</v>
      </c>
      <c r="E131" s="1123"/>
      <c r="F131" s="1123" t="s">
        <v>2388</v>
      </c>
      <c r="G131" s="1123" t="s">
        <v>1940</v>
      </c>
      <c r="H131" s="1124" t="s">
        <v>2389</v>
      </c>
      <c r="I131" s="1123" t="s">
        <v>1944</v>
      </c>
      <c r="J131" s="1125">
        <v>0</v>
      </c>
      <c r="K131" s="1125">
        <v>63.34</v>
      </c>
      <c r="L131" s="1126"/>
      <c r="M131" s="1126"/>
      <c r="N131" s="1125">
        <v>63.34</v>
      </c>
      <c r="O131" s="1125">
        <v>63.34</v>
      </c>
      <c r="P131" s="1125">
        <v>0</v>
      </c>
      <c r="Q131" s="1125">
        <v>0</v>
      </c>
      <c r="R131" s="1125">
        <v>0</v>
      </c>
      <c r="S131" s="1125">
        <v>0</v>
      </c>
      <c r="T131" s="1125">
        <v>0</v>
      </c>
      <c r="U131" s="1125">
        <v>0</v>
      </c>
      <c r="V131" s="1127">
        <v>0</v>
      </c>
      <c r="W131" s="1127">
        <v>0</v>
      </c>
      <c r="X131" s="1124"/>
      <c r="Y131" s="1319"/>
      <c r="Z131" s="1319"/>
    </row>
    <row r="132" spans="1:26" ht="24">
      <c r="A132" s="1122" t="s">
        <v>1016</v>
      </c>
      <c r="B132" s="1123" t="s">
        <v>2390</v>
      </c>
      <c r="C132" s="1123" t="s">
        <v>894</v>
      </c>
      <c r="D132" s="1123" t="s">
        <v>2391</v>
      </c>
      <c r="E132" s="1123"/>
      <c r="F132" s="1123" t="s">
        <v>2392</v>
      </c>
      <c r="G132" s="1123" t="s">
        <v>2135</v>
      </c>
      <c r="H132" s="1124" t="s">
        <v>897</v>
      </c>
      <c r="I132" s="1123" t="s">
        <v>707</v>
      </c>
      <c r="J132" s="1125">
        <v>0</v>
      </c>
      <c r="K132" s="1125">
        <v>13.9</v>
      </c>
      <c r="L132" s="1126"/>
      <c r="M132" s="1126"/>
      <c r="N132" s="1125">
        <v>13.9</v>
      </c>
      <c r="O132" s="1125">
        <v>13.9</v>
      </c>
      <c r="P132" s="1125">
        <v>0</v>
      </c>
      <c r="Q132" s="1125">
        <v>0</v>
      </c>
      <c r="R132" s="1125">
        <v>0</v>
      </c>
      <c r="S132" s="1125">
        <v>0</v>
      </c>
      <c r="T132" s="1125">
        <v>0</v>
      </c>
      <c r="U132" s="1125">
        <v>0</v>
      </c>
      <c r="V132" s="1127">
        <v>0</v>
      </c>
      <c r="W132" s="1127">
        <v>0</v>
      </c>
      <c r="X132" s="1124"/>
      <c r="Y132" s="1319"/>
      <c r="Z132" s="1319"/>
    </row>
    <row r="133" spans="1:26" ht="24">
      <c r="A133" s="1122" t="s">
        <v>1016</v>
      </c>
      <c r="B133" s="1123" t="s">
        <v>2390</v>
      </c>
      <c r="C133" s="1123" t="s">
        <v>894</v>
      </c>
      <c r="D133" s="1123" t="s">
        <v>2391</v>
      </c>
      <c r="E133" s="1123"/>
      <c r="F133" s="1123" t="s">
        <v>2392</v>
      </c>
      <c r="G133" s="1123" t="s">
        <v>2135</v>
      </c>
      <c r="H133" s="1124" t="s">
        <v>897</v>
      </c>
      <c r="I133" s="1123" t="s">
        <v>713</v>
      </c>
      <c r="J133" s="1125">
        <v>0</v>
      </c>
      <c r="K133" s="1125">
        <v>6.5</v>
      </c>
      <c r="L133" s="1126"/>
      <c r="M133" s="1126"/>
      <c r="N133" s="1125">
        <v>6.5</v>
      </c>
      <c r="O133" s="1125">
        <v>6.5</v>
      </c>
      <c r="P133" s="1125">
        <v>0</v>
      </c>
      <c r="Q133" s="1125">
        <v>0</v>
      </c>
      <c r="R133" s="1125">
        <v>0</v>
      </c>
      <c r="S133" s="1125">
        <v>0</v>
      </c>
      <c r="T133" s="1125">
        <v>0</v>
      </c>
      <c r="U133" s="1125">
        <v>0</v>
      </c>
      <c r="V133" s="1127">
        <v>0</v>
      </c>
      <c r="W133" s="1127">
        <v>0</v>
      </c>
      <c r="X133" s="1124"/>
      <c r="Y133" s="1319"/>
      <c r="Z133" s="1319"/>
    </row>
    <row r="134" spans="1:26" ht="24">
      <c r="A134" s="1122" t="s">
        <v>1016</v>
      </c>
      <c r="B134" s="1123" t="s">
        <v>2390</v>
      </c>
      <c r="C134" s="1123" t="s">
        <v>894</v>
      </c>
      <c r="D134" s="1123" t="s">
        <v>2391</v>
      </c>
      <c r="E134" s="1123"/>
      <c r="F134" s="1123" t="s">
        <v>2392</v>
      </c>
      <c r="G134" s="1123" t="s">
        <v>2135</v>
      </c>
      <c r="H134" s="1124" t="s">
        <v>897</v>
      </c>
      <c r="I134" s="1123" t="s">
        <v>704</v>
      </c>
      <c r="J134" s="1125">
        <v>0</v>
      </c>
      <c r="K134" s="1125">
        <v>9.83</v>
      </c>
      <c r="L134" s="1126"/>
      <c r="M134" s="1126"/>
      <c r="N134" s="1125">
        <v>9.83</v>
      </c>
      <c r="O134" s="1125">
        <v>9.83</v>
      </c>
      <c r="P134" s="1125">
        <v>0</v>
      </c>
      <c r="Q134" s="1125">
        <v>0</v>
      </c>
      <c r="R134" s="1125">
        <v>0</v>
      </c>
      <c r="S134" s="1125">
        <v>0</v>
      </c>
      <c r="T134" s="1125">
        <v>0</v>
      </c>
      <c r="U134" s="1125">
        <v>0</v>
      </c>
      <c r="V134" s="1127">
        <v>0</v>
      </c>
      <c r="W134" s="1127">
        <v>0</v>
      </c>
      <c r="X134" s="1124"/>
      <c r="Y134" s="1319"/>
      <c r="Z134" s="1319"/>
    </row>
    <row r="135" spans="1:26" ht="24">
      <c r="A135" s="1122" t="s">
        <v>1016</v>
      </c>
      <c r="B135" s="1123" t="s">
        <v>2390</v>
      </c>
      <c r="C135" s="1123" t="s">
        <v>894</v>
      </c>
      <c r="D135" s="1123" t="s">
        <v>2391</v>
      </c>
      <c r="E135" s="1123"/>
      <c r="F135" s="1123" t="s">
        <v>2392</v>
      </c>
      <c r="G135" s="1123" t="s">
        <v>2135</v>
      </c>
      <c r="H135" s="1124" t="s">
        <v>897</v>
      </c>
      <c r="I135" s="1123" t="s">
        <v>1944</v>
      </c>
      <c r="J135" s="1125">
        <v>0</v>
      </c>
      <c r="K135" s="1125">
        <v>68.900000000000006</v>
      </c>
      <c r="L135" s="1126"/>
      <c r="M135" s="1126"/>
      <c r="N135" s="1125">
        <v>68.900000000000006</v>
      </c>
      <c r="O135" s="1125">
        <v>68.900000000000006</v>
      </c>
      <c r="P135" s="1125">
        <v>0</v>
      </c>
      <c r="Q135" s="1125">
        <v>0</v>
      </c>
      <c r="R135" s="1125">
        <v>0</v>
      </c>
      <c r="S135" s="1125">
        <v>0</v>
      </c>
      <c r="T135" s="1125">
        <v>0</v>
      </c>
      <c r="U135" s="1125">
        <v>0</v>
      </c>
      <c r="V135" s="1127">
        <v>0</v>
      </c>
      <c r="W135" s="1127">
        <v>0</v>
      </c>
      <c r="X135" s="1124"/>
      <c r="Y135" s="1319"/>
      <c r="Z135" s="1319"/>
    </row>
    <row r="136" spans="1:26" ht="24">
      <c r="A136" s="1122" t="s">
        <v>2393</v>
      </c>
      <c r="B136" s="1123" t="s">
        <v>1410</v>
      </c>
      <c r="C136" s="1123" t="s">
        <v>927</v>
      </c>
      <c r="D136" s="1123" t="s">
        <v>2394</v>
      </c>
      <c r="E136" s="1123" t="s">
        <v>2395</v>
      </c>
      <c r="F136" s="1123" t="s">
        <v>2396</v>
      </c>
      <c r="G136" s="1123" t="s">
        <v>1926</v>
      </c>
      <c r="H136" s="1124" t="s">
        <v>929</v>
      </c>
      <c r="I136" s="1123" t="s">
        <v>707</v>
      </c>
      <c r="J136" s="1125">
        <v>0</v>
      </c>
      <c r="K136" s="1125">
        <v>5.1100000000000003</v>
      </c>
      <c r="L136" s="1126"/>
      <c r="M136" s="1126"/>
      <c r="N136" s="1125">
        <v>5.1100000000000003</v>
      </c>
      <c r="O136" s="1125">
        <v>5.1100000000000003</v>
      </c>
      <c r="P136" s="1125">
        <v>0</v>
      </c>
      <c r="Q136" s="1125">
        <v>0</v>
      </c>
      <c r="R136" s="1125">
        <v>0</v>
      </c>
      <c r="S136" s="1125">
        <v>0</v>
      </c>
      <c r="T136" s="1125">
        <v>250</v>
      </c>
      <c r="U136" s="1125">
        <v>0</v>
      </c>
      <c r="V136" s="1127">
        <v>0</v>
      </c>
      <c r="W136" s="1127">
        <v>0</v>
      </c>
      <c r="X136" s="1124"/>
      <c r="Y136" s="1319"/>
      <c r="Z136" s="1319"/>
    </row>
    <row r="137" spans="1:26" ht="24">
      <c r="A137" s="1122" t="s">
        <v>2393</v>
      </c>
      <c r="B137" s="1123" t="s">
        <v>1410</v>
      </c>
      <c r="C137" s="1123" t="s">
        <v>927</v>
      </c>
      <c r="D137" s="1123" t="s">
        <v>2394</v>
      </c>
      <c r="E137" s="1123" t="s">
        <v>2395</v>
      </c>
      <c r="F137" s="1123" t="s">
        <v>2396</v>
      </c>
      <c r="G137" s="1123" t="s">
        <v>1926</v>
      </c>
      <c r="H137" s="1124" t="s">
        <v>929</v>
      </c>
      <c r="I137" s="1123" t="s">
        <v>713</v>
      </c>
      <c r="J137" s="1125">
        <v>0</v>
      </c>
      <c r="K137" s="1125">
        <v>6.5</v>
      </c>
      <c r="L137" s="1126"/>
      <c r="M137" s="1126"/>
      <c r="N137" s="1125">
        <v>6.5</v>
      </c>
      <c r="O137" s="1125">
        <v>6.5</v>
      </c>
      <c r="P137" s="1125">
        <v>0</v>
      </c>
      <c r="Q137" s="1125">
        <v>0</v>
      </c>
      <c r="R137" s="1125">
        <v>0</v>
      </c>
      <c r="S137" s="1125">
        <v>0</v>
      </c>
      <c r="T137" s="1125">
        <v>0</v>
      </c>
      <c r="U137" s="1125">
        <v>0</v>
      </c>
      <c r="V137" s="1127">
        <v>0</v>
      </c>
      <c r="W137" s="1127">
        <v>0</v>
      </c>
      <c r="X137" s="1124"/>
      <c r="Y137" s="1319"/>
      <c r="Z137" s="1319"/>
    </row>
    <row r="138" spans="1:26" ht="24">
      <c r="A138" s="1122" t="s">
        <v>2393</v>
      </c>
      <c r="B138" s="1123" t="s">
        <v>1410</v>
      </c>
      <c r="C138" s="1123" t="s">
        <v>927</v>
      </c>
      <c r="D138" s="1123" t="s">
        <v>2394</v>
      </c>
      <c r="E138" s="1123" t="s">
        <v>2395</v>
      </c>
      <c r="F138" s="1123" t="s">
        <v>2396</v>
      </c>
      <c r="G138" s="1123" t="s">
        <v>1926</v>
      </c>
      <c r="H138" s="1124" t="s">
        <v>929</v>
      </c>
      <c r="I138" s="1123" t="s">
        <v>704</v>
      </c>
      <c r="J138" s="1125">
        <v>0</v>
      </c>
      <c r="K138" s="1125">
        <v>9.83</v>
      </c>
      <c r="L138" s="1126"/>
      <c r="M138" s="1126"/>
      <c r="N138" s="1125">
        <v>9.83</v>
      </c>
      <c r="O138" s="1125">
        <v>9.83</v>
      </c>
      <c r="P138" s="1125">
        <v>0</v>
      </c>
      <c r="Q138" s="1125">
        <v>0</v>
      </c>
      <c r="R138" s="1125">
        <v>0</v>
      </c>
      <c r="S138" s="1125">
        <v>0</v>
      </c>
      <c r="T138" s="1125">
        <v>0</v>
      </c>
      <c r="U138" s="1125">
        <v>0</v>
      </c>
      <c r="V138" s="1127">
        <v>0</v>
      </c>
      <c r="W138" s="1127">
        <v>0</v>
      </c>
      <c r="X138" s="1124"/>
      <c r="Y138" s="1319"/>
      <c r="Z138" s="1319"/>
    </row>
    <row r="139" spans="1:26" ht="24">
      <c r="A139" s="1122" t="s">
        <v>2393</v>
      </c>
      <c r="B139" s="1123" t="s">
        <v>1410</v>
      </c>
      <c r="C139" s="1123" t="s">
        <v>927</v>
      </c>
      <c r="D139" s="1123" t="s">
        <v>2394</v>
      </c>
      <c r="E139" s="1123" t="s">
        <v>2395</v>
      </c>
      <c r="F139" s="1123" t="s">
        <v>2396</v>
      </c>
      <c r="G139" s="1123" t="s">
        <v>1926</v>
      </c>
      <c r="H139" s="1124" t="s">
        <v>929</v>
      </c>
      <c r="I139" s="1123" t="s">
        <v>1944</v>
      </c>
      <c r="J139" s="1125">
        <v>0</v>
      </c>
      <c r="K139" s="1125">
        <v>33.25</v>
      </c>
      <c r="L139" s="1126"/>
      <c r="M139" s="1126"/>
      <c r="N139" s="1125">
        <v>33.25</v>
      </c>
      <c r="O139" s="1125">
        <v>33.25</v>
      </c>
      <c r="P139" s="1125">
        <v>0</v>
      </c>
      <c r="Q139" s="1125">
        <v>0</v>
      </c>
      <c r="R139" s="1125">
        <v>0</v>
      </c>
      <c r="S139" s="1125">
        <v>0</v>
      </c>
      <c r="T139" s="1125">
        <v>0</v>
      </c>
      <c r="U139" s="1125">
        <v>0</v>
      </c>
      <c r="V139" s="1127">
        <v>0</v>
      </c>
      <c r="W139" s="1127">
        <v>0</v>
      </c>
      <c r="X139" s="1124"/>
      <c r="Y139" s="1319"/>
      <c r="Z139" s="1319"/>
    </row>
    <row r="140" spans="1:26" ht="24">
      <c r="A140" s="1122" t="s">
        <v>2397</v>
      </c>
      <c r="B140" s="1123" t="s">
        <v>1152</v>
      </c>
      <c r="C140" s="1123" t="s">
        <v>931</v>
      </c>
      <c r="D140" s="1123" t="s">
        <v>932</v>
      </c>
      <c r="E140" s="1123" t="s">
        <v>1928</v>
      </c>
      <c r="F140" s="1123" t="s">
        <v>2398</v>
      </c>
      <c r="G140" s="1123" t="s">
        <v>1926</v>
      </c>
      <c r="H140" s="1124" t="s">
        <v>933</v>
      </c>
      <c r="I140" s="1123" t="s">
        <v>707</v>
      </c>
      <c r="J140" s="1125">
        <v>0</v>
      </c>
      <c r="K140" s="1125">
        <v>8</v>
      </c>
      <c r="L140" s="1126"/>
      <c r="M140" s="1126"/>
      <c r="N140" s="1125">
        <v>8</v>
      </c>
      <c r="O140" s="1125">
        <v>8</v>
      </c>
      <c r="P140" s="1125">
        <v>0</v>
      </c>
      <c r="Q140" s="1125">
        <v>0</v>
      </c>
      <c r="R140" s="1125">
        <v>0</v>
      </c>
      <c r="S140" s="1125">
        <v>0</v>
      </c>
      <c r="T140" s="1125">
        <v>0</v>
      </c>
      <c r="U140" s="1125">
        <v>0</v>
      </c>
      <c r="V140" s="1127">
        <v>0</v>
      </c>
      <c r="W140" s="1127">
        <v>0</v>
      </c>
      <c r="X140" s="1124"/>
      <c r="Y140" s="1319"/>
      <c r="Z140" s="1319"/>
    </row>
    <row r="141" spans="1:26" ht="24">
      <c r="A141" s="1122" t="s">
        <v>2397</v>
      </c>
      <c r="B141" s="1123" t="s">
        <v>1152</v>
      </c>
      <c r="C141" s="1123" t="s">
        <v>931</v>
      </c>
      <c r="D141" s="1123" t="s">
        <v>932</v>
      </c>
      <c r="E141" s="1123" t="s">
        <v>1928</v>
      </c>
      <c r="F141" s="1123" t="s">
        <v>2398</v>
      </c>
      <c r="G141" s="1123" t="s">
        <v>1926</v>
      </c>
      <c r="H141" s="1124" t="s">
        <v>933</v>
      </c>
      <c r="I141" s="1123" t="s">
        <v>713</v>
      </c>
      <c r="J141" s="1125">
        <v>0</v>
      </c>
      <c r="K141" s="1125">
        <v>6.5</v>
      </c>
      <c r="L141" s="1126"/>
      <c r="M141" s="1126"/>
      <c r="N141" s="1125">
        <v>6.5</v>
      </c>
      <c r="O141" s="1125">
        <v>6.5</v>
      </c>
      <c r="P141" s="1125">
        <v>0</v>
      </c>
      <c r="Q141" s="1125">
        <v>0</v>
      </c>
      <c r="R141" s="1125">
        <v>0</v>
      </c>
      <c r="S141" s="1125">
        <v>0</v>
      </c>
      <c r="T141" s="1125">
        <v>0</v>
      </c>
      <c r="U141" s="1125">
        <v>0</v>
      </c>
      <c r="V141" s="1127">
        <v>0</v>
      </c>
      <c r="W141" s="1127">
        <v>0</v>
      </c>
      <c r="X141" s="1124"/>
      <c r="Y141" s="1319"/>
      <c r="Z141" s="1319"/>
    </row>
    <row r="142" spans="1:26" ht="24">
      <c r="A142" s="1122" t="s">
        <v>2397</v>
      </c>
      <c r="B142" s="1123" t="s">
        <v>1152</v>
      </c>
      <c r="C142" s="1123" t="s">
        <v>931</v>
      </c>
      <c r="D142" s="1123" t="s">
        <v>932</v>
      </c>
      <c r="E142" s="1123" t="s">
        <v>1928</v>
      </c>
      <c r="F142" s="1123" t="s">
        <v>2398</v>
      </c>
      <c r="G142" s="1123" t="s">
        <v>1926</v>
      </c>
      <c r="H142" s="1124" t="s">
        <v>933</v>
      </c>
      <c r="I142" s="1123" t="s">
        <v>704</v>
      </c>
      <c r="J142" s="1125">
        <v>0</v>
      </c>
      <c r="K142" s="1125">
        <v>9.83</v>
      </c>
      <c r="L142" s="1126"/>
      <c r="M142" s="1126"/>
      <c r="N142" s="1125">
        <v>9.83</v>
      </c>
      <c r="O142" s="1125">
        <v>9.83</v>
      </c>
      <c r="P142" s="1125">
        <v>0</v>
      </c>
      <c r="Q142" s="1125">
        <v>0</v>
      </c>
      <c r="R142" s="1125">
        <v>0</v>
      </c>
      <c r="S142" s="1125">
        <v>0</v>
      </c>
      <c r="T142" s="1125">
        <v>0</v>
      </c>
      <c r="U142" s="1125">
        <v>0</v>
      </c>
      <c r="V142" s="1127">
        <v>0</v>
      </c>
      <c r="W142" s="1127">
        <v>0</v>
      </c>
      <c r="X142" s="1124"/>
      <c r="Y142" s="1319"/>
      <c r="Z142" s="1319"/>
    </row>
    <row r="143" spans="1:26" ht="24">
      <c r="A143" s="1122" t="s">
        <v>2397</v>
      </c>
      <c r="B143" s="1123" t="s">
        <v>1152</v>
      </c>
      <c r="C143" s="1123" t="s">
        <v>931</v>
      </c>
      <c r="D143" s="1123" t="s">
        <v>932</v>
      </c>
      <c r="E143" s="1123" t="s">
        <v>1928</v>
      </c>
      <c r="F143" s="1123" t="s">
        <v>2398</v>
      </c>
      <c r="G143" s="1123" t="s">
        <v>1926</v>
      </c>
      <c r="H143" s="1124" t="s">
        <v>933</v>
      </c>
      <c r="I143" s="1123" t="s">
        <v>1944</v>
      </c>
      <c r="J143" s="1125">
        <v>0</v>
      </c>
      <c r="K143" s="1125">
        <v>28.7</v>
      </c>
      <c r="L143" s="1126"/>
      <c r="M143" s="1126"/>
      <c r="N143" s="1125">
        <v>28.7</v>
      </c>
      <c r="O143" s="1125">
        <v>28.7</v>
      </c>
      <c r="P143" s="1125">
        <v>0</v>
      </c>
      <c r="Q143" s="1125">
        <v>0</v>
      </c>
      <c r="R143" s="1125">
        <v>0</v>
      </c>
      <c r="S143" s="1125">
        <v>0</v>
      </c>
      <c r="T143" s="1125">
        <v>0</v>
      </c>
      <c r="U143" s="1125">
        <v>0</v>
      </c>
      <c r="V143" s="1127">
        <v>0</v>
      </c>
      <c r="W143" s="1127">
        <v>0</v>
      </c>
      <c r="X143" s="1124"/>
      <c r="Y143" s="1319"/>
      <c r="Z143" s="1319"/>
    </row>
    <row r="144" spans="1:26" ht="24">
      <c r="A144" s="1122" t="s">
        <v>2399</v>
      </c>
      <c r="B144" s="1123" t="s">
        <v>2400</v>
      </c>
      <c r="C144" s="1123" t="s">
        <v>935</v>
      </c>
      <c r="D144" s="1123" t="s">
        <v>2401</v>
      </c>
      <c r="E144" s="1123" t="s">
        <v>2402</v>
      </c>
      <c r="F144" s="1123" t="s">
        <v>2403</v>
      </c>
      <c r="G144" s="1123" t="s">
        <v>1940</v>
      </c>
      <c r="H144" s="1124" t="s">
        <v>2404</v>
      </c>
      <c r="I144" s="1123" t="s">
        <v>707</v>
      </c>
      <c r="J144" s="1125">
        <v>0</v>
      </c>
      <c r="K144" s="1125">
        <v>2.92</v>
      </c>
      <c r="L144" s="1126"/>
      <c r="M144" s="1126"/>
      <c r="N144" s="1125">
        <v>2.92</v>
      </c>
      <c r="O144" s="1125">
        <v>2.92</v>
      </c>
      <c r="P144" s="1125">
        <v>0</v>
      </c>
      <c r="Q144" s="1125">
        <v>0</v>
      </c>
      <c r="R144" s="1125">
        <v>0</v>
      </c>
      <c r="S144" s="1125">
        <v>0</v>
      </c>
      <c r="T144" s="1125">
        <v>250</v>
      </c>
      <c r="U144" s="1125">
        <v>0</v>
      </c>
      <c r="V144" s="1127">
        <v>0</v>
      </c>
      <c r="W144" s="1127">
        <v>0</v>
      </c>
      <c r="X144" s="1124"/>
      <c r="Y144" s="1319"/>
      <c r="Z144" s="1319"/>
    </row>
    <row r="145" spans="1:26" ht="24">
      <c r="A145" s="1122" t="s">
        <v>2399</v>
      </c>
      <c r="B145" s="1123" t="s">
        <v>2400</v>
      </c>
      <c r="C145" s="1123" t="s">
        <v>935</v>
      </c>
      <c r="D145" s="1123" t="s">
        <v>2401</v>
      </c>
      <c r="E145" s="1123" t="s">
        <v>2402</v>
      </c>
      <c r="F145" s="1123" t="s">
        <v>2403</v>
      </c>
      <c r="G145" s="1123" t="s">
        <v>1940</v>
      </c>
      <c r="H145" s="1124" t="s">
        <v>2404</v>
      </c>
      <c r="I145" s="1123" t="s">
        <v>713</v>
      </c>
      <c r="J145" s="1125">
        <v>0</v>
      </c>
      <c r="K145" s="1125">
        <v>5</v>
      </c>
      <c r="L145" s="1126"/>
      <c r="M145" s="1126"/>
      <c r="N145" s="1125">
        <v>5</v>
      </c>
      <c r="O145" s="1125">
        <v>5</v>
      </c>
      <c r="P145" s="1125">
        <v>0</v>
      </c>
      <c r="Q145" s="1125">
        <v>0</v>
      </c>
      <c r="R145" s="1125">
        <v>0</v>
      </c>
      <c r="S145" s="1125">
        <v>0</v>
      </c>
      <c r="T145" s="1125">
        <v>0</v>
      </c>
      <c r="U145" s="1125">
        <v>0</v>
      </c>
      <c r="V145" s="1127">
        <v>0</v>
      </c>
      <c r="W145" s="1127">
        <v>0</v>
      </c>
      <c r="X145" s="1124"/>
      <c r="Y145" s="1319"/>
      <c r="Z145" s="1319"/>
    </row>
    <row r="146" spans="1:26" ht="24">
      <c r="A146" s="1122" t="s">
        <v>2399</v>
      </c>
      <c r="B146" s="1123" t="s">
        <v>2400</v>
      </c>
      <c r="C146" s="1123" t="s">
        <v>935</v>
      </c>
      <c r="D146" s="1123" t="s">
        <v>2401</v>
      </c>
      <c r="E146" s="1123" t="s">
        <v>2402</v>
      </c>
      <c r="F146" s="1123" t="s">
        <v>2403</v>
      </c>
      <c r="G146" s="1123" t="s">
        <v>1940</v>
      </c>
      <c r="H146" s="1124" t="s">
        <v>2404</v>
      </c>
      <c r="I146" s="1123" t="s">
        <v>704</v>
      </c>
      <c r="J146" s="1125">
        <v>0</v>
      </c>
      <c r="K146" s="1125">
        <v>6.83</v>
      </c>
      <c r="L146" s="1126"/>
      <c r="M146" s="1126"/>
      <c r="N146" s="1125">
        <v>6.83</v>
      </c>
      <c r="O146" s="1125">
        <v>6.83</v>
      </c>
      <c r="P146" s="1125">
        <v>0</v>
      </c>
      <c r="Q146" s="1125">
        <v>0</v>
      </c>
      <c r="R146" s="1125">
        <v>0</v>
      </c>
      <c r="S146" s="1125">
        <v>0</v>
      </c>
      <c r="T146" s="1125">
        <v>0</v>
      </c>
      <c r="U146" s="1125">
        <v>0</v>
      </c>
      <c r="V146" s="1127">
        <v>0</v>
      </c>
      <c r="W146" s="1127">
        <v>0</v>
      </c>
      <c r="X146" s="1124"/>
      <c r="Y146" s="1319"/>
      <c r="Z146" s="1319"/>
    </row>
    <row r="147" spans="1:26" ht="24">
      <c r="A147" s="1122" t="s">
        <v>2399</v>
      </c>
      <c r="B147" s="1123" t="s">
        <v>2400</v>
      </c>
      <c r="C147" s="1123" t="s">
        <v>935</v>
      </c>
      <c r="D147" s="1123" t="s">
        <v>2401</v>
      </c>
      <c r="E147" s="1123" t="s">
        <v>2402</v>
      </c>
      <c r="F147" s="1123" t="s">
        <v>2403</v>
      </c>
      <c r="G147" s="1123" t="s">
        <v>1940</v>
      </c>
      <c r="H147" s="1124" t="s">
        <v>2404</v>
      </c>
      <c r="I147" s="1123" t="s">
        <v>1944</v>
      </c>
      <c r="J147" s="1125">
        <v>0</v>
      </c>
      <c r="K147" s="1125">
        <v>25.99</v>
      </c>
      <c r="L147" s="1126"/>
      <c r="M147" s="1126"/>
      <c r="N147" s="1125">
        <v>25.99</v>
      </c>
      <c r="O147" s="1125">
        <v>25.99</v>
      </c>
      <c r="P147" s="1125">
        <v>0</v>
      </c>
      <c r="Q147" s="1125">
        <v>0</v>
      </c>
      <c r="R147" s="1125">
        <v>0</v>
      </c>
      <c r="S147" s="1125">
        <v>0</v>
      </c>
      <c r="T147" s="1125">
        <v>0</v>
      </c>
      <c r="U147" s="1125">
        <v>0</v>
      </c>
      <c r="V147" s="1127">
        <v>0</v>
      </c>
      <c r="W147" s="1127">
        <v>0</v>
      </c>
      <c r="X147" s="1124"/>
      <c r="Y147" s="1319"/>
      <c r="Z147" s="1319"/>
    </row>
    <row r="148" spans="1:26" ht="24">
      <c r="A148" s="1122" t="s">
        <v>2405</v>
      </c>
      <c r="B148" s="1123" t="s">
        <v>2406</v>
      </c>
      <c r="C148" s="1123" t="s">
        <v>936</v>
      </c>
      <c r="D148" s="1123" t="s">
        <v>937</v>
      </c>
      <c r="E148" s="1123" t="s">
        <v>1928</v>
      </c>
      <c r="F148" s="1123" t="s">
        <v>2407</v>
      </c>
      <c r="G148" s="1123" t="s">
        <v>1926</v>
      </c>
      <c r="H148" s="1124" t="s">
        <v>938</v>
      </c>
      <c r="I148" s="1123" t="s">
        <v>707</v>
      </c>
      <c r="J148" s="1125">
        <v>0</v>
      </c>
      <c r="K148" s="1125">
        <v>11.97</v>
      </c>
      <c r="L148" s="1126"/>
      <c r="M148" s="1126"/>
      <c r="N148" s="1125">
        <v>11.97</v>
      </c>
      <c r="O148" s="1125">
        <v>11.97</v>
      </c>
      <c r="P148" s="1125">
        <v>0</v>
      </c>
      <c r="Q148" s="1125">
        <v>0</v>
      </c>
      <c r="R148" s="1125">
        <v>0</v>
      </c>
      <c r="S148" s="1125">
        <v>0</v>
      </c>
      <c r="T148" s="1125">
        <v>0</v>
      </c>
      <c r="U148" s="1125">
        <v>0</v>
      </c>
      <c r="V148" s="1127">
        <v>0</v>
      </c>
      <c r="W148" s="1127">
        <v>0</v>
      </c>
      <c r="X148" s="1124"/>
      <c r="Y148" s="1319"/>
      <c r="Z148" s="1319"/>
    </row>
    <row r="149" spans="1:26" ht="24">
      <c r="A149" s="1122" t="s">
        <v>2405</v>
      </c>
      <c r="B149" s="1123" t="s">
        <v>2406</v>
      </c>
      <c r="C149" s="1123" t="s">
        <v>936</v>
      </c>
      <c r="D149" s="1123" t="s">
        <v>937</v>
      </c>
      <c r="E149" s="1123" t="s">
        <v>1928</v>
      </c>
      <c r="F149" s="1123" t="s">
        <v>2407</v>
      </c>
      <c r="G149" s="1123" t="s">
        <v>1926</v>
      </c>
      <c r="H149" s="1124" t="s">
        <v>938</v>
      </c>
      <c r="I149" s="1123" t="s">
        <v>713</v>
      </c>
      <c r="J149" s="1125">
        <v>0</v>
      </c>
      <c r="K149" s="1125">
        <v>6.5</v>
      </c>
      <c r="L149" s="1126"/>
      <c r="M149" s="1126"/>
      <c r="N149" s="1125">
        <v>6.5</v>
      </c>
      <c r="O149" s="1125">
        <v>6.5</v>
      </c>
      <c r="P149" s="1125">
        <v>0</v>
      </c>
      <c r="Q149" s="1125">
        <v>0</v>
      </c>
      <c r="R149" s="1125">
        <v>0</v>
      </c>
      <c r="S149" s="1125">
        <v>0</v>
      </c>
      <c r="T149" s="1125">
        <v>0</v>
      </c>
      <c r="U149" s="1125">
        <v>0</v>
      </c>
      <c r="V149" s="1127">
        <v>0</v>
      </c>
      <c r="W149" s="1127">
        <v>0</v>
      </c>
      <c r="X149" s="1124"/>
      <c r="Y149" s="1319"/>
      <c r="Z149" s="1319"/>
    </row>
    <row r="150" spans="1:26" ht="24">
      <c r="A150" s="1122" t="s">
        <v>2405</v>
      </c>
      <c r="B150" s="1123" t="s">
        <v>2406</v>
      </c>
      <c r="C150" s="1123" t="s">
        <v>936</v>
      </c>
      <c r="D150" s="1123" t="s">
        <v>937</v>
      </c>
      <c r="E150" s="1123" t="s">
        <v>1928</v>
      </c>
      <c r="F150" s="1123" t="s">
        <v>2407</v>
      </c>
      <c r="G150" s="1123" t="s">
        <v>1926</v>
      </c>
      <c r="H150" s="1124" t="s">
        <v>938</v>
      </c>
      <c r="I150" s="1123" t="s">
        <v>1927</v>
      </c>
      <c r="J150" s="1125">
        <v>0</v>
      </c>
      <c r="K150" s="1125">
        <v>13.95</v>
      </c>
      <c r="L150" s="1126"/>
      <c r="M150" s="1126"/>
      <c r="N150" s="1125">
        <v>13.95</v>
      </c>
      <c r="O150" s="1125">
        <v>13.95</v>
      </c>
      <c r="P150" s="1125">
        <v>0</v>
      </c>
      <c r="Q150" s="1125">
        <v>0</v>
      </c>
      <c r="R150" s="1125">
        <v>0</v>
      </c>
      <c r="S150" s="1125">
        <v>0</v>
      </c>
      <c r="T150" s="1125">
        <v>0</v>
      </c>
      <c r="U150" s="1125">
        <v>0</v>
      </c>
      <c r="V150" s="1127">
        <v>0</v>
      </c>
      <c r="W150" s="1127">
        <v>0</v>
      </c>
      <c r="X150" s="1124"/>
      <c r="Y150" s="1319"/>
      <c r="Z150" s="1319"/>
    </row>
    <row r="151" spans="1:26" ht="24">
      <c r="A151" s="1122" t="s">
        <v>2405</v>
      </c>
      <c r="B151" s="1123" t="s">
        <v>2406</v>
      </c>
      <c r="C151" s="1123" t="s">
        <v>936</v>
      </c>
      <c r="D151" s="1123" t="s">
        <v>937</v>
      </c>
      <c r="E151" s="1123" t="s">
        <v>1928</v>
      </c>
      <c r="F151" s="1123" t="s">
        <v>2407</v>
      </c>
      <c r="G151" s="1123" t="s">
        <v>1926</v>
      </c>
      <c r="H151" s="1124" t="s">
        <v>938</v>
      </c>
      <c r="I151" s="1123" t="s">
        <v>704</v>
      </c>
      <c r="J151" s="1125">
        <v>0</v>
      </c>
      <c r="K151" s="1125">
        <v>9.83</v>
      </c>
      <c r="L151" s="1126"/>
      <c r="M151" s="1126"/>
      <c r="N151" s="1125">
        <v>9.83</v>
      </c>
      <c r="O151" s="1125">
        <v>9.83</v>
      </c>
      <c r="P151" s="1125">
        <v>0</v>
      </c>
      <c r="Q151" s="1125">
        <v>0</v>
      </c>
      <c r="R151" s="1125">
        <v>0</v>
      </c>
      <c r="S151" s="1125">
        <v>0</v>
      </c>
      <c r="T151" s="1125">
        <v>0</v>
      </c>
      <c r="U151" s="1125">
        <v>0</v>
      </c>
      <c r="V151" s="1127">
        <v>0</v>
      </c>
      <c r="W151" s="1127">
        <v>0</v>
      </c>
      <c r="X151" s="1124"/>
      <c r="Y151" s="1319"/>
      <c r="Z151" s="1319"/>
    </row>
    <row r="152" spans="1:26" ht="24">
      <c r="A152" s="1122" t="s">
        <v>2405</v>
      </c>
      <c r="B152" s="1123" t="s">
        <v>2406</v>
      </c>
      <c r="C152" s="1123" t="s">
        <v>936</v>
      </c>
      <c r="D152" s="1123" t="s">
        <v>937</v>
      </c>
      <c r="E152" s="1123" t="s">
        <v>1928</v>
      </c>
      <c r="F152" s="1123" t="s">
        <v>2407</v>
      </c>
      <c r="G152" s="1123" t="s">
        <v>1926</v>
      </c>
      <c r="H152" s="1124" t="s">
        <v>938</v>
      </c>
      <c r="I152" s="1123" t="s">
        <v>1944</v>
      </c>
      <c r="J152" s="1125">
        <v>0</v>
      </c>
      <c r="K152" s="1125">
        <v>52.16</v>
      </c>
      <c r="L152" s="1126"/>
      <c r="M152" s="1126"/>
      <c r="N152" s="1125">
        <v>52.16</v>
      </c>
      <c r="O152" s="1125">
        <v>52.16</v>
      </c>
      <c r="P152" s="1125">
        <v>0</v>
      </c>
      <c r="Q152" s="1125">
        <v>0</v>
      </c>
      <c r="R152" s="1125">
        <v>0</v>
      </c>
      <c r="S152" s="1125">
        <v>0</v>
      </c>
      <c r="T152" s="1125">
        <v>0</v>
      </c>
      <c r="U152" s="1125">
        <v>0</v>
      </c>
      <c r="V152" s="1127">
        <v>0</v>
      </c>
      <c r="W152" s="1127">
        <v>0</v>
      </c>
      <c r="X152" s="1124"/>
      <c r="Y152" s="1319"/>
      <c r="Z152" s="1319"/>
    </row>
    <row r="153" spans="1:26" ht="24">
      <c r="A153" s="1122" t="s">
        <v>1051</v>
      </c>
      <c r="B153" s="1123" t="s">
        <v>2408</v>
      </c>
      <c r="C153" s="1123" t="s">
        <v>940</v>
      </c>
      <c r="D153" s="1123" t="s">
        <v>941</v>
      </c>
      <c r="E153" s="1123" t="s">
        <v>2409</v>
      </c>
      <c r="F153" s="1123" t="s">
        <v>2410</v>
      </c>
      <c r="G153" s="1123" t="s">
        <v>1926</v>
      </c>
      <c r="H153" s="1124" t="s">
        <v>1846</v>
      </c>
      <c r="I153" s="1123" t="s">
        <v>707</v>
      </c>
      <c r="J153" s="1125">
        <v>0</v>
      </c>
      <c r="K153" s="1125">
        <v>4.51</v>
      </c>
      <c r="L153" s="1126"/>
      <c r="M153" s="1126"/>
      <c r="N153" s="1125">
        <v>4.51</v>
      </c>
      <c r="O153" s="1125">
        <v>4.51</v>
      </c>
      <c r="P153" s="1125">
        <v>0</v>
      </c>
      <c r="Q153" s="1125">
        <v>0</v>
      </c>
      <c r="R153" s="1125">
        <v>0</v>
      </c>
      <c r="S153" s="1125">
        <v>0</v>
      </c>
      <c r="T153" s="1125">
        <v>0</v>
      </c>
      <c r="U153" s="1125">
        <v>0</v>
      </c>
      <c r="V153" s="1127">
        <v>0</v>
      </c>
      <c r="W153" s="1127">
        <v>0</v>
      </c>
      <c r="X153" s="1124"/>
      <c r="Y153" s="1319"/>
      <c r="Z153" s="1319"/>
    </row>
    <row r="154" spans="1:26" ht="24">
      <c r="A154" s="1122" t="s">
        <v>1051</v>
      </c>
      <c r="B154" s="1123" t="s">
        <v>2408</v>
      </c>
      <c r="C154" s="1123" t="s">
        <v>940</v>
      </c>
      <c r="D154" s="1123" t="s">
        <v>941</v>
      </c>
      <c r="E154" s="1123" t="s">
        <v>2409</v>
      </c>
      <c r="F154" s="1123" t="s">
        <v>2410</v>
      </c>
      <c r="G154" s="1123" t="s">
        <v>1926</v>
      </c>
      <c r="H154" s="1124" t="s">
        <v>1846</v>
      </c>
      <c r="I154" s="1123" t="s">
        <v>713</v>
      </c>
      <c r="J154" s="1125">
        <v>0</v>
      </c>
      <c r="K154" s="1125">
        <v>5</v>
      </c>
      <c r="L154" s="1126"/>
      <c r="M154" s="1126"/>
      <c r="N154" s="1125">
        <v>5</v>
      </c>
      <c r="O154" s="1125">
        <v>5</v>
      </c>
      <c r="P154" s="1125">
        <v>0</v>
      </c>
      <c r="Q154" s="1125">
        <v>0</v>
      </c>
      <c r="R154" s="1125">
        <v>0</v>
      </c>
      <c r="S154" s="1125">
        <v>0</v>
      </c>
      <c r="T154" s="1125">
        <v>0</v>
      </c>
      <c r="U154" s="1125">
        <v>0</v>
      </c>
      <c r="V154" s="1127">
        <v>0</v>
      </c>
      <c r="W154" s="1127">
        <v>0</v>
      </c>
      <c r="X154" s="1124"/>
      <c r="Y154" s="1319"/>
      <c r="Z154" s="1319"/>
    </row>
    <row r="155" spans="1:26" ht="24">
      <c r="A155" s="1122" t="s">
        <v>1051</v>
      </c>
      <c r="B155" s="1123" t="s">
        <v>2408</v>
      </c>
      <c r="C155" s="1123" t="s">
        <v>940</v>
      </c>
      <c r="D155" s="1123" t="s">
        <v>941</v>
      </c>
      <c r="E155" s="1123" t="s">
        <v>2409</v>
      </c>
      <c r="F155" s="1123" t="s">
        <v>2410</v>
      </c>
      <c r="G155" s="1123" t="s">
        <v>1926</v>
      </c>
      <c r="H155" s="1124" t="s">
        <v>1846</v>
      </c>
      <c r="I155" s="1123" t="s">
        <v>704</v>
      </c>
      <c r="J155" s="1125">
        <v>0</v>
      </c>
      <c r="K155" s="1125">
        <v>6.83</v>
      </c>
      <c r="L155" s="1126"/>
      <c r="M155" s="1126"/>
      <c r="N155" s="1125">
        <v>6.83</v>
      </c>
      <c r="O155" s="1125">
        <v>6.83</v>
      </c>
      <c r="P155" s="1125">
        <v>0</v>
      </c>
      <c r="Q155" s="1125">
        <v>0</v>
      </c>
      <c r="R155" s="1125">
        <v>0</v>
      </c>
      <c r="S155" s="1125">
        <v>0</v>
      </c>
      <c r="T155" s="1125">
        <v>0</v>
      </c>
      <c r="U155" s="1125">
        <v>0</v>
      </c>
      <c r="V155" s="1127">
        <v>0</v>
      </c>
      <c r="W155" s="1127">
        <v>0</v>
      </c>
      <c r="X155" s="1124"/>
      <c r="Y155" s="1319"/>
      <c r="Z155" s="1319"/>
    </row>
    <row r="156" spans="1:26" ht="24">
      <c r="A156" s="1122" t="s">
        <v>1051</v>
      </c>
      <c r="B156" s="1123" t="s">
        <v>2408</v>
      </c>
      <c r="C156" s="1123" t="s">
        <v>940</v>
      </c>
      <c r="D156" s="1123" t="s">
        <v>941</v>
      </c>
      <c r="E156" s="1123" t="s">
        <v>2409</v>
      </c>
      <c r="F156" s="1123" t="s">
        <v>2410</v>
      </c>
      <c r="G156" s="1123" t="s">
        <v>1926</v>
      </c>
      <c r="H156" s="1124" t="s">
        <v>1846</v>
      </c>
      <c r="I156" s="1123" t="s">
        <v>1944</v>
      </c>
      <c r="J156" s="1125">
        <v>0</v>
      </c>
      <c r="K156" s="1125">
        <v>24.13</v>
      </c>
      <c r="L156" s="1126"/>
      <c r="M156" s="1126"/>
      <c r="N156" s="1125">
        <v>24.13</v>
      </c>
      <c r="O156" s="1125">
        <v>24.13</v>
      </c>
      <c r="P156" s="1125">
        <v>0</v>
      </c>
      <c r="Q156" s="1125">
        <v>0</v>
      </c>
      <c r="R156" s="1125">
        <v>0</v>
      </c>
      <c r="S156" s="1125">
        <v>0</v>
      </c>
      <c r="T156" s="1125">
        <v>0</v>
      </c>
      <c r="U156" s="1125">
        <v>0</v>
      </c>
      <c r="V156" s="1127">
        <v>0</v>
      </c>
      <c r="W156" s="1127">
        <v>0</v>
      </c>
      <c r="X156" s="1124"/>
      <c r="Y156" s="1319"/>
      <c r="Z156" s="1319"/>
    </row>
    <row r="157" spans="1:26" ht="24">
      <c r="A157" s="1122" t="s">
        <v>1014</v>
      </c>
      <c r="B157" s="1123" t="s">
        <v>2411</v>
      </c>
      <c r="C157" s="1123" t="s">
        <v>945</v>
      </c>
      <c r="D157" s="1123" t="s">
        <v>2412</v>
      </c>
      <c r="E157" s="1123" t="s">
        <v>2413</v>
      </c>
      <c r="F157" s="1123" t="s">
        <v>2414</v>
      </c>
      <c r="G157" s="1123" t="s">
        <v>1926</v>
      </c>
      <c r="H157" s="1124" t="s">
        <v>947</v>
      </c>
      <c r="I157" s="1123" t="s">
        <v>707</v>
      </c>
      <c r="J157" s="1125">
        <v>0</v>
      </c>
      <c r="K157" s="1125">
        <v>2.5499999999999998</v>
      </c>
      <c r="L157" s="1126"/>
      <c r="M157" s="1126"/>
      <c r="N157" s="1125">
        <v>2.5499999999999998</v>
      </c>
      <c r="O157" s="1125">
        <v>2.5499999999999998</v>
      </c>
      <c r="P157" s="1125">
        <v>0</v>
      </c>
      <c r="Q157" s="1125">
        <v>0</v>
      </c>
      <c r="R157" s="1125">
        <v>0</v>
      </c>
      <c r="S157" s="1125">
        <v>0</v>
      </c>
      <c r="T157" s="1125">
        <v>0</v>
      </c>
      <c r="U157" s="1125">
        <v>0</v>
      </c>
      <c r="V157" s="1127">
        <v>0</v>
      </c>
      <c r="W157" s="1127">
        <v>0</v>
      </c>
      <c r="X157" s="1124"/>
      <c r="Y157" s="1319"/>
      <c r="Z157" s="1319"/>
    </row>
    <row r="158" spans="1:26" ht="24">
      <c r="A158" s="1122" t="s">
        <v>1014</v>
      </c>
      <c r="B158" s="1123" t="s">
        <v>2411</v>
      </c>
      <c r="C158" s="1123" t="s">
        <v>945</v>
      </c>
      <c r="D158" s="1123" t="s">
        <v>2412</v>
      </c>
      <c r="E158" s="1123" t="s">
        <v>2413</v>
      </c>
      <c r="F158" s="1123" t="s">
        <v>2414</v>
      </c>
      <c r="G158" s="1123" t="s">
        <v>1926</v>
      </c>
      <c r="H158" s="1124" t="s">
        <v>947</v>
      </c>
      <c r="I158" s="1123" t="s">
        <v>713</v>
      </c>
      <c r="J158" s="1125">
        <v>0</v>
      </c>
      <c r="K158" s="1125">
        <v>6.5</v>
      </c>
      <c r="L158" s="1126"/>
      <c r="M158" s="1126"/>
      <c r="N158" s="1125">
        <v>6.5</v>
      </c>
      <c r="O158" s="1125">
        <v>6.5</v>
      </c>
      <c r="P158" s="1125">
        <v>0</v>
      </c>
      <c r="Q158" s="1125">
        <v>0</v>
      </c>
      <c r="R158" s="1125">
        <v>0</v>
      </c>
      <c r="S158" s="1125">
        <v>0</v>
      </c>
      <c r="T158" s="1125">
        <v>0</v>
      </c>
      <c r="U158" s="1125">
        <v>0</v>
      </c>
      <c r="V158" s="1127">
        <v>0</v>
      </c>
      <c r="W158" s="1127">
        <v>0</v>
      </c>
      <c r="X158" s="1124"/>
      <c r="Y158" s="1319"/>
      <c r="Z158" s="1319"/>
    </row>
    <row r="159" spans="1:26" ht="24">
      <c r="A159" s="1122" t="s">
        <v>1014</v>
      </c>
      <c r="B159" s="1123" t="s">
        <v>2411</v>
      </c>
      <c r="C159" s="1123" t="s">
        <v>945</v>
      </c>
      <c r="D159" s="1123" t="s">
        <v>2412</v>
      </c>
      <c r="E159" s="1123" t="s">
        <v>2413</v>
      </c>
      <c r="F159" s="1123" t="s">
        <v>2414</v>
      </c>
      <c r="G159" s="1123" t="s">
        <v>1926</v>
      </c>
      <c r="H159" s="1124" t="s">
        <v>947</v>
      </c>
      <c r="I159" s="1123" t="s">
        <v>704</v>
      </c>
      <c r="J159" s="1125">
        <v>0</v>
      </c>
      <c r="K159" s="1125">
        <v>9.83</v>
      </c>
      <c r="L159" s="1126"/>
      <c r="M159" s="1126"/>
      <c r="N159" s="1125">
        <v>9.83</v>
      </c>
      <c r="O159" s="1125">
        <v>9.83</v>
      </c>
      <c r="P159" s="1125">
        <v>0</v>
      </c>
      <c r="Q159" s="1125">
        <v>0</v>
      </c>
      <c r="R159" s="1125">
        <v>0</v>
      </c>
      <c r="S159" s="1125">
        <v>0</v>
      </c>
      <c r="T159" s="1125">
        <v>0</v>
      </c>
      <c r="U159" s="1125">
        <v>0</v>
      </c>
      <c r="V159" s="1127">
        <v>0</v>
      </c>
      <c r="W159" s="1127">
        <v>0</v>
      </c>
      <c r="X159" s="1124"/>
      <c r="Y159" s="1319"/>
      <c r="Z159" s="1319"/>
    </row>
    <row r="160" spans="1:26" ht="24">
      <c r="A160" s="1122" t="s">
        <v>1014</v>
      </c>
      <c r="B160" s="1123" t="s">
        <v>2411</v>
      </c>
      <c r="C160" s="1123" t="s">
        <v>945</v>
      </c>
      <c r="D160" s="1123" t="s">
        <v>2412</v>
      </c>
      <c r="E160" s="1123" t="s">
        <v>2413</v>
      </c>
      <c r="F160" s="1123" t="s">
        <v>2414</v>
      </c>
      <c r="G160" s="1123" t="s">
        <v>1926</v>
      </c>
      <c r="H160" s="1124" t="s">
        <v>947</v>
      </c>
      <c r="I160" s="1123" t="s">
        <v>1944</v>
      </c>
      <c r="J160" s="1125">
        <v>0</v>
      </c>
      <c r="K160" s="1125">
        <v>8.34</v>
      </c>
      <c r="L160" s="1126"/>
      <c r="M160" s="1126"/>
      <c r="N160" s="1125">
        <v>8.34</v>
      </c>
      <c r="O160" s="1125">
        <v>8.34</v>
      </c>
      <c r="P160" s="1125">
        <v>0</v>
      </c>
      <c r="Q160" s="1125">
        <v>0</v>
      </c>
      <c r="R160" s="1125">
        <v>0</v>
      </c>
      <c r="S160" s="1125">
        <v>0</v>
      </c>
      <c r="T160" s="1125">
        <v>0</v>
      </c>
      <c r="U160" s="1125">
        <v>0</v>
      </c>
      <c r="V160" s="1127">
        <v>0</v>
      </c>
      <c r="W160" s="1127">
        <v>0</v>
      </c>
      <c r="X160" s="1124"/>
      <c r="Y160" s="1319"/>
      <c r="Z160" s="1319"/>
    </row>
    <row r="161" spans="1:26" ht="24">
      <c r="A161" s="1122" t="s">
        <v>2415</v>
      </c>
      <c r="B161" s="1123" t="s">
        <v>2416</v>
      </c>
      <c r="C161" s="1123" t="s">
        <v>949</v>
      </c>
      <c r="D161" s="1123" t="s">
        <v>2417</v>
      </c>
      <c r="E161" s="1123"/>
      <c r="F161" s="1123" t="s">
        <v>2418</v>
      </c>
      <c r="G161" s="1123" t="s">
        <v>1926</v>
      </c>
      <c r="H161" s="1124" t="s">
        <v>742</v>
      </c>
      <c r="I161" s="1123" t="s">
        <v>707</v>
      </c>
      <c r="J161" s="1125">
        <v>0</v>
      </c>
      <c r="K161" s="1125">
        <v>40.57</v>
      </c>
      <c r="L161" s="1126"/>
      <c r="M161" s="1126"/>
      <c r="N161" s="1125">
        <v>40.57</v>
      </c>
      <c r="O161" s="1125">
        <v>40.57</v>
      </c>
      <c r="P161" s="1125">
        <v>0</v>
      </c>
      <c r="Q161" s="1125">
        <v>0</v>
      </c>
      <c r="R161" s="1125">
        <v>0</v>
      </c>
      <c r="S161" s="1125">
        <v>0</v>
      </c>
      <c r="T161" s="1125">
        <v>0</v>
      </c>
      <c r="U161" s="1125">
        <v>0</v>
      </c>
      <c r="V161" s="1127">
        <v>0</v>
      </c>
      <c r="W161" s="1127">
        <v>0</v>
      </c>
      <c r="X161" s="1124"/>
      <c r="Y161" s="1319"/>
      <c r="Z161" s="1319"/>
    </row>
    <row r="162" spans="1:26" ht="24">
      <c r="A162" s="1122" t="s">
        <v>2415</v>
      </c>
      <c r="B162" s="1123" t="s">
        <v>2416</v>
      </c>
      <c r="C162" s="1123" t="s">
        <v>949</v>
      </c>
      <c r="D162" s="1123" t="s">
        <v>2417</v>
      </c>
      <c r="E162" s="1123"/>
      <c r="F162" s="1123" t="s">
        <v>2418</v>
      </c>
      <c r="G162" s="1123" t="s">
        <v>1926</v>
      </c>
      <c r="H162" s="1124" t="s">
        <v>742</v>
      </c>
      <c r="I162" s="1123" t="s">
        <v>713</v>
      </c>
      <c r="J162" s="1125">
        <v>0</v>
      </c>
      <c r="K162" s="1125">
        <v>6.5</v>
      </c>
      <c r="L162" s="1126"/>
      <c r="M162" s="1126"/>
      <c r="N162" s="1125">
        <v>6.5</v>
      </c>
      <c r="O162" s="1125">
        <v>6.5</v>
      </c>
      <c r="P162" s="1125">
        <v>0</v>
      </c>
      <c r="Q162" s="1125">
        <v>0</v>
      </c>
      <c r="R162" s="1125">
        <v>0</v>
      </c>
      <c r="S162" s="1125">
        <v>0</v>
      </c>
      <c r="T162" s="1125">
        <v>0</v>
      </c>
      <c r="U162" s="1125">
        <v>0</v>
      </c>
      <c r="V162" s="1127">
        <v>0</v>
      </c>
      <c r="W162" s="1127">
        <v>0</v>
      </c>
      <c r="X162" s="1124"/>
      <c r="Y162" s="1319"/>
      <c r="Z162" s="1319"/>
    </row>
    <row r="163" spans="1:26" ht="24">
      <c r="A163" s="1122" t="s">
        <v>2415</v>
      </c>
      <c r="B163" s="1123" t="s">
        <v>2416</v>
      </c>
      <c r="C163" s="1123" t="s">
        <v>949</v>
      </c>
      <c r="D163" s="1123" t="s">
        <v>2417</v>
      </c>
      <c r="E163" s="1123"/>
      <c r="F163" s="1123" t="s">
        <v>2418</v>
      </c>
      <c r="G163" s="1123" t="s">
        <v>1926</v>
      </c>
      <c r="H163" s="1124" t="s">
        <v>742</v>
      </c>
      <c r="I163" s="1123" t="s">
        <v>704</v>
      </c>
      <c r="J163" s="1125">
        <v>0</v>
      </c>
      <c r="K163" s="1125">
        <v>9.83</v>
      </c>
      <c r="L163" s="1126"/>
      <c r="M163" s="1126"/>
      <c r="N163" s="1125">
        <v>9.83</v>
      </c>
      <c r="O163" s="1125">
        <v>9.83</v>
      </c>
      <c r="P163" s="1125">
        <v>0</v>
      </c>
      <c r="Q163" s="1125">
        <v>0</v>
      </c>
      <c r="R163" s="1125">
        <v>0</v>
      </c>
      <c r="S163" s="1125">
        <v>0</v>
      </c>
      <c r="T163" s="1125">
        <v>0</v>
      </c>
      <c r="U163" s="1125">
        <v>0</v>
      </c>
      <c r="V163" s="1127">
        <v>0</v>
      </c>
      <c r="W163" s="1127">
        <v>0</v>
      </c>
      <c r="X163" s="1124"/>
      <c r="Y163" s="1319"/>
      <c r="Z163" s="1319"/>
    </row>
    <row r="164" spans="1:26" ht="24">
      <c r="A164" s="1122" t="s">
        <v>2415</v>
      </c>
      <c r="B164" s="1123" t="s">
        <v>2416</v>
      </c>
      <c r="C164" s="1123" t="s">
        <v>949</v>
      </c>
      <c r="D164" s="1123" t="s">
        <v>2417</v>
      </c>
      <c r="E164" s="1123"/>
      <c r="F164" s="1123" t="s">
        <v>2418</v>
      </c>
      <c r="G164" s="1123" t="s">
        <v>1926</v>
      </c>
      <c r="H164" s="1124" t="s">
        <v>742</v>
      </c>
      <c r="I164" s="1123" t="s">
        <v>1944</v>
      </c>
      <c r="J164" s="1125">
        <v>0</v>
      </c>
      <c r="K164" s="1125">
        <v>42.85</v>
      </c>
      <c r="L164" s="1126"/>
      <c r="M164" s="1126"/>
      <c r="N164" s="1125">
        <v>42.85</v>
      </c>
      <c r="O164" s="1125">
        <v>42.85</v>
      </c>
      <c r="P164" s="1125">
        <v>0</v>
      </c>
      <c r="Q164" s="1125">
        <v>0</v>
      </c>
      <c r="R164" s="1125">
        <v>0</v>
      </c>
      <c r="S164" s="1125">
        <v>0</v>
      </c>
      <c r="T164" s="1125">
        <v>0</v>
      </c>
      <c r="U164" s="1125">
        <v>0</v>
      </c>
      <c r="V164" s="1127">
        <v>0</v>
      </c>
      <c r="W164" s="1127">
        <v>0</v>
      </c>
      <c r="X164" s="1124"/>
      <c r="Y164" s="1319"/>
      <c r="Z164" s="1319"/>
    </row>
    <row r="165" spans="1:26" ht="24">
      <c r="A165" s="1122" t="s">
        <v>2419</v>
      </c>
      <c r="B165" s="1123" t="s">
        <v>1234</v>
      </c>
      <c r="C165" s="1123" t="s">
        <v>951</v>
      </c>
      <c r="D165" s="1123" t="s">
        <v>952</v>
      </c>
      <c r="E165" s="1123"/>
      <c r="F165" s="1123" t="s">
        <v>2420</v>
      </c>
      <c r="G165" s="1123" t="s">
        <v>1940</v>
      </c>
      <c r="H165" s="1124" t="s">
        <v>2421</v>
      </c>
      <c r="I165" s="1123" t="s">
        <v>713</v>
      </c>
      <c r="J165" s="1125">
        <v>0</v>
      </c>
      <c r="K165" s="1125">
        <v>6.5</v>
      </c>
      <c r="L165" s="1126"/>
      <c r="M165" s="1126"/>
      <c r="N165" s="1125">
        <v>6.5</v>
      </c>
      <c r="O165" s="1125">
        <v>6.5</v>
      </c>
      <c r="P165" s="1125">
        <v>0</v>
      </c>
      <c r="Q165" s="1125">
        <v>0</v>
      </c>
      <c r="R165" s="1125">
        <v>0</v>
      </c>
      <c r="S165" s="1125">
        <v>0</v>
      </c>
      <c r="T165" s="1125">
        <v>0</v>
      </c>
      <c r="U165" s="1125">
        <v>0</v>
      </c>
      <c r="V165" s="1127">
        <v>0</v>
      </c>
      <c r="W165" s="1127">
        <v>0</v>
      </c>
      <c r="X165" s="1124"/>
      <c r="Y165" s="1319"/>
      <c r="Z165" s="1319"/>
    </row>
    <row r="166" spans="1:26" ht="24">
      <c r="A166" s="1122" t="s">
        <v>2419</v>
      </c>
      <c r="B166" s="1123" t="s">
        <v>1234</v>
      </c>
      <c r="C166" s="1123" t="s">
        <v>951</v>
      </c>
      <c r="D166" s="1123" t="s">
        <v>952</v>
      </c>
      <c r="E166" s="1123"/>
      <c r="F166" s="1123" t="s">
        <v>2420</v>
      </c>
      <c r="G166" s="1123" t="s">
        <v>1940</v>
      </c>
      <c r="H166" s="1124" t="s">
        <v>2421</v>
      </c>
      <c r="I166" s="1123" t="s">
        <v>704</v>
      </c>
      <c r="J166" s="1125">
        <v>0</v>
      </c>
      <c r="K166" s="1125">
        <v>9.83</v>
      </c>
      <c r="L166" s="1126"/>
      <c r="M166" s="1126"/>
      <c r="N166" s="1125">
        <v>9.83</v>
      </c>
      <c r="O166" s="1125">
        <v>9.83</v>
      </c>
      <c r="P166" s="1125">
        <v>0</v>
      </c>
      <c r="Q166" s="1125">
        <v>0</v>
      </c>
      <c r="R166" s="1125">
        <v>0</v>
      </c>
      <c r="S166" s="1125">
        <v>0</v>
      </c>
      <c r="T166" s="1125">
        <v>0</v>
      </c>
      <c r="U166" s="1125">
        <v>0</v>
      </c>
      <c r="V166" s="1127">
        <v>0</v>
      </c>
      <c r="W166" s="1127">
        <v>0</v>
      </c>
      <c r="X166" s="1124"/>
      <c r="Y166" s="1319"/>
      <c r="Z166" s="1319"/>
    </row>
    <row r="167" spans="1:26" ht="24">
      <c r="A167" s="1122" t="s">
        <v>2419</v>
      </c>
      <c r="B167" s="1123" t="s">
        <v>1234</v>
      </c>
      <c r="C167" s="1123" t="s">
        <v>951</v>
      </c>
      <c r="D167" s="1123" t="s">
        <v>952</v>
      </c>
      <c r="E167" s="1123"/>
      <c r="F167" s="1123" t="s">
        <v>2420</v>
      </c>
      <c r="G167" s="1123" t="s">
        <v>1940</v>
      </c>
      <c r="H167" s="1124" t="s">
        <v>2421</v>
      </c>
      <c r="I167" s="1123" t="s">
        <v>1944</v>
      </c>
      <c r="J167" s="1125">
        <v>0</v>
      </c>
      <c r="K167" s="1125">
        <v>41.78</v>
      </c>
      <c r="L167" s="1126"/>
      <c r="M167" s="1126"/>
      <c r="N167" s="1125">
        <v>41.78</v>
      </c>
      <c r="O167" s="1125">
        <v>41.78</v>
      </c>
      <c r="P167" s="1125">
        <v>0</v>
      </c>
      <c r="Q167" s="1125">
        <v>0</v>
      </c>
      <c r="R167" s="1125">
        <v>0</v>
      </c>
      <c r="S167" s="1125">
        <v>0</v>
      </c>
      <c r="T167" s="1125">
        <v>0</v>
      </c>
      <c r="U167" s="1125">
        <v>0</v>
      </c>
      <c r="V167" s="1127">
        <v>0</v>
      </c>
      <c r="W167" s="1127">
        <v>0</v>
      </c>
      <c r="X167" s="1124"/>
      <c r="Y167" s="1319"/>
      <c r="Z167" s="1319"/>
    </row>
    <row r="168" spans="1:26" ht="24">
      <c r="A168" s="1122" t="s">
        <v>1111</v>
      </c>
      <c r="B168" s="1123" t="s">
        <v>1331</v>
      </c>
      <c r="C168" s="1123" t="s">
        <v>955</v>
      </c>
      <c r="D168" s="1123" t="s">
        <v>2422</v>
      </c>
      <c r="E168" s="1123" t="s">
        <v>2423</v>
      </c>
      <c r="F168" s="1123" t="s">
        <v>2424</v>
      </c>
      <c r="G168" s="1123" t="s">
        <v>1926</v>
      </c>
      <c r="H168" s="1124" t="s">
        <v>2036</v>
      </c>
      <c r="I168" s="1123" t="s">
        <v>1929</v>
      </c>
      <c r="J168" s="1125">
        <v>-2.1</v>
      </c>
      <c r="K168" s="1125">
        <v>0</v>
      </c>
      <c r="L168" s="1126"/>
      <c r="M168" s="1126"/>
      <c r="N168" s="1125">
        <v>-2.1</v>
      </c>
      <c r="O168" s="1125">
        <v>0</v>
      </c>
      <c r="P168" s="1125">
        <v>-2.1</v>
      </c>
      <c r="Q168" s="1125">
        <v>0</v>
      </c>
      <c r="R168" s="1125">
        <v>0</v>
      </c>
      <c r="S168" s="1125">
        <v>0</v>
      </c>
      <c r="T168" s="1125">
        <v>250</v>
      </c>
      <c r="U168" s="1125">
        <v>0</v>
      </c>
      <c r="V168" s="1127">
        <v>0</v>
      </c>
      <c r="W168" s="1127">
        <v>0</v>
      </c>
      <c r="X168" s="1124"/>
      <c r="Y168" s="1319"/>
      <c r="Z168" s="1319"/>
    </row>
    <row r="169" spans="1:26" ht="24">
      <c r="A169" s="1122" t="s">
        <v>1060</v>
      </c>
      <c r="B169" s="1123" t="s">
        <v>1063</v>
      </c>
      <c r="C169" s="1123" t="s">
        <v>956</v>
      </c>
      <c r="D169" s="1123" t="s">
        <v>957</v>
      </c>
      <c r="E169" s="1123" t="s">
        <v>2136</v>
      </c>
      <c r="F169" s="1123" t="s">
        <v>2137</v>
      </c>
      <c r="G169" s="1123" t="s">
        <v>1926</v>
      </c>
      <c r="H169" s="1124" t="s">
        <v>833</v>
      </c>
      <c r="I169" s="1123" t="s">
        <v>707</v>
      </c>
      <c r="J169" s="1125">
        <v>0</v>
      </c>
      <c r="K169" s="1125">
        <v>4.21</v>
      </c>
      <c r="L169" s="1126"/>
      <c r="M169" s="1126"/>
      <c r="N169" s="1125">
        <v>4.21</v>
      </c>
      <c r="O169" s="1125">
        <v>4.21</v>
      </c>
      <c r="P169" s="1125">
        <v>0</v>
      </c>
      <c r="Q169" s="1125">
        <v>0</v>
      </c>
      <c r="R169" s="1125">
        <v>0</v>
      </c>
      <c r="S169" s="1125">
        <v>0</v>
      </c>
      <c r="T169" s="1125">
        <v>250</v>
      </c>
      <c r="U169" s="1125">
        <v>0</v>
      </c>
      <c r="V169" s="1127">
        <v>0</v>
      </c>
      <c r="W169" s="1127">
        <v>0</v>
      </c>
      <c r="X169" s="1124"/>
      <c r="Y169" s="1319"/>
      <c r="Z169" s="1319"/>
    </row>
    <row r="170" spans="1:26" ht="24">
      <c r="A170" s="1122" t="s">
        <v>1060</v>
      </c>
      <c r="B170" s="1123" t="s">
        <v>1063</v>
      </c>
      <c r="C170" s="1123" t="s">
        <v>956</v>
      </c>
      <c r="D170" s="1123" t="s">
        <v>957</v>
      </c>
      <c r="E170" s="1123" t="s">
        <v>2136</v>
      </c>
      <c r="F170" s="1123" t="s">
        <v>2137</v>
      </c>
      <c r="G170" s="1123" t="s">
        <v>1926</v>
      </c>
      <c r="H170" s="1124" t="s">
        <v>833</v>
      </c>
      <c r="I170" s="1123" t="s">
        <v>713</v>
      </c>
      <c r="J170" s="1125">
        <v>0</v>
      </c>
      <c r="K170" s="1125">
        <v>6.5</v>
      </c>
      <c r="L170" s="1126"/>
      <c r="M170" s="1126"/>
      <c r="N170" s="1125">
        <v>6.5</v>
      </c>
      <c r="O170" s="1125">
        <v>6.5</v>
      </c>
      <c r="P170" s="1125">
        <v>0</v>
      </c>
      <c r="Q170" s="1125">
        <v>0</v>
      </c>
      <c r="R170" s="1125">
        <v>0</v>
      </c>
      <c r="S170" s="1125">
        <v>0</v>
      </c>
      <c r="T170" s="1125">
        <v>0</v>
      </c>
      <c r="U170" s="1125">
        <v>0</v>
      </c>
      <c r="V170" s="1127">
        <v>0</v>
      </c>
      <c r="W170" s="1127">
        <v>0</v>
      </c>
      <c r="X170" s="1124"/>
      <c r="Y170" s="1319"/>
      <c r="Z170" s="1319"/>
    </row>
    <row r="171" spans="1:26" ht="24">
      <c r="A171" s="1122" t="s">
        <v>1060</v>
      </c>
      <c r="B171" s="1123" t="s">
        <v>1063</v>
      </c>
      <c r="C171" s="1123" t="s">
        <v>956</v>
      </c>
      <c r="D171" s="1123" t="s">
        <v>957</v>
      </c>
      <c r="E171" s="1123" t="s">
        <v>2136</v>
      </c>
      <c r="F171" s="1123" t="s">
        <v>2137</v>
      </c>
      <c r="G171" s="1123" t="s">
        <v>1926</v>
      </c>
      <c r="H171" s="1124" t="s">
        <v>833</v>
      </c>
      <c r="I171" s="1123" t="s">
        <v>704</v>
      </c>
      <c r="J171" s="1125">
        <v>0</v>
      </c>
      <c r="K171" s="1125">
        <v>9.83</v>
      </c>
      <c r="L171" s="1126"/>
      <c r="M171" s="1126"/>
      <c r="N171" s="1125">
        <v>9.83</v>
      </c>
      <c r="O171" s="1125">
        <v>9.83</v>
      </c>
      <c r="P171" s="1125">
        <v>0</v>
      </c>
      <c r="Q171" s="1125">
        <v>0</v>
      </c>
      <c r="R171" s="1125">
        <v>0</v>
      </c>
      <c r="S171" s="1125">
        <v>0</v>
      </c>
      <c r="T171" s="1125">
        <v>0</v>
      </c>
      <c r="U171" s="1125">
        <v>0</v>
      </c>
      <c r="V171" s="1127">
        <v>0</v>
      </c>
      <c r="W171" s="1127">
        <v>0</v>
      </c>
      <c r="X171" s="1124"/>
      <c r="Y171" s="1319"/>
      <c r="Z171" s="1319"/>
    </row>
    <row r="172" spans="1:26" ht="24">
      <c r="A172" s="1122" t="s">
        <v>1060</v>
      </c>
      <c r="B172" s="1123" t="s">
        <v>1063</v>
      </c>
      <c r="C172" s="1123" t="s">
        <v>956</v>
      </c>
      <c r="D172" s="1123" t="s">
        <v>957</v>
      </c>
      <c r="E172" s="1123" t="s">
        <v>2136</v>
      </c>
      <c r="F172" s="1123" t="s">
        <v>2137</v>
      </c>
      <c r="G172" s="1123" t="s">
        <v>1926</v>
      </c>
      <c r="H172" s="1124" t="s">
        <v>833</v>
      </c>
      <c r="I172" s="1123" t="s">
        <v>1944</v>
      </c>
      <c r="J172" s="1125">
        <v>0</v>
      </c>
      <c r="K172" s="1125">
        <v>11.99</v>
      </c>
      <c r="L172" s="1126"/>
      <c r="M172" s="1126"/>
      <c r="N172" s="1125">
        <v>11.99</v>
      </c>
      <c r="O172" s="1125">
        <v>11.99</v>
      </c>
      <c r="P172" s="1125">
        <v>0</v>
      </c>
      <c r="Q172" s="1125">
        <v>0</v>
      </c>
      <c r="R172" s="1125">
        <v>0</v>
      </c>
      <c r="S172" s="1125">
        <v>0</v>
      </c>
      <c r="T172" s="1125">
        <v>0</v>
      </c>
      <c r="U172" s="1125">
        <v>0</v>
      </c>
      <c r="V172" s="1127">
        <v>0</v>
      </c>
      <c r="W172" s="1127">
        <v>0</v>
      </c>
      <c r="X172" s="1124"/>
      <c r="Y172" s="1319"/>
      <c r="Z172" s="1319"/>
    </row>
    <row r="173" spans="1:26" ht="24">
      <c r="A173" s="1122" t="s">
        <v>902</v>
      </c>
      <c r="B173" s="1123" t="s">
        <v>2425</v>
      </c>
      <c r="C173" s="1123" t="s">
        <v>958</v>
      </c>
      <c r="D173" s="1123" t="s">
        <v>2426</v>
      </c>
      <c r="E173" s="1123"/>
      <c r="F173" s="1123" t="s">
        <v>2427</v>
      </c>
      <c r="G173" s="1123" t="s">
        <v>2135</v>
      </c>
      <c r="H173" s="1124" t="s">
        <v>1848</v>
      </c>
      <c r="I173" s="1123" t="s">
        <v>707</v>
      </c>
      <c r="J173" s="1125">
        <v>0</v>
      </c>
      <c r="K173" s="1125">
        <v>11.55</v>
      </c>
      <c r="L173" s="1126"/>
      <c r="M173" s="1126"/>
      <c r="N173" s="1125">
        <v>11.55</v>
      </c>
      <c r="O173" s="1125">
        <v>11.55</v>
      </c>
      <c r="P173" s="1125">
        <v>0</v>
      </c>
      <c r="Q173" s="1125">
        <v>0</v>
      </c>
      <c r="R173" s="1125">
        <v>0</v>
      </c>
      <c r="S173" s="1125">
        <v>0</v>
      </c>
      <c r="T173" s="1125">
        <v>0</v>
      </c>
      <c r="U173" s="1125">
        <v>0</v>
      </c>
      <c r="V173" s="1127">
        <v>0</v>
      </c>
      <c r="W173" s="1127">
        <v>0</v>
      </c>
      <c r="X173" s="1124"/>
      <c r="Y173" s="1319"/>
      <c r="Z173" s="1319"/>
    </row>
    <row r="174" spans="1:26" ht="24">
      <c r="A174" s="1122" t="s">
        <v>902</v>
      </c>
      <c r="B174" s="1123" t="s">
        <v>2425</v>
      </c>
      <c r="C174" s="1123" t="s">
        <v>958</v>
      </c>
      <c r="D174" s="1123" t="s">
        <v>2426</v>
      </c>
      <c r="E174" s="1123"/>
      <c r="F174" s="1123" t="s">
        <v>2427</v>
      </c>
      <c r="G174" s="1123" t="s">
        <v>2135</v>
      </c>
      <c r="H174" s="1124" t="s">
        <v>1848</v>
      </c>
      <c r="I174" s="1123" t="s">
        <v>713</v>
      </c>
      <c r="J174" s="1125">
        <v>0</v>
      </c>
      <c r="K174" s="1125">
        <v>6.5</v>
      </c>
      <c r="L174" s="1126"/>
      <c r="M174" s="1126"/>
      <c r="N174" s="1125">
        <v>6.5</v>
      </c>
      <c r="O174" s="1125">
        <v>6.5</v>
      </c>
      <c r="P174" s="1125">
        <v>0</v>
      </c>
      <c r="Q174" s="1125">
        <v>0</v>
      </c>
      <c r="R174" s="1125">
        <v>0</v>
      </c>
      <c r="S174" s="1125">
        <v>0</v>
      </c>
      <c r="T174" s="1125">
        <v>0</v>
      </c>
      <c r="U174" s="1125">
        <v>0</v>
      </c>
      <c r="V174" s="1127">
        <v>0</v>
      </c>
      <c r="W174" s="1127">
        <v>0</v>
      </c>
      <c r="X174" s="1124"/>
      <c r="Y174" s="1319"/>
      <c r="Z174" s="1319"/>
    </row>
    <row r="175" spans="1:26" ht="24">
      <c r="A175" s="1122" t="s">
        <v>902</v>
      </c>
      <c r="B175" s="1123" t="s">
        <v>2425</v>
      </c>
      <c r="C175" s="1123" t="s">
        <v>958</v>
      </c>
      <c r="D175" s="1123" t="s">
        <v>2426</v>
      </c>
      <c r="E175" s="1123"/>
      <c r="F175" s="1123" t="s">
        <v>2427</v>
      </c>
      <c r="G175" s="1123" t="s">
        <v>2135</v>
      </c>
      <c r="H175" s="1124" t="s">
        <v>1848</v>
      </c>
      <c r="I175" s="1123" t="s">
        <v>704</v>
      </c>
      <c r="J175" s="1125">
        <v>0</v>
      </c>
      <c r="K175" s="1125">
        <v>9.83</v>
      </c>
      <c r="L175" s="1126"/>
      <c r="M175" s="1126"/>
      <c r="N175" s="1125">
        <v>9.83</v>
      </c>
      <c r="O175" s="1125">
        <v>9.83</v>
      </c>
      <c r="P175" s="1125">
        <v>0</v>
      </c>
      <c r="Q175" s="1125">
        <v>0</v>
      </c>
      <c r="R175" s="1125">
        <v>0</v>
      </c>
      <c r="S175" s="1125">
        <v>0</v>
      </c>
      <c r="T175" s="1125">
        <v>0</v>
      </c>
      <c r="U175" s="1125">
        <v>0</v>
      </c>
      <c r="V175" s="1127">
        <v>0</v>
      </c>
      <c r="W175" s="1127">
        <v>0</v>
      </c>
      <c r="X175" s="1124"/>
      <c r="Y175" s="1319"/>
      <c r="Z175" s="1319"/>
    </row>
    <row r="176" spans="1:26" ht="24">
      <c r="A176" s="1122" t="s">
        <v>902</v>
      </c>
      <c r="B176" s="1123" t="s">
        <v>2425</v>
      </c>
      <c r="C176" s="1123" t="s">
        <v>958</v>
      </c>
      <c r="D176" s="1123" t="s">
        <v>2426</v>
      </c>
      <c r="E176" s="1123"/>
      <c r="F176" s="1123" t="s">
        <v>2427</v>
      </c>
      <c r="G176" s="1123" t="s">
        <v>2135</v>
      </c>
      <c r="H176" s="1124" t="s">
        <v>1848</v>
      </c>
      <c r="I176" s="1123" t="s">
        <v>1944</v>
      </c>
      <c r="J176" s="1125">
        <v>0</v>
      </c>
      <c r="K176" s="1125">
        <v>28.17</v>
      </c>
      <c r="L176" s="1126"/>
      <c r="M176" s="1126"/>
      <c r="N176" s="1125">
        <v>28.17</v>
      </c>
      <c r="O176" s="1125">
        <v>28.17</v>
      </c>
      <c r="P176" s="1125">
        <v>0</v>
      </c>
      <c r="Q176" s="1125">
        <v>0</v>
      </c>
      <c r="R176" s="1125">
        <v>0</v>
      </c>
      <c r="S176" s="1125">
        <v>0</v>
      </c>
      <c r="T176" s="1125">
        <v>0</v>
      </c>
      <c r="U176" s="1125">
        <v>0</v>
      </c>
      <c r="V176" s="1127">
        <v>0</v>
      </c>
      <c r="W176" s="1127">
        <v>0</v>
      </c>
      <c r="X176" s="1124"/>
      <c r="Y176" s="1319"/>
      <c r="Z176" s="1319"/>
    </row>
    <row r="177" spans="1:26" ht="24">
      <c r="A177" s="1122" t="s">
        <v>858</v>
      </c>
      <c r="B177" s="1123" t="s">
        <v>2428</v>
      </c>
      <c r="C177" s="1123" t="s">
        <v>962</v>
      </c>
      <c r="D177" s="1123" t="s">
        <v>1849</v>
      </c>
      <c r="E177" s="1123" t="s">
        <v>2429</v>
      </c>
      <c r="F177" s="1123" t="s">
        <v>2430</v>
      </c>
      <c r="G177" s="1123" t="s">
        <v>1926</v>
      </c>
      <c r="H177" s="1124" t="s">
        <v>1840</v>
      </c>
      <c r="I177" s="1123" t="s">
        <v>713</v>
      </c>
      <c r="J177" s="1125">
        <v>0</v>
      </c>
      <c r="K177" s="1125">
        <v>6.5</v>
      </c>
      <c r="L177" s="1126"/>
      <c r="M177" s="1126"/>
      <c r="N177" s="1125">
        <v>6.5</v>
      </c>
      <c r="O177" s="1125">
        <v>6.5</v>
      </c>
      <c r="P177" s="1125">
        <v>0</v>
      </c>
      <c r="Q177" s="1125">
        <v>0</v>
      </c>
      <c r="R177" s="1125">
        <v>0</v>
      </c>
      <c r="S177" s="1125">
        <v>0</v>
      </c>
      <c r="T177" s="1125">
        <v>250</v>
      </c>
      <c r="U177" s="1125">
        <v>0</v>
      </c>
      <c r="V177" s="1127">
        <v>0</v>
      </c>
      <c r="W177" s="1127">
        <v>0</v>
      </c>
      <c r="X177" s="1124"/>
      <c r="Y177" s="1319"/>
      <c r="Z177" s="1319"/>
    </row>
    <row r="178" spans="1:26" ht="24">
      <c r="A178" s="1122" t="s">
        <v>858</v>
      </c>
      <c r="B178" s="1123" t="s">
        <v>2428</v>
      </c>
      <c r="C178" s="1123" t="s">
        <v>962</v>
      </c>
      <c r="D178" s="1123" t="s">
        <v>1849</v>
      </c>
      <c r="E178" s="1123" t="s">
        <v>2429</v>
      </c>
      <c r="F178" s="1123" t="s">
        <v>2430</v>
      </c>
      <c r="G178" s="1123" t="s">
        <v>1926</v>
      </c>
      <c r="H178" s="1124" t="s">
        <v>1840</v>
      </c>
      <c r="I178" s="1123" t="s">
        <v>704</v>
      </c>
      <c r="J178" s="1125">
        <v>0</v>
      </c>
      <c r="K178" s="1125">
        <v>9.83</v>
      </c>
      <c r="L178" s="1126"/>
      <c r="M178" s="1126"/>
      <c r="N178" s="1125">
        <v>9.83</v>
      </c>
      <c r="O178" s="1125">
        <v>9.83</v>
      </c>
      <c r="P178" s="1125">
        <v>0</v>
      </c>
      <c r="Q178" s="1125">
        <v>0</v>
      </c>
      <c r="R178" s="1125">
        <v>0</v>
      </c>
      <c r="S178" s="1125">
        <v>0</v>
      </c>
      <c r="T178" s="1125">
        <v>0</v>
      </c>
      <c r="U178" s="1125">
        <v>0</v>
      </c>
      <c r="V178" s="1127">
        <v>0</v>
      </c>
      <c r="W178" s="1127">
        <v>0</v>
      </c>
      <c r="X178" s="1124"/>
      <c r="Y178" s="1319"/>
      <c r="Z178" s="1319"/>
    </row>
    <row r="179" spans="1:26" ht="24">
      <c r="A179" s="1122" t="s">
        <v>858</v>
      </c>
      <c r="B179" s="1123" t="s">
        <v>2428</v>
      </c>
      <c r="C179" s="1123" t="s">
        <v>962</v>
      </c>
      <c r="D179" s="1123" t="s">
        <v>1849</v>
      </c>
      <c r="E179" s="1123" t="s">
        <v>2429</v>
      </c>
      <c r="F179" s="1123" t="s">
        <v>2430</v>
      </c>
      <c r="G179" s="1123" t="s">
        <v>1926</v>
      </c>
      <c r="H179" s="1124" t="s">
        <v>1840</v>
      </c>
      <c r="I179" s="1123" t="s">
        <v>1944</v>
      </c>
      <c r="J179" s="1125">
        <v>0</v>
      </c>
      <c r="K179" s="1125">
        <v>26.38</v>
      </c>
      <c r="L179" s="1126"/>
      <c r="M179" s="1126"/>
      <c r="N179" s="1125">
        <v>26.38</v>
      </c>
      <c r="O179" s="1125">
        <v>26.38</v>
      </c>
      <c r="P179" s="1125">
        <v>0</v>
      </c>
      <c r="Q179" s="1125">
        <v>0</v>
      </c>
      <c r="R179" s="1125">
        <v>0</v>
      </c>
      <c r="S179" s="1125">
        <v>0</v>
      </c>
      <c r="T179" s="1125">
        <v>0</v>
      </c>
      <c r="U179" s="1125">
        <v>0</v>
      </c>
      <c r="V179" s="1127">
        <v>0</v>
      </c>
      <c r="W179" s="1127">
        <v>0</v>
      </c>
      <c r="X179" s="1124"/>
      <c r="Y179" s="1319"/>
      <c r="Z179" s="1319"/>
    </row>
    <row r="180" spans="1:26" ht="24">
      <c r="A180" s="1122" t="s">
        <v>1070</v>
      </c>
      <c r="B180" s="1123" t="s">
        <v>2431</v>
      </c>
      <c r="C180" s="1123" t="s">
        <v>964</v>
      </c>
      <c r="D180" s="1123" t="s">
        <v>2432</v>
      </c>
      <c r="E180" s="1123" t="s">
        <v>2433</v>
      </c>
      <c r="F180" s="1123" t="s">
        <v>2434</v>
      </c>
      <c r="G180" s="1123" t="s">
        <v>1926</v>
      </c>
      <c r="H180" s="1124" t="s">
        <v>1829</v>
      </c>
      <c r="I180" s="1123" t="s">
        <v>707</v>
      </c>
      <c r="J180" s="1125">
        <v>0</v>
      </c>
      <c r="K180" s="1125">
        <v>7.0000000000000007E-2</v>
      </c>
      <c r="L180" s="1126"/>
      <c r="M180" s="1126"/>
      <c r="N180" s="1125">
        <v>7.0000000000000007E-2</v>
      </c>
      <c r="O180" s="1125">
        <v>7.0000000000000007E-2</v>
      </c>
      <c r="P180" s="1125">
        <v>0</v>
      </c>
      <c r="Q180" s="1125">
        <v>0</v>
      </c>
      <c r="R180" s="1125">
        <v>0</v>
      </c>
      <c r="S180" s="1125">
        <v>0</v>
      </c>
      <c r="T180" s="1125">
        <v>500</v>
      </c>
      <c r="U180" s="1125">
        <v>0</v>
      </c>
      <c r="V180" s="1127">
        <v>0</v>
      </c>
      <c r="W180" s="1127">
        <v>0</v>
      </c>
      <c r="X180" s="1124"/>
      <c r="Y180" s="1319"/>
      <c r="Z180" s="1319"/>
    </row>
    <row r="181" spans="1:26" ht="24">
      <c r="A181" s="1122" t="s">
        <v>1070</v>
      </c>
      <c r="B181" s="1123" t="s">
        <v>2431</v>
      </c>
      <c r="C181" s="1123" t="s">
        <v>964</v>
      </c>
      <c r="D181" s="1123" t="s">
        <v>2432</v>
      </c>
      <c r="E181" s="1123" t="s">
        <v>2433</v>
      </c>
      <c r="F181" s="1123" t="s">
        <v>2434</v>
      </c>
      <c r="G181" s="1123" t="s">
        <v>1926</v>
      </c>
      <c r="H181" s="1124" t="s">
        <v>1829</v>
      </c>
      <c r="I181" s="1123" t="s">
        <v>713</v>
      </c>
      <c r="J181" s="1125">
        <v>0</v>
      </c>
      <c r="K181" s="1125">
        <v>0.31</v>
      </c>
      <c r="L181" s="1126"/>
      <c r="M181" s="1126"/>
      <c r="N181" s="1125">
        <v>0.31</v>
      </c>
      <c r="O181" s="1125">
        <v>0.31</v>
      </c>
      <c r="P181" s="1125">
        <v>0</v>
      </c>
      <c r="Q181" s="1125">
        <v>0</v>
      </c>
      <c r="R181" s="1125">
        <v>0</v>
      </c>
      <c r="S181" s="1125">
        <v>0</v>
      </c>
      <c r="T181" s="1125">
        <v>0</v>
      </c>
      <c r="U181" s="1125">
        <v>0</v>
      </c>
      <c r="V181" s="1127">
        <v>0</v>
      </c>
      <c r="W181" s="1127">
        <v>0</v>
      </c>
      <c r="X181" s="1124"/>
      <c r="Y181" s="1319"/>
      <c r="Z181" s="1319"/>
    </row>
    <row r="182" spans="1:26" ht="24">
      <c r="A182" s="1122" t="s">
        <v>1070</v>
      </c>
      <c r="B182" s="1123" t="s">
        <v>2431</v>
      </c>
      <c r="C182" s="1123" t="s">
        <v>964</v>
      </c>
      <c r="D182" s="1123" t="s">
        <v>2432</v>
      </c>
      <c r="E182" s="1123" t="s">
        <v>2433</v>
      </c>
      <c r="F182" s="1123" t="s">
        <v>2434</v>
      </c>
      <c r="G182" s="1123" t="s">
        <v>1926</v>
      </c>
      <c r="H182" s="1124" t="s">
        <v>1829</v>
      </c>
      <c r="I182" s="1123" t="s">
        <v>704</v>
      </c>
      <c r="J182" s="1125">
        <v>0</v>
      </c>
      <c r="K182" s="1125">
        <v>0.43</v>
      </c>
      <c r="L182" s="1126"/>
      <c r="M182" s="1126"/>
      <c r="N182" s="1125">
        <v>0.43</v>
      </c>
      <c r="O182" s="1125">
        <v>0.43</v>
      </c>
      <c r="P182" s="1125">
        <v>0</v>
      </c>
      <c r="Q182" s="1125">
        <v>0</v>
      </c>
      <c r="R182" s="1125">
        <v>0</v>
      </c>
      <c r="S182" s="1125">
        <v>0</v>
      </c>
      <c r="T182" s="1125">
        <v>0</v>
      </c>
      <c r="U182" s="1125">
        <v>0</v>
      </c>
      <c r="V182" s="1127">
        <v>0</v>
      </c>
      <c r="W182" s="1127">
        <v>0</v>
      </c>
      <c r="X182" s="1124"/>
      <c r="Y182" s="1319"/>
      <c r="Z182" s="1319"/>
    </row>
    <row r="183" spans="1:26" ht="24">
      <c r="A183" s="1122" t="s">
        <v>1070</v>
      </c>
      <c r="B183" s="1123" t="s">
        <v>2431</v>
      </c>
      <c r="C183" s="1123" t="s">
        <v>964</v>
      </c>
      <c r="D183" s="1123" t="s">
        <v>2432</v>
      </c>
      <c r="E183" s="1123" t="s">
        <v>2433</v>
      </c>
      <c r="F183" s="1123" t="s">
        <v>2434</v>
      </c>
      <c r="G183" s="1123" t="s">
        <v>1926</v>
      </c>
      <c r="H183" s="1124" t="s">
        <v>1829</v>
      </c>
      <c r="I183" s="1123" t="s">
        <v>1944</v>
      </c>
      <c r="J183" s="1125">
        <v>0</v>
      </c>
      <c r="K183" s="1125">
        <v>0.86</v>
      </c>
      <c r="L183" s="1126"/>
      <c r="M183" s="1126"/>
      <c r="N183" s="1125">
        <v>0.86</v>
      </c>
      <c r="O183" s="1125">
        <v>0.86</v>
      </c>
      <c r="P183" s="1125">
        <v>0</v>
      </c>
      <c r="Q183" s="1125">
        <v>0</v>
      </c>
      <c r="R183" s="1125">
        <v>0</v>
      </c>
      <c r="S183" s="1125">
        <v>0</v>
      </c>
      <c r="T183" s="1125">
        <v>0</v>
      </c>
      <c r="U183" s="1125">
        <v>0</v>
      </c>
      <c r="V183" s="1127">
        <v>0</v>
      </c>
      <c r="W183" s="1127">
        <v>0</v>
      </c>
      <c r="X183" s="1124"/>
      <c r="Y183" s="1319"/>
      <c r="Z183" s="1319"/>
    </row>
    <row r="184" spans="1:26" ht="24">
      <c r="A184" s="1122" t="s">
        <v>2435</v>
      </c>
      <c r="B184" s="1123" t="s">
        <v>2436</v>
      </c>
      <c r="C184" s="1123" t="s">
        <v>965</v>
      </c>
      <c r="D184" s="1123" t="s">
        <v>966</v>
      </c>
      <c r="E184" s="1123" t="s">
        <v>1928</v>
      </c>
      <c r="F184" s="1123" t="s">
        <v>2437</v>
      </c>
      <c r="G184" s="1123" t="s">
        <v>1926</v>
      </c>
      <c r="H184" s="1124" t="s">
        <v>967</v>
      </c>
      <c r="I184" s="1123" t="s">
        <v>707</v>
      </c>
      <c r="J184" s="1125">
        <v>0</v>
      </c>
      <c r="K184" s="1125">
        <v>2.54</v>
      </c>
      <c r="L184" s="1126"/>
      <c r="M184" s="1126"/>
      <c r="N184" s="1125">
        <v>2.54</v>
      </c>
      <c r="O184" s="1125">
        <v>2.54</v>
      </c>
      <c r="P184" s="1125">
        <v>0</v>
      </c>
      <c r="Q184" s="1125">
        <v>0</v>
      </c>
      <c r="R184" s="1125">
        <v>0</v>
      </c>
      <c r="S184" s="1125">
        <v>0</v>
      </c>
      <c r="T184" s="1125">
        <v>0</v>
      </c>
      <c r="U184" s="1125">
        <v>0</v>
      </c>
      <c r="V184" s="1127">
        <v>6</v>
      </c>
      <c r="W184" s="1127">
        <v>1</v>
      </c>
      <c r="X184" s="1124"/>
      <c r="Y184" s="1319"/>
      <c r="Z184" s="1319"/>
    </row>
    <row r="185" spans="1:26" ht="24">
      <c r="A185" s="1122" t="s">
        <v>2435</v>
      </c>
      <c r="B185" s="1123" t="s">
        <v>2436</v>
      </c>
      <c r="C185" s="1123" t="s">
        <v>965</v>
      </c>
      <c r="D185" s="1123" t="s">
        <v>966</v>
      </c>
      <c r="E185" s="1123" t="s">
        <v>1928</v>
      </c>
      <c r="F185" s="1123" t="s">
        <v>2437</v>
      </c>
      <c r="G185" s="1123" t="s">
        <v>1926</v>
      </c>
      <c r="H185" s="1124" t="s">
        <v>967</v>
      </c>
      <c r="I185" s="1123" t="s">
        <v>713</v>
      </c>
      <c r="J185" s="1125">
        <v>0</v>
      </c>
      <c r="K185" s="1125">
        <v>6.5</v>
      </c>
      <c r="L185" s="1126"/>
      <c r="M185" s="1126"/>
      <c r="N185" s="1125">
        <v>6.5</v>
      </c>
      <c r="O185" s="1125">
        <v>6.5</v>
      </c>
      <c r="P185" s="1125">
        <v>0</v>
      </c>
      <c r="Q185" s="1125">
        <v>0</v>
      </c>
      <c r="R185" s="1125">
        <v>0</v>
      </c>
      <c r="S185" s="1125">
        <v>0</v>
      </c>
      <c r="T185" s="1125">
        <v>0</v>
      </c>
      <c r="U185" s="1125">
        <v>0</v>
      </c>
      <c r="V185" s="1127">
        <v>6</v>
      </c>
      <c r="W185" s="1127">
        <v>1</v>
      </c>
      <c r="X185" s="1124"/>
      <c r="Y185" s="1319"/>
      <c r="Z185" s="1319"/>
    </row>
    <row r="186" spans="1:26" ht="24">
      <c r="A186" s="1122" t="s">
        <v>2435</v>
      </c>
      <c r="B186" s="1123" t="s">
        <v>2436</v>
      </c>
      <c r="C186" s="1123" t="s">
        <v>965</v>
      </c>
      <c r="D186" s="1123" t="s">
        <v>966</v>
      </c>
      <c r="E186" s="1123" t="s">
        <v>1928</v>
      </c>
      <c r="F186" s="1123" t="s">
        <v>2437</v>
      </c>
      <c r="G186" s="1123" t="s">
        <v>1926</v>
      </c>
      <c r="H186" s="1124" t="s">
        <v>967</v>
      </c>
      <c r="I186" s="1123" t="s">
        <v>704</v>
      </c>
      <c r="J186" s="1125">
        <v>0</v>
      </c>
      <c r="K186" s="1125">
        <v>9.83</v>
      </c>
      <c r="L186" s="1126"/>
      <c r="M186" s="1126"/>
      <c r="N186" s="1125">
        <v>9.83</v>
      </c>
      <c r="O186" s="1125">
        <v>9.83</v>
      </c>
      <c r="P186" s="1125">
        <v>0</v>
      </c>
      <c r="Q186" s="1125">
        <v>0</v>
      </c>
      <c r="R186" s="1125">
        <v>0</v>
      </c>
      <c r="S186" s="1125">
        <v>0</v>
      </c>
      <c r="T186" s="1125">
        <v>0</v>
      </c>
      <c r="U186" s="1125">
        <v>0</v>
      </c>
      <c r="V186" s="1127">
        <v>6</v>
      </c>
      <c r="W186" s="1127">
        <v>1</v>
      </c>
      <c r="X186" s="1124"/>
      <c r="Y186" s="1319"/>
      <c r="Z186" s="1319"/>
    </row>
    <row r="187" spans="1:26" ht="24">
      <c r="A187" s="1122" t="s">
        <v>2435</v>
      </c>
      <c r="B187" s="1123" t="s">
        <v>2436</v>
      </c>
      <c r="C187" s="1123" t="s">
        <v>965</v>
      </c>
      <c r="D187" s="1123" t="s">
        <v>966</v>
      </c>
      <c r="E187" s="1123" t="s">
        <v>1928</v>
      </c>
      <c r="F187" s="1123" t="s">
        <v>2437</v>
      </c>
      <c r="G187" s="1123" t="s">
        <v>1926</v>
      </c>
      <c r="H187" s="1124" t="s">
        <v>967</v>
      </c>
      <c r="I187" s="1123" t="s">
        <v>1944</v>
      </c>
      <c r="J187" s="1125">
        <v>0</v>
      </c>
      <c r="K187" s="1125">
        <v>17.739999999999998</v>
      </c>
      <c r="L187" s="1126"/>
      <c r="M187" s="1126"/>
      <c r="N187" s="1125">
        <v>17.739999999999998</v>
      </c>
      <c r="O187" s="1125">
        <v>17.739999999999998</v>
      </c>
      <c r="P187" s="1125">
        <v>0</v>
      </c>
      <c r="Q187" s="1125">
        <v>0</v>
      </c>
      <c r="R187" s="1125">
        <v>0</v>
      </c>
      <c r="S187" s="1125">
        <v>0</v>
      </c>
      <c r="T187" s="1125">
        <v>0</v>
      </c>
      <c r="U187" s="1125">
        <v>0</v>
      </c>
      <c r="V187" s="1127">
        <v>6</v>
      </c>
      <c r="W187" s="1127">
        <v>1</v>
      </c>
      <c r="X187" s="1124"/>
      <c r="Y187" s="1319"/>
      <c r="Z187" s="1319"/>
    </row>
    <row r="188" spans="1:26">
      <c r="A188" s="1122" t="s">
        <v>992</v>
      </c>
      <c r="B188" s="1123" t="s">
        <v>1056</v>
      </c>
      <c r="C188" s="1123" t="s">
        <v>970</v>
      </c>
      <c r="D188" s="1123" t="s">
        <v>2438</v>
      </c>
      <c r="E188" s="1123" t="s">
        <v>2439</v>
      </c>
      <c r="F188" s="1123" t="s">
        <v>2440</v>
      </c>
      <c r="G188" s="1123" t="s">
        <v>2135</v>
      </c>
      <c r="H188" s="1124" t="s">
        <v>2441</v>
      </c>
      <c r="I188" s="1123" t="s">
        <v>707</v>
      </c>
      <c r="J188" s="1125">
        <v>0</v>
      </c>
      <c r="K188" s="1125">
        <v>2</v>
      </c>
      <c r="L188" s="1126"/>
      <c r="M188" s="1126"/>
      <c r="N188" s="1125">
        <v>2</v>
      </c>
      <c r="O188" s="1125">
        <v>2</v>
      </c>
      <c r="P188" s="1125">
        <v>0</v>
      </c>
      <c r="Q188" s="1125">
        <v>0</v>
      </c>
      <c r="R188" s="1125">
        <v>0</v>
      </c>
      <c r="S188" s="1125">
        <v>0</v>
      </c>
      <c r="T188" s="1125">
        <v>0</v>
      </c>
      <c r="U188" s="1125">
        <v>0</v>
      </c>
      <c r="V188" s="1127">
        <v>0</v>
      </c>
      <c r="W188" s="1127">
        <v>0</v>
      </c>
      <c r="X188" s="1124"/>
      <c r="Y188" s="1319"/>
      <c r="Z188" s="1319"/>
    </row>
    <row r="189" spans="1:26" ht="13.15" customHeight="1">
      <c r="A189" s="1122" t="s">
        <v>992</v>
      </c>
      <c r="B189" s="1123" t="s">
        <v>1056</v>
      </c>
      <c r="C189" s="1123" t="s">
        <v>970</v>
      </c>
      <c r="D189" s="1123" t="s">
        <v>2438</v>
      </c>
      <c r="E189" s="1123" t="s">
        <v>2439</v>
      </c>
      <c r="F189" s="1123" t="s">
        <v>2440</v>
      </c>
      <c r="G189" s="1123" t="s">
        <v>2135</v>
      </c>
      <c r="H189" s="1124" t="s">
        <v>2441</v>
      </c>
      <c r="I189" s="1123" t="s">
        <v>713</v>
      </c>
      <c r="J189" s="1125">
        <v>0</v>
      </c>
      <c r="K189" s="1125">
        <v>6.5</v>
      </c>
      <c r="L189" s="1126"/>
      <c r="M189" s="1126"/>
      <c r="N189" s="1125">
        <v>6.5</v>
      </c>
      <c r="O189" s="1125">
        <v>6.5</v>
      </c>
      <c r="P189" s="1125">
        <v>0</v>
      </c>
      <c r="Q189" s="1125">
        <v>0</v>
      </c>
      <c r="R189" s="1125">
        <v>0</v>
      </c>
      <c r="S189" s="1125">
        <v>0</v>
      </c>
      <c r="T189" s="1125">
        <v>0</v>
      </c>
      <c r="U189" s="1125">
        <v>0</v>
      </c>
      <c r="V189" s="1127">
        <v>0</v>
      </c>
      <c r="W189" s="1127">
        <v>0</v>
      </c>
      <c r="X189" s="1124"/>
      <c r="Y189" s="1319"/>
      <c r="Z189" s="1319"/>
    </row>
    <row r="190" spans="1:26">
      <c r="A190" s="1122" t="s">
        <v>992</v>
      </c>
      <c r="B190" s="1123" t="s">
        <v>1056</v>
      </c>
      <c r="C190" s="1123" t="s">
        <v>970</v>
      </c>
      <c r="D190" s="1123" t="s">
        <v>2438</v>
      </c>
      <c r="E190" s="1123" t="s">
        <v>2439</v>
      </c>
      <c r="F190" s="1123" t="s">
        <v>2440</v>
      </c>
      <c r="G190" s="1123" t="s">
        <v>2135</v>
      </c>
      <c r="H190" s="1124" t="s">
        <v>2441</v>
      </c>
      <c r="I190" s="1123" t="s">
        <v>704</v>
      </c>
      <c r="J190" s="1125">
        <v>0</v>
      </c>
      <c r="K190" s="1125">
        <v>9.83</v>
      </c>
      <c r="L190" s="1126"/>
      <c r="M190" s="1126"/>
      <c r="N190" s="1125">
        <v>9.83</v>
      </c>
      <c r="O190" s="1125">
        <v>9.83</v>
      </c>
      <c r="P190" s="1125">
        <v>0</v>
      </c>
      <c r="Q190" s="1125">
        <v>0</v>
      </c>
      <c r="R190" s="1125">
        <v>0</v>
      </c>
      <c r="S190" s="1125">
        <v>0</v>
      </c>
      <c r="T190" s="1125">
        <v>0</v>
      </c>
      <c r="U190" s="1125">
        <v>0</v>
      </c>
      <c r="V190" s="1127">
        <v>0</v>
      </c>
      <c r="W190" s="1127">
        <v>0</v>
      </c>
      <c r="X190" s="1124"/>
      <c r="Y190" s="1319"/>
      <c r="Z190" s="1319"/>
    </row>
    <row r="191" spans="1:26">
      <c r="A191" s="1122" t="s">
        <v>992</v>
      </c>
      <c r="B191" s="1123" t="s">
        <v>1056</v>
      </c>
      <c r="C191" s="1123" t="s">
        <v>970</v>
      </c>
      <c r="D191" s="1123" t="s">
        <v>2438</v>
      </c>
      <c r="E191" s="1123" t="s">
        <v>2439</v>
      </c>
      <c r="F191" s="1123" t="s">
        <v>2440</v>
      </c>
      <c r="G191" s="1123" t="s">
        <v>2135</v>
      </c>
      <c r="H191" s="1124" t="s">
        <v>2441</v>
      </c>
      <c r="I191" s="1123" t="s">
        <v>1944</v>
      </c>
      <c r="J191" s="1125">
        <v>0</v>
      </c>
      <c r="K191" s="1125">
        <v>17.989999999999998</v>
      </c>
      <c r="L191" s="1126"/>
      <c r="M191" s="1126"/>
      <c r="N191" s="1125">
        <v>17.989999999999998</v>
      </c>
      <c r="O191" s="1125">
        <v>17.989999999999998</v>
      </c>
      <c r="P191" s="1125">
        <v>0</v>
      </c>
      <c r="Q191" s="1125">
        <v>0</v>
      </c>
      <c r="R191" s="1125">
        <v>0</v>
      </c>
      <c r="S191" s="1125">
        <v>0</v>
      </c>
      <c r="T191" s="1125">
        <v>0</v>
      </c>
      <c r="U191" s="1125">
        <v>0</v>
      </c>
      <c r="V191" s="1127">
        <v>0</v>
      </c>
      <c r="W191" s="1127">
        <v>0</v>
      </c>
      <c r="X191" s="1124"/>
      <c r="Y191" s="1319"/>
      <c r="Z191" s="1319"/>
    </row>
    <row r="192" spans="1:26" ht="24">
      <c r="A192" s="1122" t="s">
        <v>869</v>
      </c>
      <c r="B192" s="1123" t="s">
        <v>915</v>
      </c>
      <c r="C192" s="1123" t="s">
        <v>971</v>
      </c>
      <c r="D192" s="1123" t="s">
        <v>972</v>
      </c>
      <c r="E192" s="1123" t="s">
        <v>1928</v>
      </c>
      <c r="F192" s="1123" t="s">
        <v>2442</v>
      </c>
      <c r="G192" s="1123" t="s">
        <v>1926</v>
      </c>
      <c r="H192" s="1124" t="s">
        <v>973</v>
      </c>
      <c r="I192" s="1123" t="s">
        <v>707</v>
      </c>
      <c r="J192" s="1125">
        <v>0</v>
      </c>
      <c r="K192" s="1125">
        <v>12.13</v>
      </c>
      <c r="L192" s="1126"/>
      <c r="M192" s="1126"/>
      <c r="N192" s="1125">
        <v>12.13</v>
      </c>
      <c r="O192" s="1125">
        <v>12.13</v>
      </c>
      <c r="P192" s="1125">
        <v>0</v>
      </c>
      <c r="Q192" s="1125">
        <v>0</v>
      </c>
      <c r="R192" s="1125">
        <v>0</v>
      </c>
      <c r="S192" s="1125">
        <v>0</v>
      </c>
      <c r="T192" s="1125">
        <v>0</v>
      </c>
      <c r="U192" s="1125">
        <v>0</v>
      </c>
      <c r="V192" s="1127">
        <v>0</v>
      </c>
      <c r="W192" s="1127">
        <v>0</v>
      </c>
      <c r="X192" s="1124"/>
      <c r="Y192" s="1319"/>
      <c r="Z192" s="1319"/>
    </row>
    <row r="193" spans="1:26" ht="24">
      <c r="A193" s="1122" t="s">
        <v>869</v>
      </c>
      <c r="B193" s="1123" t="s">
        <v>915</v>
      </c>
      <c r="C193" s="1123" t="s">
        <v>971</v>
      </c>
      <c r="D193" s="1123" t="s">
        <v>972</v>
      </c>
      <c r="E193" s="1123" t="s">
        <v>1928</v>
      </c>
      <c r="F193" s="1123" t="s">
        <v>2442</v>
      </c>
      <c r="G193" s="1123" t="s">
        <v>1926</v>
      </c>
      <c r="H193" s="1124" t="s">
        <v>973</v>
      </c>
      <c r="I193" s="1123" t="s">
        <v>713</v>
      </c>
      <c r="J193" s="1125">
        <v>0</v>
      </c>
      <c r="K193" s="1125">
        <v>6.5</v>
      </c>
      <c r="L193" s="1126"/>
      <c r="M193" s="1126"/>
      <c r="N193" s="1125">
        <v>6.5</v>
      </c>
      <c r="O193" s="1125">
        <v>6.5</v>
      </c>
      <c r="P193" s="1125">
        <v>0</v>
      </c>
      <c r="Q193" s="1125">
        <v>0</v>
      </c>
      <c r="R193" s="1125">
        <v>0</v>
      </c>
      <c r="S193" s="1125">
        <v>0</v>
      </c>
      <c r="T193" s="1125">
        <v>0</v>
      </c>
      <c r="U193" s="1125">
        <v>0</v>
      </c>
      <c r="V193" s="1127">
        <v>0</v>
      </c>
      <c r="W193" s="1127">
        <v>0</v>
      </c>
      <c r="X193" s="1124"/>
      <c r="Y193" s="1319"/>
      <c r="Z193" s="1319"/>
    </row>
    <row r="194" spans="1:26" ht="24">
      <c r="A194" s="1122" t="s">
        <v>869</v>
      </c>
      <c r="B194" s="1123" t="s">
        <v>915</v>
      </c>
      <c r="C194" s="1123" t="s">
        <v>971</v>
      </c>
      <c r="D194" s="1123" t="s">
        <v>972</v>
      </c>
      <c r="E194" s="1123" t="s">
        <v>1928</v>
      </c>
      <c r="F194" s="1123" t="s">
        <v>2442</v>
      </c>
      <c r="G194" s="1123" t="s">
        <v>1926</v>
      </c>
      <c r="H194" s="1124" t="s">
        <v>973</v>
      </c>
      <c r="I194" s="1123" t="s">
        <v>704</v>
      </c>
      <c r="J194" s="1125">
        <v>0</v>
      </c>
      <c r="K194" s="1125">
        <v>9.83</v>
      </c>
      <c r="L194" s="1126"/>
      <c r="M194" s="1126"/>
      <c r="N194" s="1125">
        <v>9.83</v>
      </c>
      <c r="O194" s="1125">
        <v>9.83</v>
      </c>
      <c r="P194" s="1125">
        <v>0</v>
      </c>
      <c r="Q194" s="1125">
        <v>0</v>
      </c>
      <c r="R194" s="1125">
        <v>0</v>
      </c>
      <c r="S194" s="1125">
        <v>0</v>
      </c>
      <c r="T194" s="1125">
        <v>0</v>
      </c>
      <c r="U194" s="1125">
        <v>0</v>
      </c>
      <c r="V194" s="1127">
        <v>0</v>
      </c>
      <c r="W194" s="1127">
        <v>0</v>
      </c>
      <c r="X194" s="1124"/>
      <c r="Y194" s="1319"/>
      <c r="Z194" s="1319"/>
    </row>
    <row r="195" spans="1:26" ht="24">
      <c r="A195" s="1122" t="s">
        <v>869</v>
      </c>
      <c r="B195" s="1123" t="s">
        <v>915</v>
      </c>
      <c r="C195" s="1123" t="s">
        <v>971</v>
      </c>
      <c r="D195" s="1123" t="s">
        <v>972</v>
      </c>
      <c r="E195" s="1123" t="s">
        <v>1928</v>
      </c>
      <c r="F195" s="1123" t="s">
        <v>2442</v>
      </c>
      <c r="G195" s="1123" t="s">
        <v>1926</v>
      </c>
      <c r="H195" s="1124" t="s">
        <v>973</v>
      </c>
      <c r="I195" s="1123" t="s">
        <v>1944</v>
      </c>
      <c r="J195" s="1125">
        <v>0</v>
      </c>
      <c r="K195" s="1125">
        <v>67.95</v>
      </c>
      <c r="L195" s="1126"/>
      <c r="M195" s="1126"/>
      <c r="N195" s="1125">
        <v>67.95</v>
      </c>
      <c r="O195" s="1125">
        <v>67.95</v>
      </c>
      <c r="P195" s="1125">
        <v>0</v>
      </c>
      <c r="Q195" s="1125">
        <v>0</v>
      </c>
      <c r="R195" s="1125">
        <v>0</v>
      </c>
      <c r="S195" s="1125">
        <v>0</v>
      </c>
      <c r="T195" s="1125">
        <v>0</v>
      </c>
      <c r="U195" s="1125">
        <v>0</v>
      </c>
      <c r="V195" s="1127">
        <v>0</v>
      </c>
      <c r="W195" s="1127">
        <v>0</v>
      </c>
      <c r="X195" s="1124"/>
      <c r="Y195" s="1319"/>
      <c r="Z195" s="1319"/>
    </row>
    <row r="196" spans="1:26" ht="24">
      <c r="A196" s="1122" t="s">
        <v>2443</v>
      </c>
      <c r="B196" s="1123" t="s">
        <v>857</v>
      </c>
      <c r="C196" s="1123" t="s">
        <v>974</v>
      </c>
      <c r="D196" s="1123" t="s">
        <v>2444</v>
      </c>
      <c r="E196" s="1123" t="s">
        <v>1928</v>
      </c>
      <c r="F196" s="1123" t="s">
        <v>2445</v>
      </c>
      <c r="G196" s="1123" t="s">
        <v>1926</v>
      </c>
      <c r="H196" s="1124" t="s">
        <v>976</v>
      </c>
      <c r="I196" s="1123" t="s">
        <v>707</v>
      </c>
      <c r="J196" s="1125">
        <v>0</v>
      </c>
      <c r="K196" s="1125">
        <v>27.8</v>
      </c>
      <c r="L196" s="1126"/>
      <c r="M196" s="1126"/>
      <c r="N196" s="1125">
        <v>27.8</v>
      </c>
      <c r="O196" s="1125">
        <v>27.8</v>
      </c>
      <c r="P196" s="1125">
        <v>0</v>
      </c>
      <c r="Q196" s="1125">
        <v>0</v>
      </c>
      <c r="R196" s="1125">
        <v>0</v>
      </c>
      <c r="S196" s="1125">
        <v>0</v>
      </c>
      <c r="T196" s="1125">
        <v>0</v>
      </c>
      <c r="U196" s="1125">
        <v>0</v>
      </c>
      <c r="V196" s="1127">
        <v>0</v>
      </c>
      <c r="W196" s="1127">
        <v>0</v>
      </c>
      <c r="X196" s="1124"/>
      <c r="Y196" s="1319"/>
      <c r="Z196" s="1319"/>
    </row>
    <row r="197" spans="1:26" ht="24">
      <c r="A197" s="1122" t="s">
        <v>2443</v>
      </c>
      <c r="B197" s="1123" t="s">
        <v>857</v>
      </c>
      <c r="C197" s="1123" t="s">
        <v>974</v>
      </c>
      <c r="D197" s="1123" t="s">
        <v>2444</v>
      </c>
      <c r="E197" s="1123" t="s">
        <v>1928</v>
      </c>
      <c r="F197" s="1123" t="s">
        <v>2445</v>
      </c>
      <c r="G197" s="1123" t="s">
        <v>1926</v>
      </c>
      <c r="H197" s="1124" t="s">
        <v>976</v>
      </c>
      <c r="I197" s="1123" t="s">
        <v>713</v>
      </c>
      <c r="J197" s="1125">
        <v>0</v>
      </c>
      <c r="K197" s="1125">
        <v>6.5</v>
      </c>
      <c r="L197" s="1126"/>
      <c r="M197" s="1126"/>
      <c r="N197" s="1125">
        <v>6.5</v>
      </c>
      <c r="O197" s="1125">
        <v>6.5</v>
      </c>
      <c r="P197" s="1125">
        <v>0</v>
      </c>
      <c r="Q197" s="1125">
        <v>0</v>
      </c>
      <c r="R197" s="1125">
        <v>0</v>
      </c>
      <c r="S197" s="1125">
        <v>0</v>
      </c>
      <c r="T197" s="1125">
        <v>0</v>
      </c>
      <c r="U197" s="1125">
        <v>0</v>
      </c>
      <c r="V197" s="1127">
        <v>0</v>
      </c>
      <c r="W197" s="1127">
        <v>0</v>
      </c>
      <c r="X197" s="1124"/>
      <c r="Y197" s="1319"/>
      <c r="Z197" s="1319"/>
    </row>
    <row r="198" spans="1:26" ht="24">
      <c r="A198" s="1122" t="s">
        <v>2443</v>
      </c>
      <c r="B198" s="1123" t="s">
        <v>857</v>
      </c>
      <c r="C198" s="1123" t="s">
        <v>974</v>
      </c>
      <c r="D198" s="1123" t="s">
        <v>2444</v>
      </c>
      <c r="E198" s="1123" t="s">
        <v>1928</v>
      </c>
      <c r="F198" s="1123" t="s">
        <v>2445</v>
      </c>
      <c r="G198" s="1123" t="s">
        <v>1926</v>
      </c>
      <c r="H198" s="1124" t="s">
        <v>976</v>
      </c>
      <c r="I198" s="1123" t="s">
        <v>704</v>
      </c>
      <c r="J198" s="1125">
        <v>0</v>
      </c>
      <c r="K198" s="1125">
        <v>9.83</v>
      </c>
      <c r="L198" s="1126"/>
      <c r="M198" s="1126"/>
      <c r="N198" s="1125">
        <v>9.83</v>
      </c>
      <c r="O198" s="1125">
        <v>9.83</v>
      </c>
      <c r="P198" s="1125">
        <v>0</v>
      </c>
      <c r="Q198" s="1125">
        <v>0</v>
      </c>
      <c r="R198" s="1125">
        <v>0</v>
      </c>
      <c r="S198" s="1125">
        <v>0</v>
      </c>
      <c r="T198" s="1125">
        <v>0</v>
      </c>
      <c r="U198" s="1125">
        <v>0</v>
      </c>
      <c r="V198" s="1127">
        <v>0</v>
      </c>
      <c r="W198" s="1127">
        <v>0</v>
      </c>
      <c r="X198" s="1124"/>
      <c r="Y198" s="1319"/>
      <c r="Z198" s="1319"/>
    </row>
    <row r="199" spans="1:26" ht="24">
      <c r="A199" s="1122" t="s">
        <v>2443</v>
      </c>
      <c r="B199" s="1123" t="s">
        <v>857</v>
      </c>
      <c r="C199" s="1123" t="s">
        <v>974</v>
      </c>
      <c r="D199" s="1123" t="s">
        <v>2444</v>
      </c>
      <c r="E199" s="1123" t="s">
        <v>1928</v>
      </c>
      <c r="F199" s="1123" t="s">
        <v>2445</v>
      </c>
      <c r="G199" s="1123" t="s">
        <v>1926</v>
      </c>
      <c r="H199" s="1124" t="s">
        <v>976</v>
      </c>
      <c r="I199" s="1123" t="s">
        <v>1944</v>
      </c>
      <c r="J199" s="1125">
        <v>0</v>
      </c>
      <c r="K199" s="1125">
        <v>53.82</v>
      </c>
      <c r="L199" s="1126"/>
      <c r="M199" s="1126"/>
      <c r="N199" s="1125">
        <v>53.82</v>
      </c>
      <c r="O199" s="1125">
        <v>53.82</v>
      </c>
      <c r="P199" s="1125">
        <v>0</v>
      </c>
      <c r="Q199" s="1125">
        <v>0</v>
      </c>
      <c r="R199" s="1125">
        <v>0</v>
      </c>
      <c r="S199" s="1125">
        <v>0</v>
      </c>
      <c r="T199" s="1125">
        <v>0</v>
      </c>
      <c r="U199" s="1125">
        <v>0</v>
      </c>
      <c r="V199" s="1127">
        <v>0</v>
      </c>
      <c r="W199" s="1127">
        <v>0</v>
      </c>
      <c r="X199" s="1124"/>
      <c r="Y199" s="1319"/>
      <c r="Z199" s="1319"/>
    </row>
    <row r="200" spans="1:26" ht="24">
      <c r="A200" s="1122" t="s">
        <v>829</v>
      </c>
      <c r="B200" s="1123" t="s">
        <v>2446</v>
      </c>
      <c r="C200" s="1123" t="s">
        <v>979</v>
      </c>
      <c r="D200" s="1123" t="s">
        <v>2447</v>
      </c>
      <c r="E200" s="1123" t="s">
        <v>2448</v>
      </c>
      <c r="F200" s="1123" t="s">
        <v>2449</v>
      </c>
      <c r="G200" s="1123" t="s">
        <v>1926</v>
      </c>
      <c r="H200" s="1124" t="s">
        <v>981</v>
      </c>
      <c r="I200" s="1123" t="s">
        <v>707</v>
      </c>
      <c r="J200" s="1125">
        <v>0</v>
      </c>
      <c r="K200" s="1125">
        <v>30.68</v>
      </c>
      <c r="L200" s="1126"/>
      <c r="M200" s="1126"/>
      <c r="N200" s="1125">
        <v>30.68</v>
      </c>
      <c r="O200" s="1125">
        <v>30.68</v>
      </c>
      <c r="P200" s="1125">
        <v>0</v>
      </c>
      <c r="Q200" s="1125">
        <v>0</v>
      </c>
      <c r="R200" s="1125">
        <v>0</v>
      </c>
      <c r="S200" s="1125">
        <v>0</v>
      </c>
      <c r="T200" s="1125">
        <v>0</v>
      </c>
      <c r="U200" s="1125">
        <v>0</v>
      </c>
      <c r="V200" s="1127">
        <v>1</v>
      </c>
      <c r="W200" s="1127">
        <v>2</v>
      </c>
      <c r="X200" s="1124"/>
      <c r="Y200" s="1319"/>
      <c r="Z200" s="1319"/>
    </row>
    <row r="201" spans="1:26" ht="24">
      <c r="A201" s="1122" t="s">
        <v>829</v>
      </c>
      <c r="B201" s="1123" t="s">
        <v>2446</v>
      </c>
      <c r="C201" s="1123" t="s">
        <v>979</v>
      </c>
      <c r="D201" s="1123" t="s">
        <v>2447</v>
      </c>
      <c r="E201" s="1123" t="s">
        <v>2448</v>
      </c>
      <c r="F201" s="1123" t="s">
        <v>2449</v>
      </c>
      <c r="G201" s="1123" t="s">
        <v>1926</v>
      </c>
      <c r="H201" s="1124" t="s">
        <v>981</v>
      </c>
      <c r="I201" s="1123" t="s">
        <v>713</v>
      </c>
      <c r="J201" s="1125">
        <v>0</v>
      </c>
      <c r="K201" s="1125">
        <v>6.5</v>
      </c>
      <c r="L201" s="1126"/>
      <c r="M201" s="1126"/>
      <c r="N201" s="1125">
        <v>6.5</v>
      </c>
      <c r="O201" s="1125">
        <v>6.5</v>
      </c>
      <c r="P201" s="1125">
        <v>0</v>
      </c>
      <c r="Q201" s="1125">
        <v>0</v>
      </c>
      <c r="R201" s="1125">
        <v>0</v>
      </c>
      <c r="S201" s="1125">
        <v>0</v>
      </c>
      <c r="T201" s="1125">
        <v>0</v>
      </c>
      <c r="U201" s="1125">
        <v>0</v>
      </c>
      <c r="V201" s="1127">
        <v>1</v>
      </c>
      <c r="W201" s="1127">
        <v>2</v>
      </c>
      <c r="X201" s="1124"/>
      <c r="Y201" s="1319"/>
      <c r="Z201" s="1319"/>
    </row>
    <row r="202" spans="1:26" ht="24">
      <c r="A202" s="1122" t="s">
        <v>829</v>
      </c>
      <c r="B202" s="1123" t="s">
        <v>2446</v>
      </c>
      <c r="C202" s="1123" t="s">
        <v>979</v>
      </c>
      <c r="D202" s="1123" t="s">
        <v>2447</v>
      </c>
      <c r="E202" s="1123" t="s">
        <v>2448</v>
      </c>
      <c r="F202" s="1123" t="s">
        <v>2449</v>
      </c>
      <c r="G202" s="1123" t="s">
        <v>1926</v>
      </c>
      <c r="H202" s="1124" t="s">
        <v>981</v>
      </c>
      <c r="I202" s="1123" t="s">
        <v>704</v>
      </c>
      <c r="J202" s="1125">
        <v>0</v>
      </c>
      <c r="K202" s="1125">
        <v>9.83</v>
      </c>
      <c r="L202" s="1126"/>
      <c r="M202" s="1126"/>
      <c r="N202" s="1125">
        <v>9.83</v>
      </c>
      <c r="O202" s="1125">
        <v>9.83</v>
      </c>
      <c r="P202" s="1125">
        <v>0</v>
      </c>
      <c r="Q202" s="1125">
        <v>0</v>
      </c>
      <c r="R202" s="1125">
        <v>0</v>
      </c>
      <c r="S202" s="1125">
        <v>0</v>
      </c>
      <c r="T202" s="1125">
        <v>0</v>
      </c>
      <c r="U202" s="1125">
        <v>0</v>
      </c>
      <c r="V202" s="1127">
        <v>1</v>
      </c>
      <c r="W202" s="1127">
        <v>2</v>
      </c>
      <c r="X202" s="1124"/>
      <c r="Y202" s="1319"/>
      <c r="Z202" s="1319"/>
    </row>
    <row r="203" spans="1:26" ht="24">
      <c r="A203" s="1122" t="s">
        <v>829</v>
      </c>
      <c r="B203" s="1123" t="s">
        <v>2446</v>
      </c>
      <c r="C203" s="1123" t="s">
        <v>979</v>
      </c>
      <c r="D203" s="1123" t="s">
        <v>2447</v>
      </c>
      <c r="E203" s="1123" t="s">
        <v>2448</v>
      </c>
      <c r="F203" s="1123" t="s">
        <v>2449</v>
      </c>
      <c r="G203" s="1123" t="s">
        <v>1926</v>
      </c>
      <c r="H203" s="1124" t="s">
        <v>981</v>
      </c>
      <c r="I203" s="1123" t="s">
        <v>1944</v>
      </c>
      <c r="J203" s="1125">
        <v>0</v>
      </c>
      <c r="K203" s="1125">
        <v>52.07</v>
      </c>
      <c r="L203" s="1126"/>
      <c r="M203" s="1126"/>
      <c r="N203" s="1125">
        <v>52.07</v>
      </c>
      <c r="O203" s="1125">
        <v>52.07</v>
      </c>
      <c r="P203" s="1125">
        <v>0</v>
      </c>
      <c r="Q203" s="1125">
        <v>0</v>
      </c>
      <c r="R203" s="1125">
        <v>0</v>
      </c>
      <c r="S203" s="1125">
        <v>0</v>
      </c>
      <c r="T203" s="1125">
        <v>0</v>
      </c>
      <c r="U203" s="1125">
        <v>0</v>
      </c>
      <c r="V203" s="1127">
        <v>1</v>
      </c>
      <c r="W203" s="1127">
        <v>2</v>
      </c>
      <c r="X203" s="1124"/>
      <c r="Y203" s="1319"/>
      <c r="Z203" s="1319"/>
    </row>
    <row r="204" spans="1:26" ht="36">
      <c r="A204" s="1122" t="s">
        <v>780</v>
      </c>
      <c r="B204" s="1123" t="s">
        <v>1115</v>
      </c>
      <c r="C204" s="1123" t="s">
        <v>983</v>
      </c>
      <c r="D204" s="1123" t="s">
        <v>2450</v>
      </c>
      <c r="E204" s="1123" t="s">
        <v>1928</v>
      </c>
      <c r="F204" s="1123" t="s">
        <v>2451</v>
      </c>
      <c r="G204" s="1123" t="s">
        <v>2135</v>
      </c>
      <c r="H204" s="1124" t="s">
        <v>1555</v>
      </c>
      <c r="I204" s="1123" t="s">
        <v>707</v>
      </c>
      <c r="J204" s="1125">
        <v>0</v>
      </c>
      <c r="K204" s="1125">
        <v>8.4700000000000006</v>
      </c>
      <c r="L204" s="1126"/>
      <c r="M204" s="1126"/>
      <c r="N204" s="1125">
        <v>8.4700000000000006</v>
      </c>
      <c r="O204" s="1125">
        <v>8.4700000000000006</v>
      </c>
      <c r="P204" s="1125">
        <v>0</v>
      </c>
      <c r="Q204" s="1125">
        <v>0</v>
      </c>
      <c r="R204" s="1125">
        <v>0</v>
      </c>
      <c r="S204" s="1125">
        <v>0</v>
      </c>
      <c r="T204" s="1125">
        <v>0</v>
      </c>
      <c r="U204" s="1125">
        <v>0</v>
      </c>
      <c r="V204" s="1127">
        <v>0</v>
      </c>
      <c r="W204" s="1127">
        <v>0</v>
      </c>
      <c r="X204" s="1124"/>
      <c r="Y204" s="1319"/>
      <c r="Z204" s="1319"/>
    </row>
    <row r="205" spans="1:26" ht="36">
      <c r="A205" s="1122" t="s">
        <v>780</v>
      </c>
      <c r="B205" s="1123" t="s">
        <v>1115</v>
      </c>
      <c r="C205" s="1123" t="s">
        <v>983</v>
      </c>
      <c r="D205" s="1123" t="s">
        <v>2450</v>
      </c>
      <c r="E205" s="1123" t="s">
        <v>1928</v>
      </c>
      <c r="F205" s="1123" t="s">
        <v>2451</v>
      </c>
      <c r="G205" s="1123" t="s">
        <v>2135</v>
      </c>
      <c r="H205" s="1124" t="s">
        <v>1555</v>
      </c>
      <c r="I205" s="1123" t="s">
        <v>713</v>
      </c>
      <c r="J205" s="1125">
        <v>0</v>
      </c>
      <c r="K205" s="1125">
        <v>6.5</v>
      </c>
      <c r="L205" s="1126"/>
      <c r="M205" s="1126"/>
      <c r="N205" s="1125">
        <v>6.5</v>
      </c>
      <c r="O205" s="1125">
        <v>6.5</v>
      </c>
      <c r="P205" s="1125">
        <v>0</v>
      </c>
      <c r="Q205" s="1125">
        <v>0</v>
      </c>
      <c r="R205" s="1125">
        <v>0</v>
      </c>
      <c r="S205" s="1125">
        <v>0</v>
      </c>
      <c r="T205" s="1125">
        <v>0</v>
      </c>
      <c r="U205" s="1125">
        <v>0</v>
      </c>
      <c r="V205" s="1127">
        <v>0</v>
      </c>
      <c r="W205" s="1127">
        <v>0</v>
      </c>
      <c r="X205" s="1124"/>
      <c r="Y205" s="1319"/>
      <c r="Z205" s="1319"/>
    </row>
    <row r="206" spans="1:26" ht="36">
      <c r="A206" s="1122" t="s">
        <v>780</v>
      </c>
      <c r="B206" s="1123" t="s">
        <v>1115</v>
      </c>
      <c r="C206" s="1123" t="s">
        <v>983</v>
      </c>
      <c r="D206" s="1123" t="s">
        <v>2450</v>
      </c>
      <c r="E206" s="1123" t="s">
        <v>1928</v>
      </c>
      <c r="F206" s="1123" t="s">
        <v>2451</v>
      </c>
      <c r="G206" s="1123" t="s">
        <v>2135</v>
      </c>
      <c r="H206" s="1124" t="s">
        <v>1555</v>
      </c>
      <c r="I206" s="1123" t="s">
        <v>704</v>
      </c>
      <c r="J206" s="1125">
        <v>0</v>
      </c>
      <c r="K206" s="1125">
        <v>3</v>
      </c>
      <c r="L206" s="1126"/>
      <c r="M206" s="1126"/>
      <c r="N206" s="1125">
        <v>3</v>
      </c>
      <c r="O206" s="1125">
        <v>3</v>
      </c>
      <c r="P206" s="1125">
        <v>0</v>
      </c>
      <c r="Q206" s="1125">
        <v>0</v>
      </c>
      <c r="R206" s="1125">
        <v>0</v>
      </c>
      <c r="S206" s="1125">
        <v>0</v>
      </c>
      <c r="T206" s="1125">
        <v>0</v>
      </c>
      <c r="U206" s="1125">
        <v>0</v>
      </c>
      <c r="V206" s="1127">
        <v>0</v>
      </c>
      <c r="W206" s="1127">
        <v>0</v>
      </c>
      <c r="X206" s="1124"/>
      <c r="Y206" s="1319"/>
      <c r="Z206" s="1319"/>
    </row>
    <row r="207" spans="1:26" ht="36">
      <c r="A207" s="1122" t="s">
        <v>780</v>
      </c>
      <c r="B207" s="1123" t="s">
        <v>1115</v>
      </c>
      <c r="C207" s="1123" t="s">
        <v>983</v>
      </c>
      <c r="D207" s="1123" t="s">
        <v>2450</v>
      </c>
      <c r="E207" s="1123" t="s">
        <v>1928</v>
      </c>
      <c r="F207" s="1123" t="s">
        <v>2451</v>
      </c>
      <c r="G207" s="1123" t="s">
        <v>2135</v>
      </c>
      <c r="H207" s="1124" t="s">
        <v>1555</v>
      </c>
      <c r="I207" s="1123" t="s">
        <v>1944</v>
      </c>
      <c r="J207" s="1125">
        <v>0</v>
      </c>
      <c r="K207" s="1125">
        <v>43.97</v>
      </c>
      <c r="L207" s="1126"/>
      <c r="M207" s="1126"/>
      <c r="N207" s="1125">
        <v>43.97</v>
      </c>
      <c r="O207" s="1125">
        <v>43.97</v>
      </c>
      <c r="P207" s="1125">
        <v>0</v>
      </c>
      <c r="Q207" s="1125">
        <v>0</v>
      </c>
      <c r="R207" s="1125">
        <v>0</v>
      </c>
      <c r="S207" s="1125">
        <v>0</v>
      </c>
      <c r="T207" s="1125">
        <v>0</v>
      </c>
      <c r="U207" s="1125">
        <v>0</v>
      </c>
      <c r="V207" s="1127">
        <v>0</v>
      </c>
      <c r="W207" s="1127">
        <v>0</v>
      </c>
      <c r="X207" s="1124"/>
      <c r="Y207" s="1319"/>
      <c r="Z207" s="1319"/>
    </row>
    <row r="208" spans="1:26" ht="24">
      <c r="A208" s="1122" t="s">
        <v>2452</v>
      </c>
      <c r="B208" s="1123" t="s">
        <v>1076</v>
      </c>
      <c r="C208" s="1123" t="s">
        <v>406</v>
      </c>
      <c r="D208" s="1123" t="s">
        <v>2453</v>
      </c>
      <c r="E208" s="1123" t="s">
        <v>2454</v>
      </c>
      <c r="F208" s="1123" t="s">
        <v>2455</v>
      </c>
      <c r="G208" s="1123" t="s">
        <v>1926</v>
      </c>
      <c r="H208" s="1124" t="s">
        <v>812</v>
      </c>
      <c r="I208" s="1123" t="s">
        <v>703</v>
      </c>
      <c r="J208" s="1125">
        <v>0</v>
      </c>
      <c r="K208" s="1125">
        <v>8.9499999999999993</v>
      </c>
      <c r="L208" s="1126"/>
      <c r="M208" s="1126"/>
      <c r="N208" s="1125">
        <v>8.9499999999999993</v>
      </c>
      <c r="O208" s="1125">
        <v>8.9499999999999993</v>
      </c>
      <c r="P208" s="1125">
        <v>0</v>
      </c>
      <c r="Q208" s="1125">
        <v>0</v>
      </c>
      <c r="R208" s="1125">
        <v>0</v>
      </c>
      <c r="S208" s="1125">
        <v>0</v>
      </c>
      <c r="T208" s="1125">
        <v>250</v>
      </c>
      <c r="U208" s="1125">
        <v>0</v>
      </c>
      <c r="V208" s="1127">
        <v>0</v>
      </c>
      <c r="W208" s="1127">
        <v>0</v>
      </c>
      <c r="X208" s="1124"/>
      <c r="Y208" s="1319"/>
      <c r="Z208" s="1319"/>
    </row>
    <row r="209" spans="1:26" ht="24">
      <c r="A209" s="1122" t="s">
        <v>2452</v>
      </c>
      <c r="B209" s="1123" t="s">
        <v>1076</v>
      </c>
      <c r="C209" s="1123" t="s">
        <v>406</v>
      </c>
      <c r="D209" s="1123" t="s">
        <v>2453</v>
      </c>
      <c r="E209" s="1123" t="s">
        <v>2454</v>
      </c>
      <c r="F209" s="1123" t="s">
        <v>2455</v>
      </c>
      <c r="G209" s="1123" t="s">
        <v>1926</v>
      </c>
      <c r="H209" s="1124" t="s">
        <v>812</v>
      </c>
      <c r="I209" s="1123" t="s">
        <v>1943</v>
      </c>
      <c r="J209" s="1125">
        <v>-8.9499999999999993</v>
      </c>
      <c r="K209" s="1125">
        <v>0</v>
      </c>
      <c r="L209" s="1126"/>
      <c r="M209" s="1126"/>
      <c r="N209" s="1125">
        <v>-8.9499999999999993</v>
      </c>
      <c r="O209" s="1125">
        <v>0</v>
      </c>
      <c r="P209" s="1125">
        <v>-8.9499999999999993</v>
      </c>
      <c r="Q209" s="1125">
        <v>0</v>
      </c>
      <c r="R209" s="1125">
        <v>0</v>
      </c>
      <c r="S209" s="1125">
        <v>0</v>
      </c>
      <c r="T209" s="1125">
        <v>0</v>
      </c>
      <c r="U209" s="1125">
        <v>0</v>
      </c>
      <c r="V209" s="1127">
        <v>0</v>
      </c>
      <c r="W209" s="1127">
        <v>0</v>
      </c>
      <c r="X209" s="1124"/>
      <c r="Y209" s="1319"/>
      <c r="Z209" s="1319"/>
    </row>
    <row r="210" spans="1:26" ht="24">
      <c r="A210" s="1122" t="s">
        <v>2456</v>
      </c>
      <c r="B210" s="1123" t="s">
        <v>1267</v>
      </c>
      <c r="C210" s="1123" t="s">
        <v>992</v>
      </c>
      <c r="D210" s="1123" t="s">
        <v>2457</v>
      </c>
      <c r="E210" s="1123" t="s">
        <v>1928</v>
      </c>
      <c r="F210" s="1123" t="s">
        <v>2458</v>
      </c>
      <c r="G210" s="1123" t="s">
        <v>1926</v>
      </c>
      <c r="H210" s="1124" t="s">
        <v>994</v>
      </c>
      <c r="I210" s="1123" t="s">
        <v>1945</v>
      </c>
      <c r="J210" s="1125">
        <v>-25</v>
      </c>
      <c r="K210" s="1125">
        <v>0</v>
      </c>
      <c r="L210" s="1126"/>
      <c r="M210" s="1126"/>
      <c r="N210" s="1125">
        <v>-25</v>
      </c>
      <c r="O210" s="1125">
        <v>-25</v>
      </c>
      <c r="P210" s="1125">
        <v>0</v>
      </c>
      <c r="Q210" s="1125">
        <v>0</v>
      </c>
      <c r="R210" s="1125">
        <v>0</v>
      </c>
      <c r="S210" s="1125">
        <v>0</v>
      </c>
      <c r="T210" s="1125">
        <v>0</v>
      </c>
      <c r="U210" s="1125">
        <v>0</v>
      </c>
      <c r="V210" s="1127">
        <v>0</v>
      </c>
      <c r="W210" s="1127">
        <v>0</v>
      </c>
      <c r="X210" s="1124"/>
      <c r="Y210" s="1319"/>
      <c r="Z210" s="1319"/>
    </row>
    <row r="211" spans="1:26" ht="24">
      <c r="A211" s="1122" t="s">
        <v>1950</v>
      </c>
      <c r="B211" s="1123" t="s">
        <v>2459</v>
      </c>
      <c r="C211" s="1123" t="s">
        <v>995</v>
      </c>
      <c r="D211" s="1123" t="s">
        <v>1026</v>
      </c>
      <c r="E211" s="1123" t="s">
        <v>2460</v>
      </c>
      <c r="F211" s="1123" t="s">
        <v>2461</v>
      </c>
      <c r="G211" s="1123" t="s">
        <v>1926</v>
      </c>
      <c r="H211" s="1124" t="s">
        <v>2225</v>
      </c>
      <c r="I211" s="1123" t="s">
        <v>2204</v>
      </c>
      <c r="J211" s="1125">
        <v>-46.97</v>
      </c>
      <c r="K211" s="1125">
        <v>0</v>
      </c>
      <c r="L211" s="1126"/>
      <c r="M211" s="1126"/>
      <c r="N211" s="1125">
        <v>-46.97</v>
      </c>
      <c r="O211" s="1125">
        <v>-46.97</v>
      </c>
      <c r="P211" s="1125">
        <v>0</v>
      </c>
      <c r="Q211" s="1125">
        <v>0</v>
      </c>
      <c r="R211" s="1125">
        <v>0</v>
      </c>
      <c r="S211" s="1125">
        <v>0</v>
      </c>
      <c r="T211" s="1125">
        <v>0</v>
      </c>
      <c r="U211" s="1125">
        <v>0</v>
      </c>
      <c r="V211" s="1127">
        <v>0</v>
      </c>
      <c r="W211" s="1127">
        <v>0</v>
      </c>
      <c r="X211" s="1124"/>
      <c r="Y211" s="1319"/>
      <c r="Z211" s="1319"/>
    </row>
    <row r="212" spans="1:26" ht="24">
      <c r="A212" s="1122" t="s">
        <v>2462</v>
      </c>
      <c r="B212" s="1123" t="s">
        <v>2463</v>
      </c>
      <c r="C212" s="1123" t="s">
        <v>999</v>
      </c>
      <c r="D212" s="1123" t="s">
        <v>1000</v>
      </c>
      <c r="E212" s="1123" t="s">
        <v>1928</v>
      </c>
      <c r="F212" s="1123" t="s">
        <v>2464</v>
      </c>
      <c r="G212" s="1123" t="s">
        <v>1926</v>
      </c>
      <c r="H212" s="1124" t="s">
        <v>1001</v>
      </c>
      <c r="I212" s="1123" t="s">
        <v>1929</v>
      </c>
      <c r="J212" s="1125">
        <v>-80.400000000000006</v>
      </c>
      <c r="K212" s="1125">
        <v>0</v>
      </c>
      <c r="L212" s="1126"/>
      <c r="M212" s="1126"/>
      <c r="N212" s="1125">
        <v>-80.400000000000006</v>
      </c>
      <c r="O212" s="1125">
        <v>-80.400000000000006</v>
      </c>
      <c r="P212" s="1125">
        <v>0</v>
      </c>
      <c r="Q212" s="1125">
        <v>0</v>
      </c>
      <c r="R212" s="1125">
        <v>0</v>
      </c>
      <c r="S212" s="1125">
        <v>0</v>
      </c>
      <c r="T212" s="1125">
        <v>2425</v>
      </c>
      <c r="U212" s="1125">
        <v>0</v>
      </c>
      <c r="V212" s="1127">
        <v>0</v>
      </c>
      <c r="W212" s="1127">
        <v>0</v>
      </c>
      <c r="X212" s="1124"/>
      <c r="Y212" s="1319"/>
      <c r="Z212" s="1319"/>
    </row>
    <row r="213" spans="1:26" ht="24">
      <c r="A213" s="1122" t="s">
        <v>1092</v>
      </c>
      <c r="B213" s="1123" t="s">
        <v>2465</v>
      </c>
      <c r="C213" s="1123" t="s">
        <v>1034</v>
      </c>
      <c r="D213" s="1123" t="s">
        <v>2466</v>
      </c>
      <c r="E213" s="1123" t="s">
        <v>2467</v>
      </c>
      <c r="F213" s="1123" t="s">
        <v>2468</v>
      </c>
      <c r="G213" s="1123" t="s">
        <v>2135</v>
      </c>
      <c r="H213" s="1124" t="s">
        <v>2469</v>
      </c>
      <c r="I213" s="1123" t="s">
        <v>2204</v>
      </c>
      <c r="J213" s="1125">
        <v>-516.91999999999996</v>
      </c>
      <c r="K213" s="1125">
        <v>0</v>
      </c>
      <c r="L213" s="1126"/>
      <c r="M213" s="1126"/>
      <c r="N213" s="1125">
        <v>-516.91999999999996</v>
      </c>
      <c r="O213" s="1125">
        <v>-516.91999999999996</v>
      </c>
      <c r="P213" s="1125">
        <v>0</v>
      </c>
      <c r="Q213" s="1125">
        <v>0</v>
      </c>
      <c r="R213" s="1125">
        <v>0</v>
      </c>
      <c r="S213" s="1125">
        <v>0</v>
      </c>
      <c r="T213" s="1125">
        <v>0</v>
      </c>
      <c r="U213" s="1125">
        <v>0</v>
      </c>
      <c r="V213" s="1127">
        <v>0</v>
      </c>
      <c r="W213" s="1127">
        <v>0</v>
      </c>
      <c r="X213" s="1124"/>
      <c r="Y213" s="1319"/>
      <c r="Z213" s="1319"/>
    </row>
    <row r="214" spans="1:26" ht="24">
      <c r="A214" s="1122" t="s">
        <v>1092</v>
      </c>
      <c r="B214" s="1123" t="s">
        <v>2465</v>
      </c>
      <c r="C214" s="1123" t="s">
        <v>1034</v>
      </c>
      <c r="D214" s="1123" t="s">
        <v>2466</v>
      </c>
      <c r="E214" s="1123" t="s">
        <v>2467</v>
      </c>
      <c r="F214" s="1123" t="s">
        <v>2468</v>
      </c>
      <c r="G214" s="1123" t="s">
        <v>2135</v>
      </c>
      <c r="H214" s="1124" t="s">
        <v>2469</v>
      </c>
      <c r="I214" s="1123" t="s">
        <v>1929</v>
      </c>
      <c r="J214" s="1125">
        <v>0</v>
      </c>
      <c r="K214" s="1125">
        <v>516.91999999999996</v>
      </c>
      <c r="L214" s="1126"/>
      <c r="M214" s="1126"/>
      <c r="N214" s="1125">
        <v>516.91999999999996</v>
      </c>
      <c r="O214" s="1125">
        <v>516.91999999999996</v>
      </c>
      <c r="P214" s="1125">
        <v>0</v>
      </c>
      <c r="Q214" s="1125">
        <v>0</v>
      </c>
      <c r="R214" s="1125">
        <v>0</v>
      </c>
      <c r="S214" s="1125">
        <v>0</v>
      </c>
      <c r="T214" s="1125">
        <v>0</v>
      </c>
      <c r="U214" s="1125">
        <v>0</v>
      </c>
      <c r="V214" s="1127">
        <v>0</v>
      </c>
      <c r="W214" s="1127">
        <v>0</v>
      </c>
      <c r="X214" s="1124"/>
      <c r="Y214" s="1319"/>
      <c r="Z214" s="1319"/>
    </row>
    <row r="215" spans="1:26" ht="24">
      <c r="A215" s="1122" t="s">
        <v>2470</v>
      </c>
      <c r="B215" s="1123" t="s">
        <v>878</v>
      </c>
      <c r="C215" s="1123" t="s">
        <v>1068</v>
      </c>
      <c r="D215" s="1123" t="s">
        <v>2471</v>
      </c>
      <c r="E215" s="1123" t="s">
        <v>1928</v>
      </c>
      <c r="F215" s="1123" t="s">
        <v>2472</v>
      </c>
      <c r="G215" s="1123" t="s">
        <v>2135</v>
      </c>
      <c r="H215" s="1124" t="s">
        <v>2230</v>
      </c>
      <c r="I215" s="1123" t="s">
        <v>1933</v>
      </c>
      <c r="J215" s="1125">
        <v>-116.76</v>
      </c>
      <c r="K215" s="1125">
        <v>0</v>
      </c>
      <c r="L215" s="1126"/>
      <c r="M215" s="1126"/>
      <c r="N215" s="1125">
        <v>-116.76</v>
      </c>
      <c r="O215" s="1125">
        <v>0</v>
      </c>
      <c r="P215" s="1125">
        <v>0</v>
      </c>
      <c r="Q215" s="1125">
        <v>-116.76</v>
      </c>
      <c r="R215" s="1125">
        <v>0</v>
      </c>
      <c r="S215" s="1125">
        <v>0</v>
      </c>
      <c r="T215" s="1125">
        <v>0</v>
      </c>
      <c r="U215" s="1125">
        <v>0</v>
      </c>
      <c r="V215" s="1127">
        <v>0</v>
      </c>
      <c r="W215" s="1127">
        <v>0</v>
      </c>
      <c r="X215" s="1124"/>
      <c r="Y215" s="1319"/>
      <c r="Z215" s="1319"/>
    </row>
    <row r="216" spans="1:26" ht="24">
      <c r="A216" s="1122" t="s">
        <v>2408</v>
      </c>
      <c r="B216" s="1123" t="s">
        <v>2473</v>
      </c>
      <c r="C216" s="1123" t="s">
        <v>1068</v>
      </c>
      <c r="D216" s="1123" t="s">
        <v>2474</v>
      </c>
      <c r="E216" s="1123" t="s">
        <v>2475</v>
      </c>
      <c r="F216" s="1123" t="s">
        <v>2476</v>
      </c>
      <c r="G216" s="1123" t="s">
        <v>1926</v>
      </c>
      <c r="H216" s="1124" t="s">
        <v>1588</v>
      </c>
      <c r="I216" s="1123" t="s">
        <v>703</v>
      </c>
      <c r="J216" s="1125">
        <v>0</v>
      </c>
      <c r="K216" s="1125">
        <v>8.9499999999999993</v>
      </c>
      <c r="L216" s="1126"/>
      <c r="M216" s="1126"/>
      <c r="N216" s="1125">
        <v>8.9499999999999993</v>
      </c>
      <c r="O216" s="1125">
        <v>8.9499999999999993</v>
      </c>
      <c r="P216" s="1125">
        <v>0</v>
      </c>
      <c r="Q216" s="1125">
        <v>0</v>
      </c>
      <c r="R216" s="1125">
        <v>0</v>
      </c>
      <c r="S216" s="1125">
        <v>0</v>
      </c>
      <c r="T216" s="1125">
        <v>250</v>
      </c>
      <c r="U216" s="1125">
        <v>0</v>
      </c>
      <c r="V216" s="1127">
        <v>0</v>
      </c>
      <c r="W216" s="1127">
        <v>0</v>
      </c>
      <c r="X216" s="1124"/>
      <c r="Y216" s="1319"/>
      <c r="Z216" s="1319"/>
    </row>
    <row r="217" spans="1:26" ht="24">
      <c r="A217" s="1122" t="s">
        <v>738</v>
      </c>
      <c r="B217" s="1123" t="s">
        <v>758</v>
      </c>
      <c r="C217" s="1123" t="s">
        <v>1074</v>
      </c>
      <c r="D217" s="1123" t="s">
        <v>1075</v>
      </c>
      <c r="E217" s="1123" t="s">
        <v>1928</v>
      </c>
      <c r="F217" s="1123" t="s">
        <v>2477</v>
      </c>
      <c r="G217" s="1123" t="s">
        <v>1926</v>
      </c>
      <c r="H217" s="1124" t="s">
        <v>777</v>
      </c>
      <c r="I217" s="1123" t="s">
        <v>1929</v>
      </c>
      <c r="J217" s="1125">
        <v>-1245.24</v>
      </c>
      <c r="K217" s="1125">
        <v>0</v>
      </c>
      <c r="L217" s="1126"/>
      <c r="M217" s="1126"/>
      <c r="N217" s="1125">
        <v>-1245.24</v>
      </c>
      <c r="O217" s="1125">
        <v>0</v>
      </c>
      <c r="P217" s="1125">
        <v>-262.24</v>
      </c>
      <c r="Q217" s="1125">
        <v>-236.19</v>
      </c>
      <c r="R217" s="1125">
        <v>-746.81</v>
      </c>
      <c r="S217" s="1125">
        <v>0</v>
      </c>
      <c r="T217" s="1125">
        <v>0</v>
      </c>
      <c r="U217" s="1125">
        <v>0</v>
      </c>
      <c r="V217" s="1127">
        <v>0</v>
      </c>
      <c r="W217" s="1127">
        <v>0</v>
      </c>
      <c r="X217" s="1124"/>
      <c r="Y217" s="1319"/>
      <c r="Z217" s="1319"/>
    </row>
    <row r="218" spans="1:26" ht="24">
      <c r="A218" s="1122" t="s">
        <v>738</v>
      </c>
      <c r="B218" s="1123" t="s">
        <v>758</v>
      </c>
      <c r="C218" s="1123" t="s">
        <v>1074</v>
      </c>
      <c r="D218" s="1123" t="s">
        <v>1075</v>
      </c>
      <c r="E218" s="1123" t="s">
        <v>1928</v>
      </c>
      <c r="F218" s="1123" t="s">
        <v>2477</v>
      </c>
      <c r="G218" s="1123" t="s">
        <v>1926</v>
      </c>
      <c r="H218" s="1124" t="s">
        <v>777</v>
      </c>
      <c r="I218" s="1123" t="s">
        <v>1946</v>
      </c>
      <c r="J218" s="1125">
        <v>-185.48</v>
      </c>
      <c r="K218" s="1125">
        <v>0</v>
      </c>
      <c r="L218" s="1126"/>
      <c r="M218" s="1126"/>
      <c r="N218" s="1125">
        <v>-185.48</v>
      </c>
      <c r="O218" s="1125">
        <v>0</v>
      </c>
      <c r="P218" s="1125">
        <v>0</v>
      </c>
      <c r="Q218" s="1125">
        <v>0</v>
      </c>
      <c r="R218" s="1125">
        <v>-185.48</v>
      </c>
      <c r="S218" s="1125">
        <v>0</v>
      </c>
      <c r="T218" s="1125">
        <v>0</v>
      </c>
      <c r="U218" s="1125">
        <v>0</v>
      </c>
      <c r="V218" s="1127">
        <v>0</v>
      </c>
      <c r="W218" s="1127">
        <v>0</v>
      </c>
      <c r="X218" s="1124"/>
      <c r="Y218" s="1319"/>
      <c r="Z218" s="1319"/>
    </row>
    <row r="219" spans="1:26" ht="24">
      <c r="A219" s="1122" t="s">
        <v>1176</v>
      </c>
      <c r="B219" s="1123" t="s">
        <v>2478</v>
      </c>
      <c r="C219" s="1123" t="s">
        <v>1081</v>
      </c>
      <c r="D219" s="1123" t="s">
        <v>2479</v>
      </c>
      <c r="E219" s="1123" t="s">
        <v>2480</v>
      </c>
      <c r="F219" s="1123" t="s">
        <v>2481</v>
      </c>
      <c r="G219" s="1123" t="s">
        <v>732</v>
      </c>
      <c r="H219" s="1124"/>
      <c r="I219" s="1123" t="s">
        <v>2482</v>
      </c>
      <c r="J219" s="1125">
        <v>0</v>
      </c>
      <c r="K219" s="1125">
        <v>75</v>
      </c>
      <c r="L219" s="1126"/>
      <c r="M219" s="1126"/>
      <c r="N219" s="1125">
        <v>75</v>
      </c>
      <c r="O219" s="1125">
        <v>75</v>
      </c>
      <c r="P219" s="1125">
        <v>0</v>
      </c>
      <c r="Q219" s="1125">
        <v>0</v>
      </c>
      <c r="R219" s="1125">
        <v>0</v>
      </c>
      <c r="S219" s="1125">
        <v>0</v>
      </c>
      <c r="T219" s="1125">
        <v>250</v>
      </c>
      <c r="U219" s="1125">
        <v>0</v>
      </c>
      <c r="V219" s="1127">
        <v>0</v>
      </c>
      <c r="W219" s="1127">
        <v>0</v>
      </c>
      <c r="X219" s="1124"/>
      <c r="Y219" s="1319"/>
      <c r="Z219" s="1319"/>
    </row>
    <row r="220" spans="1:26" ht="24">
      <c r="A220" s="1122" t="s">
        <v>736</v>
      </c>
      <c r="B220" s="1123" t="s">
        <v>2483</v>
      </c>
      <c r="C220" s="1123" t="s">
        <v>1082</v>
      </c>
      <c r="D220" s="1123" t="s">
        <v>776</v>
      </c>
      <c r="E220" s="1123" t="s">
        <v>1928</v>
      </c>
      <c r="F220" s="1123" t="s">
        <v>2127</v>
      </c>
      <c r="G220" s="1123" t="s">
        <v>1926</v>
      </c>
      <c r="H220" s="1124" t="s">
        <v>1237</v>
      </c>
      <c r="I220" s="1123" t="s">
        <v>2204</v>
      </c>
      <c r="J220" s="1125">
        <v>-2129</v>
      </c>
      <c r="K220" s="1125">
        <v>0</v>
      </c>
      <c r="L220" s="1126"/>
      <c r="M220" s="1126"/>
      <c r="N220" s="1125">
        <v>-2129</v>
      </c>
      <c r="O220" s="1125">
        <v>-2129</v>
      </c>
      <c r="P220" s="1125">
        <v>0</v>
      </c>
      <c r="Q220" s="1125">
        <v>0</v>
      </c>
      <c r="R220" s="1125">
        <v>0</v>
      </c>
      <c r="S220" s="1125">
        <v>0</v>
      </c>
      <c r="T220" s="1125">
        <v>0</v>
      </c>
      <c r="U220" s="1125">
        <v>0</v>
      </c>
      <c r="V220" s="1127">
        <v>0</v>
      </c>
      <c r="W220" s="1127">
        <v>1</v>
      </c>
      <c r="X220" s="1124"/>
      <c r="Y220" s="1319"/>
      <c r="Z220" s="1319"/>
    </row>
    <row r="221" spans="1:26" ht="24">
      <c r="A221" s="1122" t="s">
        <v>736</v>
      </c>
      <c r="B221" s="1123" t="s">
        <v>2483</v>
      </c>
      <c r="C221" s="1123" t="s">
        <v>1082</v>
      </c>
      <c r="D221" s="1123" t="s">
        <v>776</v>
      </c>
      <c r="E221" s="1123" t="s">
        <v>1928</v>
      </c>
      <c r="F221" s="1123" t="s">
        <v>2127</v>
      </c>
      <c r="G221" s="1123" t="s">
        <v>1926</v>
      </c>
      <c r="H221" s="1124" t="s">
        <v>1237</v>
      </c>
      <c r="I221" s="1123" t="s">
        <v>1933</v>
      </c>
      <c r="J221" s="1125">
        <v>-321.86</v>
      </c>
      <c r="K221" s="1125">
        <v>0</v>
      </c>
      <c r="L221" s="1126"/>
      <c r="M221" s="1126"/>
      <c r="N221" s="1125">
        <v>-321.86</v>
      </c>
      <c r="O221" s="1125">
        <v>-321.86</v>
      </c>
      <c r="P221" s="1125">
        <v>0</v>
      </c>
      <c r="Q221" s="1125">
        <v>0</v>
      </c>
      <c r="R221" s="1125">
        <v>0</v>
      </c>
      <c r="S221" s="1125">
        <v>0</v>
      </c>
      <c r="T221" s="1125">
        <v>0</v>
      </c>
      <c r="U221" s="1125">
        <v>0</v>
      </c>
      <c r="V221" s="1127">
        <v>0</v>
      </c>
      <c r="W221" s="1127">
        <v>1</v>
      </c>
      <c r="X221" s="1124"/>
      <c r="Y221" s="1319"/>
      <c r="Z221" s="1319"/>
    </row>
    <row r="222" spans="1:26" ht="24">
      <c r="A222" s="1122" t="s">
        <v>2484</v>
      </c>
      <c r="B222" s="1123" t="s">
        <v>2485</v>
      </c>
      <c r="C222" s="1123" t="s">
        <v>1111</v>
      </c>
      <c r="D222" s="1123" t="s">
        <v>2486</v>
      </c>
      <c r="E222" s="1123"/>
      <c r="F222" s="1123" t="s">
        <v>2487</v>
      </c>
      <c r="G222" s="1123" t="s">
        <v>1926</v>
      </c>
      <c r="H222" s="1124" t="s">
        <v>767</v>
      </c>
      <c r="I222" s="1123" t="s">
        <v>707</v>
      </c>
      <c r="J222" s="1125">
        <v>0</v>
      </c>
      <c r="K222" s="1125">
        <v>12.6</v>
      </c>
      <c r="L222" s="1126"/>
      <c r="M222" s="1126"/>
      <c r="N222" s="1125">
        <v>12.6</v>
      </c>
      <c r="O222" s="1125">
        <v>12.6</v>
      </c>
      <c r="P222" s="1125">
        <v>0</v>
      </c>
      <c r="Q222" s="1125">
        <v>0</v>
      </c>
      <c r="R222" s="1125">
        <v>0</v>
      </c>
      <c r="S222" s="1125">
        <v>0</v>
      </c>
      <c r="T222" s="1125">
        <v>0</v>
      </c>
      <c r="U222" s="1125">
        <v>0</v>
      </c>
      <c r="V222" s="1127">
        <v>0</v>
      </c>
      <c r="W222" s="1127">
        <v>0</v>
      </c>
      <c r="X222" s="1124"/>
      <c r="Y222" s="1319"/>
      <c r="Z222" s="1319"/>
    </row>
    <row r="223" spans="1:26" ht="24">
      <c r="A223" s="1122" t="s">
        <v>2484</v>
      </c>
      <c r="B223" s="1123" t="s">
        <v>2485</v>
      </c>
      <c r="C223" s="1123" t="s">
        <v>1111</v>
      </c>
      <c r="D223" s="1123" t="s">
        <v>2486</v>
      </c>
      <c r="E223" s="1123"/>
      <c r="F223" s="1123" t="s">
        <v>2487</v>
      </c>
      <c r="G223" s="1123" t="s">
        <v>1926</v>
      </c>
      <c r="H223" s="1124" t="s">
        <v>767</v>
      </c>
      <c r="I223" s="1123" t="s">
        <v>704</v>
      </c>
      <c r="J223" s="1125">
        <v>0</v>
      </c>
      <c r="K223" s="1125">
        <v>30</v>
      </c>
      <c r="L223" s="1126"/>
      <c r="M223" s="1126"/>
      <c r="N223" s="1125">
        <v>30</v>
      </c>
      <c r="O223" s="1125">
        <v>30</v>
      </c>
      <c r="P223" s="1125">
        <v>0</v>
      </c>
      <c r="Q223" s="1125">
        <v>0</v>
      </c>
      <c r="R223" s="1125">
        <v>0</v>
      </c>
      <c r="S223" s="1125">
        <v>0</v>
      </c>
      <c r="T223" s="1125">
        <v>0</v>
      </c>
      <c r="U223" s="1125">
        <v>0</v>
      </c>
      <c r="V223" s="1127">
        <v>0</v>
      </c>
      <c r="W223" s="1127">
        <v>0</v>
      </c>
      <c r="X223" s="1124"/>
      <c r="Y223" s="1319"/>
      <c r="Z223" s="1319"/>
    </row>
    <row r="224" spans="1:26" ht="24">
      <c r="A224" s="1122" t="s">
        <v>2484</v>
      </c>
      <c r="B224" s="1123" t="s">
        <v>2485</v>
      </c>
      <c r="C224" s="1123" t="s">
        <v>1111</v>
      </c>
      <c r="D224" s="1123" t="s">
        <v>2486</v>
      </c>
      <c r="E224" s="1123"/>
      <c r="F224" s="1123" t="s">
        <v>2487</v>
      </c>
      <c r="G224" s="1123" t="s">
        <v>1926</v>
      </c>
      <c r="H224" s="1124" t="s">
        <v>767</v>
      </c>
      <c r="I224" s="1123" t="s">
        <v>705</v>
      </c>
      <c r="J224" s="1125">
        <v>0</v>
      </c>
      <c r="K224" s="1125">
        <v>37.14</v>
      </c>
      <c r="L224" s="1126"/>
      <c r="M224" s="1126"/>
      <c r="N224" s="1125">
        <v>37.14</v>
      </c>
      <c r="O224" s="1125">
        <v>20</v>
      </c>
      <c r="P224" s="1125">
        <v>17.14</v>
      </c>
      <c r="Q224" s="1125">
        <v>0</v>
      </c>
      <c r="R224" s="1125">
        <v>0</v>
      </c>
      <c r="S224" s="1125">
        <v>0</v>
      </c>
      <c r="T224" s="1125">
        <v>0</v>
      </c>
      <c r="U224" s="1125">
        <v>0</v>
      </c>
      <c r="V224" s="1127">
        <v>0</v>
      </c>
      <c r="W224" s="1127">
        <v>0</v>
      </c>
      <c r="X224" s="1124"/>
      <c r="Y224" s="1319"/>
      <c r="Z224" s="1319"/>
    </row>
    <row r="225" spans="1:26" ht="24">
      <c r="A225" s="1122" t="s">
        <v>2484</v>
      </c>
      <c r="B225" s="1123" t="s">
        <v>2485</v>
      </c>
      <c r="C225" s="1123" t="s">
        <v>1111</v>
      </c>
      <c r="D225" s="1123" t="s">
        <v>2486</v>
      </c>
      <c r="E225" s="1123"/>
      <c r="F225" s="1123" t="s">
        <v>2487</v>
      </c>
      <c r="G225" s="1123" t="s">
        <v>1926</v>
      </c>
      <c r="H225" s="1124" t="s">
        <v>767</v>
      </c>
      <c r="I225" s="1123" t="s">
        <v>706</v>
      </c>
      <c r="J225" s="1125">
        <v>0</v>
      </c>
      <c r="K225" s="1125">
        <v>22</v>
      </c>
      <c r="L225" s="1126"/>
      <c r="M225" s="1126"/>
      <c r="N225" s="1125">
        <v>22</v>
      </c>
      <c r="O225" s="1125">
        <v>22</v>
      </c>
      <c r="P225" s="1125">
        <v>0</v>
      </c>
      <c r="Q225" s="1125">
        <v>0</v>
      </c>
      <c r="R225" s="1125">
        <v>0</v>
      </c>
      <c r="S225" s="1125">
        <v>0</v>
      </c>
      <c r="T225" s="1125">
        <v>0</v>
      </c>
      <c r="U225" s="1125">
        <v>0</v>
      </c>
      <c r="V225" s="1127">
        <v>0</v>
      </c>
      <c r="W225" s="1127">
        <v>0</v>
      </c>
      <c r="X225" s="1124"/>
      <c r="Y225" s="1319"/>
      <c r="Z225" s="1319"/>
    </row>
    <row r="226" spans="1:26" ht="24">
      <c r="A226" s="1122" t="s">
        <v>2484</v>
      </c>
      <c r="B226" s="1123" t="s">
        <v>2485</v>
      </c>
      <c r="C226" s="1123" t="s">
        <v>1111</v>
      </c>
      <c r="D226" s="1123" t="s">
        <v>2486</v>
      </c>
      <c r="E226" s="1123"/>
      <c r="F226" s="1123" t="s">
        <v>2487</v>
      </c>
      <c r="G226" s="1123" t="s">
        <v>1926</v>
      </c>
      <c r="H226" s="1124" t="s">
        <v>767</v>
      </c>
      <c r="I226" s="1123" t="s">
        <v>2204</v>
      </c>
      <c r="J226" s="1125">
        <v>-483.85</v>
      </c>
      <c r="K226" s="1125">
        <v>0</v>
      </c>
      <c r="L226" s="1126"/>
      <c r="M226" s="1126"/>
      <c r="N226" s="1125">
        <v>-483.85</v>
      </c>
      <c r="O226" s="1125">
        <v>-483.85</v>
      </c>
      <c r="P226" s="1125">
        <v>0</v>
      </c>
      <c r="Q226" s="1125">
        <v>0</v>
      </c>
      <c r="R226" s="1125">
        <v>0</v>
      </c>
      <c r="S226" s="1125">
        <v>0</v>
      </c>
      <c r="T226" s="1125">
        <v>0</v>
      </c>
      <c r="U226" s="1125">
        <v>0</v>
      </c>
      <c r="V226" s="1127">
        <v>0</v>
      </c>
      <c r="W226" s="1127">
        <v>0</v>
      </c>
      <c r="X226" s="1124"/>
      <c r="Y226" s="1319"/>
      <c r="Z226" s="1319"/>
    </row>
    <row r="227" spans="1:26" ht="24">
      <c r="A227" s="1122" t="s">
        <v>2488</v>
      </c>
      <c r="B227" s="1123" t="s">
        <v>2489</v>
      </c>
      <c r="C227" s="1123" t="s">
        <v>1128</v>
      </c>
      <c r="D227" s="1123" t="s">
        <v>910</v>
      </c>
      <c r="E227" s="1123" t="s">
        <v>1928</v>
      </c>
      <c r="F227" s="1123" t="s">
        <v>2490</v>
      </c>
      <c r="G227" s="1123" t="s">
        <v>1926</v>
      </c>
      <c r="H227" s="1124" t="s">
        <v>2242</v>
      </c>
      <c r="I227" s="1123" t="s">
        <v>2204</v>
      </c>
      <c r="J227" s="1125">
        <v>-1542.29</v>
      </c>
      <c r="K227" s="1125">
        <v>0</v>
      </c>
      <c r="L227" s="1126"/>
      <c r="M227" s="1126"/>
      <c r="N227" s="1125">
        <v>-1542.29</v>
      </c>
      <c r="O227" s="1125">
        <v>-1542.29</v>
      </c>
      <c r="P227" s="1125">
        <v>0</v>
      </c>
      <c r="Q227" s="1125">
        <v>0</v>
      </c>
      <c r="R227" s="1125">
        <v>0</v>
      </c>
      <c r="S227" s="1125">
        <v>0</v>
      </c>
      <c r="T227" s="1125">
        <v>0</v>
      </c>
      <c r="U227" s="1125">
        <v>0</v>
      </c>
      <c r="V227" s="1127">
        <v>0</v>
      </c>
      <c r="W227" s="1127">
        <v>0</v>
      </c>
      <c r="X227" s="1124"/>
      <c r="Y227" s="1319"/>
      <c r="Z227" s="1319"/>
    </row>
    <row r="228" spans="1:26" ht="24">
      <c r="A228" s="1122" t="s">
        <v>2488</v>
      </c>
      <c r="B228" s="1123" t="s">
        <v>2489</v>
      </c>
      <c r="C228" s="1123" t="s">
        <v>1128</v>
      </c>
      <c r="D228" s="1123" t="s">
        <v>910</v>
      </c>
      <c r="E228" s="1123" t="s">
        <v>1928</v>
      </c>
      <c r="F228" s="1123" t="s">
        <v>2490</v>
      </c>
      <c r="G228" s="1123" t="s">
        <v>1926</v>
      </c>
      <c r="H228" s="1124" t="s">
        <v>2242</v>
      </c>
      <c r="I228" s="1123" t="s">
        <v>1929</v>
      </c>
      <c r="J228" s="1125">
        <v>-949.72</v>
      </c>
      <c r="K228" s="1125">
        <v>0</v>
      </c>
      <c r="L228" s="1126"/>
      <c r="M228" s="1126"/>
      <c r="N228" s="1125">
        <v>-949.72</v>
      </c>
      <c r="O228" s="1125">
        <v>-949.72</v>
      </c>
      <c r="P228" s="1125">
        <v>0</v>
      </c>
      <c r="Q228" s="1125">
        <v>0</v>
      </c>
      <c r="R228" s="1125">
        <v>0</v>
      </c>
      <c r="S228" s="1125">
        <v>0</v>
      </c>
      <c r="T228" s="1125">
        <v>0</v>
      </c>
      <c r="U228" s="1125">
        <v>0</v>
      </c>
      <c r="V228" s="1127">
        <v>0</v>
      </c>
      <c r="W228" s="1127">
        <v>0</v>
      </c>
      <c r="X228" s="1124"/>
      <c r="Y228" s="1319"/>
      <c r="Z228" s="1319"/>
    </row>
    <row r="229" spans="1:26" ht="24">
      <c r="A229" s="1122" t="s">
        <v>2491</v>
      </c>
      <c r="B229" s="1123" t="s">
        <v>1081</v>
      </c>
      <c r="C229" s="1123" t="s">
        <v>1172</v>
      </c>
      <c r="D229" s="1123" t="s">
        <v>2492</v>
      </c>
      <c r="E229" s="1123" t="s">
        <v>2493</v>
      </c>
      <c r="F229" s="1123" t="s">
        <v>2494</v>
      </c>
      <c r="G229" s="1123" t="s">
        <v>1926</v>
      </c>
      <c r="H229" s="1124" t="s">
        <v>1174</v>
      </c>
      <c r="I229" s="1123" t="s">
        <v>1946</v>
      </c>
      <c r="J229" s="1125">
        <v>-233.52</v>
      </c>
      <c r="K229" s="1125">
        <v>0</v>
      </c>
      <c r="L229" s="1126"/>
      <c r="M229" s="1126"/>
      <c r="N229" s="1125">
        <v>-233.52</v>
      </c>
      <c r="O229" s="1125">
        <v>-233.52</v>
      </c>
      <c r="P229" s="1125">
        <v>0</v>
      </c>
      <c r="Q229" s="1125">
        <v>0</v>
      </c>
      <c r="R229" s="1125">
        <v>0</v>
      </c>
      <c r="S229" s="1125">
        <v>0</v>
      </c>
      <c r="T229" s="1125">
        <v>250</v>
      </c>
      <c r="U229" s="1125">
        <v>0</v>
      </c>
      <c r="V229" s="1127">
        <v>0</v>
      </c>
      <c r="W229" s="1127">
        <v>0</v>
      </c>
      <c r="X229" s="1124"/>
      <c r="Y229" s="1319"/>
      <c r="Z229" s="1319"/>
    </row>
    <row r="230" spans="1:26" ht="24">
      <c r="A230" s="1122" t="s">
        <v>768</v>
      </c>
      <c r="B230" s="1123" t="s">
        <v>2495</v>
      </c>
      <c r="C230" s="1123" t="s">
        <v>1211</v>
      </c>
      <c r="D230" s="1123" t="s">
        <v>1011</v>
      </c>
      <c r="E230" s="1123" t="s">
        <v>2496</v>
      </c>
      <c r="F230" s="1123" t="s">
        <v>2497</v>
      </c>
      <c r="G230" s="1123" t="s">
        <v>1926</v>
      </c>
      <c r="H230" s="1124" t="s">
        <v>856</v>
      </c>
      <c r="I230" s="1123" t="s">
        <v>712</v>
      </c>
      <c r="J230" s="1125">
        <v>-909.17</v>
      </c>
      <c r="K230" s="1125">
        <v>0</v>
      </c>
      <c r="L230" s="1126"/>
      <c r="M230" s="1126"/>
      <c r="N230" s="1125">
        <v>-909.17</v>
      </c>
      <c r="O230" s="1125">
        <v>-909.17</v>
      </c>
      <c r="P230" s="1125">
        <v>0</v>
      </c>
      <c r="Q230" s="1125">
        <v>0</v>
      </c>
      <c r="R230" s="1125">
        <v>0</v>
      </c>
      <c r="S230" s="1125">
        <v>0</v>
      </c>
      <c r="T230" s="1125">
        <v>0</v>
      </c>
      <c r="U230" s="1125">
        <v>0</v>
      </c>
      <c r="V230" s="1127">
        <v>0</v>
      </c>
      <c r="W230" s="1127">
        <v>0</v>
      </c>
      <c r="X230" s="1124"/>
      <c r="Y230" s="1319"/>
      <c r="Z230" s="1319"/>
    </row>
    <row r="231" spans="1:26" ht="24">
      <c r="A231" s="1122" t="s">
        <v>768</v>
      </c>
      <c r="B231" s="1123" t="s">
        <v>2495</v>
      </c>
      <c r="C231" s="1123" t="s">
        <v>1211</v>
      </c>
      <c r="D231" s="1123" t="s">
        <v>1011</v>
      </c>
      <c r="E231" s="1123" t="s">
        <v>2496</v>
      </c>
      <c r="F231" s="1123" t="s">
        <v>2497</v>
      </c>
      <c r="G231" s="1123" t="s">
        <v>1926</v>
      </c>
      <c r="H231" s="1124" t="s">
        <v>856</v>
      </c>
      <c r="I231" s="1123" t="s">
        <v>2204</v>
      </c>
      <c r="J231" s="1125">
        <v>-663.95</v>
      </c>
      <c r="K231" s="1125">
        <v>0</v>
      </c>
      <c r="L231" s="1126"/>
      <c r="M231" s="1126"/>
      <c r="N231" s="1125">
        <v>-663.95</v>
      </c>
      <c r="O231" s="1125">
        <v>-663.95</v>
      </c>
      <c r="P231" s="1125">
        <v>0</v>
      </c>
      <c r="Q231" s="1125">
        <v>0</v>
      </c>
      <c r="R231" s="1125">
        <v>0</v>
      </c>
      <c r="S231" s="1125">
        <v>0</v>
      </c>
      <c r="T231" s="1125">
        <v>0</v>
      </c>
      <c r="U231" s="1125">
        <v>0</v>
      </c>
      <c r="V231" s="1127">
        <v>0</v>
      </c>
      <c r="W231" s="1127">
        <v>0</v>
      </c>
      <c r="X231" s="1124"/>
      <c r="Y231" s="1319"/>
      <c r="Z231" s="1319"/>
    </row>
    <row r="232" spans="1:26" ht="24">
      <c r="A232" s="1122" t="s">
        <v>768</v>
      </c>
      <c r="B232" s="1123" t="s">
        <v>2495</v>
      </c>
      <c r="C232" s="1123" t="s">
        <v>1211</v>
      </c>
      <c r="D232" s="1123" t="s">
        <v>1011</v>
      </c>
      <c r="E232" s="1123" t="s">
        <v>2496</v>
      </c>
      <c r="F232" s="1123" t="s">
        <v>2497</v>
      </c>
      <c r="G232" s="1123" t="s">
        <v>1926</v>
      </c>
      <c r="H232" s="1124" t="s">
        <v>856</v>
      </c>
      <c r="I232" s="1123" t="s">
        <v>1929</v>
      </c>
      <c r="J232" s="1125">
        <v>-379.21</v>
      </c>
      <c r="K232" s="1125">
        <v>0</v>
      </c>
      <c r="L232" s="1126"/>
      <c r="M232" s="1126"/>
      <c r="N232" s="1125">
        <v>-379.21</v>
      </c>
      <c r="O232" s="1125">
        <v>-379.21</v>
      </c>
      <c r="P232" s="1125">
        <v>0</v>
      </c>
      <c r="Q232" s="1125">
        <v>0</v>
      </c>
      <c r="R232" s="1125">
        <v>0</v>
      </c>
      <c r="S232" s="1125">
        <v>0</v>
      </c>
      <c r="T232" s="1125">
        <v>0</v>
      </c>
      <c r="U232" s="1125">
        <v>0</v>
      </c>
      <c r="V232" s="1127">
        <v>0</v>
      </c>
      <c r="W232" s="1127">
        <v>0</v>
      </c>
      <c r="X232" s="1124"/>
      <c r="Y232" s="1319"/>
      <c r="Z232" s="1319"/>
    </row>
    <row r="233" spans="1:26" ht="24">
      <c r="A233" s="1122" t="s">
        <v>1087</v>
      </c>
      <c r="B233" s="1123" t="s">
        <v>2498</v>
      </c>
      <c r="C233" s="1123" t="s">
        <v>1214</v>
      </c>
      <c r="D233" s="1123" t="s">
        <v>2499</v>
      </c>
      <c r="E233" s="1123" t="s">
        <v>2500</v>
      </c>
      <c r="F233" s="1123" t="s">
        <v>2501</v>
      </c>
      <c r="G233" s="1123" t="s">
        <v>1926</v>
      </c>
      <c r="H233" s="1124" t="s">
        <v>1347</v>
      </c>
      <c r="I233" s="1123" t="s">
        <v>707</v>
      </c>
      <c r="J233" s="1125">
        <v>0</v>
      </c>
      <c r="K233" s="1125">
        <v>5.42</v>
      </c>
      <c r="L233" s="1126"/>
      <c r="M233" s="1126"/>
      <c r="N233" s="1125">
        <v>5.42</v>
      </c>
      <c r="O233" s="1125">
        <v>5.42</v>
      </c>
      <c r="P233" s="1125">
        <v>0</v>
      </c>
      <c r="Q233" s="1125">
        <v>0</v>
      </c>
      <c r="R233" s="1125">
        <v>0</v>
      </c>
      <c r="S233" s="1125">
        <v>0</v>
      </c>
      <c r="T233" s="1125">
        <v>250</v>
      </c>
      <c r="U233" s="1125">
        <v>0</v>
      </c>
      <c r="V233" s="1127">
        <v>0</v>
      </c>
      <c r="W233" s="1127">
        <v>0</v>
      </c>
      <c r="X233" s="1124"/>
      <c r="Y233" s="1319"/>
      <c r="Z233" s="1319"/>
    </row>
    <row r="234" spans="1:26" ht="24">
      <c r="A234" s="1122" t="s">
        <v>2502</v>
      </c>
      <c r="B234" s="1123" t="s">
        <v>2503</v>
      </c>
      <c r="C234" s="1123" t="s">
        <v>1221</v>
      </c>
      <c r="D234" s="1123" t="s">
        <v>796</v>
      </c>
      <c r="E234" s="1123" t="s">
        <v>1928</v>
      </c>
      <c r="F234" s="1123" t="s">
        <v>2504</v>
      </c>
      <c r="G234" s="1123" t="s">
        <v>1926</v>
      </c>
      <c r="H234" s="1124" t="s">
        <v>2249</v>
      </c>
      <c r="I234" s="1123" t="s">
        <v>2204</v>
      </c>
      <c r="J234" s="1125">
        <v>-176.69</v>
      </c>
      <c r="K234" s="1125">
        <v>0</v>
      </c>
      <c r="L234" s="1126"/>
      <c r="M234" s="1126"/>
      <c r="N234" s="1125">
        <v>-176.69</v>
      </c>
      <c r="O234" s="1125">
        <v>-176.69</v>
      </c>
      <c r="P234" s="1125">
        <v>0</v>
      </c>
      <c r="Q234" s="1125">
        <v>0</v>
      </c>
      <c r="R234" s="1125">
        <v>0</v>
      </c>
      <c r="S234" s="1125">
        <v>0</v>
      </c>
      <c r="T234" s="1125">
        <v>0</v>
      </c>
      <c r="U234" s="1125">
        <v>0</v>
      </c>
      <c r="V234" s="1127">
        <v>0</v>
      </c>
      <c r="W234" s="1127">
        <v>0</v>
      </c>
      <c r="X234" s="1124"/>
      <c r="Y234" s="1319"/>
      <c r="Z234" s="1319"/>
    </row>
    <row r="235" spans="1:26" ht="24">
      <c r="A235" s="1122" t="s">
        <v>2502</v>
      </c>
      <c r="B235" s="1123" t="s">
        <v>2503</v>
      </c>
      <c r="C235" s="1123" t="s">
        <v>1221</v>
      </c>
      <c r="D235" s="1123" t="s">
        <v>796</v>
      </c>
      <c r="E235" s="1123" t="s">
        <v>1928</v>
      </c>
      <c r="F235" s="1123" t="s">
        <v>2504</v>
      </c>
      <c r="G235" s="1123" t="s">
        <v>1926</v>
      </c>
      <c r="H235" s="1124" t="s">
        <v>2249</v>
      </c>
      <c r="I235" s="1123" t="s">
        <v>1929</v>
      </c>
      <c r="J235" s="1125">
        <v>-1180.31</v>
      </c>
      <c r="K235" s="1125">
        <v>0</v>
      </c>
      <c r="L235" s="1126"/>
      <c r="M235" s="1126"/>
      <c r="N235" s="1125">
        <v>-1180.31</v>
      </c>
      <c r="O235" s="1125">
        <v>-1180.31</v>
      </c>
      <c r="P235" s="1125">
        <v>0</v>
      </c>
      <c r="Q235" s="1125">
        <v>0</v>
      </c>
      <c r="R235" s="1125">
        <v>0</v>
      </c>
      <c r="S235" s="1125">
        <v>0</v>
      </c>
      <c r="T235" s="1125">
        <v>0</v>
      </c>
      <c r="U235" s="1125">
        <v>0</v>
      </c>
      <c r="V235" s="1127">
        <v>0</v>
      </c>
      <c r="W235" s="1127">
        <v>0</v>
      </c>
      <c r="X235" s="1124"/>
      <c r="Y235" s="1319"/>
      <c r="Z235" s="1319"/>
    </row>
    <row r="236" spans="1:26" ht="36">
      <c r="A236" s="1122" t="s">
        <v>995</v>
      </c>
      <c r="B236" s="1123" t="s">
        <v>2505</v>
      </c>
      <c r="C236" s="1123" t="s">
        <v>1231</v>
      </c>
      <c r="D236" s="1123" t="s">
        <v>918</v>
      </c>
      <c r="E236" s="1123" t="s">
        <v>2506</v>
      </c>
      <c r="F236" s="1123" t="s">
        <v>2507</v>
      </c>
      <c r="G236" s="1123" t="s">
        <v>1926</v>
      </c>
      <c r="H236" s="1124" t="s">
        <v>2249</v>
      </c>
      <c r="I236" s="1123" t="s">
        <v>2204</v>
      </c>
      <c r="J236" s="1125">
        <v>-1997</v>
      </c>
      <c r="K236" s="1125">
        <v>0</v>
      </c>
      <c r="L236" s="1126"/>
      <c r="M236" s="1126"/>
      <c r="N236" s="1125">
        <v>-1997</v>
      </c>
      <c r="O236" s="1125">
        <v>-1997</v>
      </c>
      <c r="P236" s="1125">
        <v>0</v>
      </c>
      <c r="Q236" s="1125">
        <v>0</v>
      </c>
      <c r="R236" s="1125">
        <v>0</v>
      </c>
      <c r="S236" s="1125">
        <v>0</v>
      </c>
      <c r="T236" s="1125">
        <v>0</v>
      </c>
      <c r="U236" s="1125">
        <v>0</v>
      </c>
      <c r="V236" s="1127">
        <v>0</v>
      </c>
      <c r="W236" s="1127">
        <v>0</v>
      </c>
      <c r="X236" s="1124"/>
      <c r="Y236" s="1319"/>
      <c r="Z236" s="1319"/>
    </row>
    <row r="237" spans="1:26" ht="36">
      <c r="A237" s="1122" t="s">
        <v>995</v>
      </c>
      <c r="B237" s="1123" t="s">
        <v>2505</v>
      </c>
      <c r="C237" s="1123" t="s">
        <v>1231</v>
      </c>
      <c r="D237" s="1123" t="s">
        <v>918</v>
      </c>
      <c r="E237" s="1123" t="s">
        <v>2506</v>
      </c>
      <c r="F237" s="1123" t="s">
        <v>2507</v>
      </c>
      <c r="G237" s="1123" t="s">
        <v>1926</v>
      </c>
      <c r="H237" s="1124" t="s">
        <v>2249</v>
      </c>
      <c r="I237" s="1123" t="s">
        <v>1929</v>
      </c>
      <c r="J237" s="1125">
        <v>-1923.48</v>
      </c>
      <c r="K237" s="1125">
        <v>0</v>
      </c>
      <c r="L237" s="1126"/>
      <c r="M237" s="1126"/>
      <c r="N237" s="1125">
        <v>-1923.48</v>
      </c>
      <c r="O237" s="1125">
        <v>-1923.48</v>
      </c>
      <c r="P237" s="1125">
        <v>0</v>
      </c>
      <c r="Q237" s="1125">
        <v>0</v>
      </c>
      <c r="R237" s="1125">
        <v>0</v>
      </c>
      <c r="S237" s="1125">
        <v>0</v>
      </c>
      <c r="T237" s="1125">
        <v>0</v>
      </c>
      <c r="U237" s="1125">
        <v>0</v>
      </c>
      <c r="V237" s="1127">
        <v>0</v>
      </c>
      <c r="W237" s="1127">
        <v>0</v>
      </c>
      <c r="X237" s="1124"/>
      <c r="Y237" s="1319"/>
      <c r="Z237" s="1319"/>
    </row>
    <row r="238" spans="1:26" ht="24">
      <c r="A238" s="1122" t="s">
        <v>2508</v>
      </c>
      <c r="B238" s="1123" t="s">
        <v>2508</v>
      </c>
      <c r="C238" s="1123" t="s">
        <v>1234</v>
      </c>
      <c r="D238" s="1123" t="s">
        <v>1235</v>
      </c>
      <c r="E238" s="1123" t="s">
        <v>1928</v>
      </c>
      <c r="F238" s="1123" t="s">
        <v>2509</v>
      </c>
      <c r="G238" s="1123" t="s">
        <v>1926</v>
      </c>
      <c r="H238" s="1124" t="s">
        <v>1236</v>
      </c>
      <c r="I238" s="1123" t="s">
        <v>1929</v>
      </c>
      <c r="J238" s="1125">
        <v>-193.55</v>
      </c>
      <c r="K238" s="1125">
        <v>0</v>
      </c>
      <c r="L238" s="1126"/>
      <c r="M238" s="1126"/>
      <c r="N238" s="1125">
        <v>-193.55</v>
      </c>
      <c r="O238" s="1125">
        <v>-193.55</v>
      </c>
      <c r="P238" s="1125">
        <v>0</v>
      </c>
      <c r="Q238" s="1125">
        <v>0</v>
      </c>
      <c r="R238" s="1125">
        <v>0</v>
      </c>
      <c r="S238" s="1125">
        <v>0</v>
      </c>
      <c r="T238" s="1125">
        <v>200</v>
      </c>
      <c r="U238" s="1125">
        <v>0</v>
      </c>
      <c r="V238" s="1127">
        <v>0</v>
      </c>
      <c r="W238" s="1127">
        <v>0</v>
      </c>
      <c r="X238" s="1124"/>
      <c r="Y238" s="1319"/>
      <c r="Z238" s="1319"/>
    </row>
    <row r="239" spans="1:26" ht="24">
      <c r="A239" s="1122" t="s">
        <v>2142</v>
      </c>
      <c r="B239" s="1123" t="s">
        <v>1129</v>
      </c>
      <c r="C239" s="1123" t="s">
        <v>1308</v>
      </c>
      <c r="D239" s="1123" t="s">
        <v>1309</v>
      </c>
      <c r="E239" s="1123" t="s">
        <v>1928</v>
      </c>
      <c r="F239" s="1123" t="s">
        <v>2143</v>
      </c>
      <c r="G239" s="1123" t="s">
        <v>1926</v>
      </c>
      <c r="H239" s="1124" t="s">
        <v>1310</v>
      </c>
      <c r="I239" s="1123" t="s">
        <v>2510</v>
      </c>
      <c r="J239" s="1125">
        <v>-29.92</v>
      </c>
      <c r="K239" s="1125">
        <v>0</v>
      </c>
      <c r="L239" s="1126"/>
      <c r="M239" s="1126"/>
      <c r="N239" s="1125">
        <v>-29.92</v>
      </c>
      <c r="O239" s="1125">
        <v>-29.92</v>
      </c>
      <c r="P239" s="1125">
        <v>0</v>
      </c>
      <c r="Q239" s="1125">
        <v>0</v>
      </c>
      <c r="R239" s="1125">
        <v>0</v>
      </c>
      <c r="S239" s="1125">
        <v>0</v>
      </c>
      <c r="T239" s="1125">
        <v>0</v>
      </c>
      <c r="U239" s="1125">
        <v>0</v>
      </c>
      <c r="V239" s="1127">
        <v>0</v>
      </c>
      <c r="W239" s="1127">
        <v>0</v>
      </c>
      <c r="X239" s="1124"/>
      <c r="Y239" s="1319"/>
      <c r="Z239" s="1319"/>
    </row>
    <row r="240" spans="1:26" ht="24">
      <c r="A240" s="1122" t="s">
        <v>913</v>
      </c>
      <c r="B240" s="1123" t="s">
        <v>2144</v>
      </c>
      <c r="C240" s="1123" t="s">
        <v>1361</v>
      </c>
      <c r="D240" s="1123" t="s">
        <v>1244</v>
      </c>
      <c r="E240" s="1123" t="s">
        <v>1928</v>
      </c>
      <c r="F240" s="1123" t="s">
        <v>2145</v>
      </c>
      <c r="G240" s="1123" t="s">
        <v>1926</v>
      </c>
      <c r="H240" s="1124" t="s">
        <v>2090</v>
      </c>
      <c r="I240" s="1123" t="s">
        <v>1946</v>
      </c>
      <c r="J240" s="1125">
        <v>-92.4</v>
      </c>
      <c r="K240" s="1125">
        <v>0</v>
      </c>
      <c r="L240" s="1126"/>
      <c r="M240" s="1126"/>
      <c r="N240" s="1125">
        <v>-92.4</v>
      </c>
      <c r="O240" s="1125">
        <v>-92.4</v>
      </c>
      <c r="P240" s="1125">
        <v>0</v>
      </c>
      <c r="Q240" s="1125">
        <v>0</v>
      </c>
      <c r="R240" s="1125">
        <v>0</v>
      </c>
      <c r="S240" s="1125">
        <v>0</v>
      </c>
      <c r="T240" s="1125">
        <v>0</v>
      </c>
      <c r="U240" s="1125">
        <v>0</v>
      </c>
      <c r="V240" s="1127">
        <v>0</v>
      </c>
      <c r="W240" s="1127">
        <v>0</v>
      </c>
      <c r="X240" s="1124"/>
      <c r="Y240" s="1319"/>
      <c r="Z240" s="1319"/>
    </row>
    <row r="241" spans="1:26">
      <c r="A241" s="1122" t="s">
        <v>2511</v>
      </c>
      <c r="B241" s="1123" t="s">
        <v>2512</v>
      </c>
      <c r="C241" s="1123" t="s">
        <v>1362</v>
      </c>
      <c r="D241" s="1123" t="s">
        <v>766</v>
      </c>
      <c r="E241" s="1123" t="s">
        <v>1928</v>
      </c>
      <c r="F241" s="1123" t="s">
        <v>2513</v>
      </c>
      <c r="G241" s="1123" t="s">
        <v>1926</v>
      </c>
      <c r="H241" s="1124" t="s">
        <v>2249</v>
      </c>
      <c r="I241" s="1123" t="s">
        <v>2204</v>
      </c>
      <c r="J241" s="1125">
        <v>-1807.37</v>
      </c>
      <c r="K241" s="1125">
        <v>0</v>
      </c>
      <c r="L241" s="1126"/>
      <c r="M241" s="1126"/>
      <c r="N241" s="1125">
        <v>-1807.37</v>
      </c>
      <c r="O241" s="1125">
        <v>-1807.37</v>
      </c>
      <c r="P241" s="1125">
        <v>0</v>
      </c>
      <c r="Q241" s="1125">
        <v>0</v>
      </c>
      <c r="R241" s="1125">
        <v>0</v>
      </c>
      <c r="S241" s="1125">
        <v>0</v>
      </c>
      <c r="T241" s="1125">
        <v>0</v>
      </c>
      <c r="U241" s="1125">
        <v>0</v>
      </c>
      <c r="V241" s="1127">
        <v>0</v>
      </c>
      <c r="W241" s="1127">
        <v>0</v>
      </c>
      <c r="X241" s="1124"/>
      <c r="Y241" s="1319"/>
      <c r="Z241" s="1319"/>
    </row>
    <row r="242" spans="1:26" ht="24">
      <c r="A242" s="1122" t="s">
        <v>2511</v>
      </c>
      <c r="B242" s="1123" t="s">
        <v>2512</v>
      </c>
      <c r="C242" s="1123" t="s">
        <v>1362</v>
      </c>
      <c r="D242" s="1123" t="s">
        <v>766</v>
      </c>
      <c r="E242" s="1123" t="s">
        <v>1928</v>
      </c>
      <c r="F242" s="1123" t="s">
        <v>2513</v>
      </c>
      <c r="G242" s="1123" t="s">
        <v>1926</v>
      </c>
      <c r="H242" s="1124" t="s">
        <v>2249</v>
      </c>
      <c r="I242" s="1123" t="s">
        <v>1947</v>
      </c>
      <c r="J242" s="1125">
        <v>-1632.4</v>
      </c>
      <c r="K242" s="1125">
        <v>0</v>
      </c>
      <c r="L242" s="1126"/>
      <c r="M242" s="1126"/>
      <c r="N242" s="1125">
        <v>-1632.4</v>
      </c>
      <c r="O242" s="1125">
        <v>-1632.4</v>
      </c>
      <c r="P242" s="1125">
        <v>0</v>
      </c>
      <c r="Q242" s="1125">
        <v>0</v>
      </c>
      <c r="R242" s="1125">
        <v>0</v>
      </c>
      <c r="S242" s="1125">
        <v>0</v>
      </c>
      <c r="T242" s="1125">
        <v>0</v>
      </c>
      <c r="U242" s="1125">
        <v>0</v>
      </c>
      <c r="V242" s="1127">
        <v>0</v>
      </c>
      <c r="W242" s="1127">
        <v>0</v>
      </c>
      <c r="X242" s="1124"/>
      <c r="Y242" s="1319"/>
      <c r="Z242" s="1319"/>
    </row>
    <row r="243" spans="1:26" ht="24">
      <c r="A243" s="1122" t="s">
        <v>2514</v>
      </c>
      <c r="B243" s="1123" t="s">
        <v>2515</v>
      </c>
      <c r="C243" s="1123" t="s">
        <v>1363</v>
      </c>
      <c r="D243" s="1123" t="s">
        <v>1364</v>
      </c>
      <c r="E243" s="1123" t="s">
        <v>2516</v>
      </c>
      <c r="F243" s="1123" t="s">
        <v>2517</v>
      </c>
      <c r="G243" s="1123" t="s">
        <v>1926</v>
      </c>
      <c r="H243" s="1124" t="s">
        <v>1365</v>
      </c>
      <c r="I243" s="1123" t="s">
        <v>1929</v>
      </c>
      <c r="J243" s="1125">
        <v>-231.9</v>
      </c>
      <c r="K243" s="1125">
        <v>0</v>
      </c>
      <c r="L243" s="1126"/>
      <c r="M243" s="1126"/>
      <c r="N243" s="1125">
        <v>-231.9</v>
      </c>
      <c r="O243" s="1125">
        <v>-231.9</v>
      </c>
      <c r="P243" s="1125">
        <v>0</v>
      </c>
      <c r="Q243" s="1125">
        <v>0</v>
      </c>
      <c r="R243" s="1125">
        <v>0</v>
      </c>
      <c r="S243" s="1125">
        <v>0</v>
      </c>
      <c r="T243" s="1125">
        <v>0</v>
      </c>
      <c r="U243" s="1125">
        <v>0</v>
      </c>
      <c r="V243" s="1127">
        <v>0</v>
      </c>
      <c r="W243" s="1127">
        <v>0</v>
      </c>
      <c r="X243" s="1124"/>
      <c r="Y243" s="1319"/>
      <c r="Z243" s="1319"/>
    </row>
    <row r="244" spans="1:26" ht="24">
      <c r="A244" s="1122" t="s">
        <v>2518</v>
      </c>
      <c r="B244" s="1123" t="s">
        <v>2519</v>
      </c>
      <c r="C244" s="1123" t="s">
        <v>1367</v>
      </c>
      <c r="D244" s="1123" t="s">
        <v>2520</v>
      </c>
      <c r="E244" s="1123" t="s">
        <v>1928</v>
      </c>
      <c r="F244" s="1123" t="s">
        <v>2521</v>
      </c>
      <c r="G244" s="1123" t="s">
        <v>1926</v>
      </c>
      <c r="H244" s="1124" t="s">
        <v>939</v>
      </c>
      <c r="I244" s="1123" t="s">
        <v>2204</v>
      </c>
      <c r="J244" s="1125">
        <v>-722.98</v>
      </c>
      <c r="K244" s="1125">
        <v>0</v>
      </c>
      <c r="L244" s="1126"/>
      <c r="M244" s="1126"/>
      <c r="N244" s="1125">
        <v>-722.98</v>
      </c>
      <c r="O244" s="1125">
        <v>-722.98</v>
      </c>
      <c r="P244" s="1125">
        <v>0</v>
      </c>
      <c r="Q244" s="1125">
        <v>0</v>
      </c>
      <c r="R244" s="1125">
        <v>0</v>
      </c>
      <c r="S244" s="1125">
        <v>0</v>
      </c>
      <c r="T244" s="1125">
        <v>0</v>
      </c>
      <c r="U244" s="1125">
        <v>0</v>
      </c>
      <c r="V244" s="1127">
        <v>0</v>
      </c>
      <c r="W244" s="1127">
        <v>0</v>
      </c>
      <c r="X244" s="1124"/>
      <c r="Y244" s="1319"/>
      <c r="Z244" s="1319"/>
    </row>
    <row r="245" spans="1:26" ht="24">
      <c r="A245" s="1122" t="s">
        <v>2518</v>
      </c>
      <c r="B245" s="1123" t="s">
        <v>2519</v>
      </c>
      <c r="C245" s="1123" t="s">
        <v>1367</v>
      </c>
      <c r="D245" s="1123" t="s">
        <v>2520</v>
      </c>
      <c r="E245" s="1123" t="s">
        <v>1928</v>
      </c>
      <c r="F245" s="1123" t="s">
        <v>2521</v>
      </c>
      <c r="G245" s="1123" t="s">
        <v>1926</v>
      </c>
      <c r="H245" s="1124" t="s">
        <v>939</v>
      </c>
      <c r="I245" s="1123" t="s">
        <v>1929</v>
      </c>
      <c r="J245" s="1125">
        <v>-1809.55</v>
      </c>
      <c r="K245" s="1125">
        <v>0</v>
      </c>
      <c r="L245" s="1126"/>
      <c r="M245" s="1126"/>
      <c r="N245" s="1125">
        <v>-1809.55</v>
      </c>
      <c r="O245" s="1125">
        <v>-1809.55</v>
      </c>
      <c r="P245" s="1125">
        <v>0</v>
      </c>
      <c r="Q245" s="1125">
        <v>0</v>
      </c>
      <c r="R245" s="1125">
        <v>0</v>
      </c>
      <c r="S245" s="1125">
        <v>0</v>
      </c>
      <c r="T245" s="1125">
        <v>0</v>
      </c>
      <c r="U245" s="1125">
        <v>0</v>
      </c>
      <c r="V245" s="1127">
        <v>0</v>
      </c>
      <c r="W245" s="1127">
        <v>0</v>
      </c>
      <c r="X245" s="1124"/>
      <c r="Y245" s="1319"/>
      <c r="Z245" s="1319"/>
    </row>
    <row r="246" spans="1:26" ht="24">
      <c r="A246" s="1122" t="s">
        <v>2146</v>
      </c>
      <c r="B246" s="1123" t="s">
        <v>1231</v>
      </c>
      <c r="C246" s="1123" t="s">
        <v>1385</v>
      </c>
      <c r="D246" s="1123" t="s">
        <v>1386</v>
      </c>
      <c r="E246" s="1123" t="s">
        <v>1928</v>
      </c>
      <c r="F246" s="1123" t="s">
        <v>2147</v>
      </c>
      <c r="G246" s="1123" t="s">
        <v>1926</v>
      </c>
      <c r="H246" s="1124" t="s">
        <v>1387</v>
      </c>
      <c r="I246" s="1123" t="s">
        <v>703</v>
      </c>
      <c r="J246" s="1125">
        <v>0</v>
      </c>
      <c r="K246" s="1125">
        <v>8.9499999999999993</v>
      </c>
      <c r="L246" s="1126"/>
      <c r="M246" s="1126"/>
      <c r="N246" s="1125">
        <v>8.9499999999999993</v>
      </c>
      <c r="O246" s="1125">
        <v>8.9499999999999993</v>
      </c>
      <c r="P246" s="1125">
        <v>0</v>
      </c>
      <c r="Q246" s="1125">
        <v>0</v>
      </c>
      <c r="R246" s="1125">
        <v>0</v>
      </c>
      <c r="S246" s="1125">
        <v>0</v>
      </c>
      <c r="T246" s="1125">
        <v>0</v>
      </c>
      <c r="U246" s="1125">
        <v>0</v>
      </c>
      <c r="V246" s="1127">
        <v>0</v>
      </c>
      <c r="W246" s="1127">
        <v>0</v>
      </c>
      <c r="X246" s="1124"/>
      <c r="Y246" s="1319"/>
      <c r="Z246" s="1319"/>
    </row>
    <row r="247" spans="1:26" ht="24">
      <c r="A247" s="1122" t="s">
        <v>2146</v>
      </c>
      <c r="B247" s="1123" t="s">
        <v>1231</v>
      </c>
      <c r="C247" s="1123" t="s">
        <v>1385</v>
      </c>
      <c r="D247" s="1123" t="s">
        <v>1386</v>
      </c>
      <c r="E247" s="1123" t="s">
        <v>1928</v>
      </c>
      <c r="F247" s="1123" t="s">
        <v>2147</v>
      </c>
      <c r="G247" s="1123" t="s">
        <v>1926</v>
      </c>
      <c r="H247" s="1124" t="s">
        <v>1387</v>
      </c>
      <c r="I247" s="1123" t="s">
        <v>1943</v>
      </c>
      <c r="J247" s="1125">
        <v>-8.9499999999999993</v>
      </c>
      <c r="K247" s="1125">
        <v>0</v>
      </c>
      <c r="L247" s="1126"/>
      <c r="M247" s="1126"/>
      <c r="N247" s="1125">
        <v>-8.9499999999999993</v>
      </c>
      <c r="O247" s="1125">
        <v>0</v>
      </c>
      <c r="P247" s="1125">
        <v>-8.9499999999999993</v>
      </c>
      <c r="Q247" s="1125">
        <v>0</v>
      </c>
      <c r="R247" s="1125">
        <v>0</v>
      </c>
      <c r="S247" s="1125">
        <v>0</v>
      </c>
      <c r="T247" s="1125">
        <v>0</v>
      </c>
      <c r="U247" s="1125">
        <v>0</v>
      </c>
      <c r="V247" s="1127">
        <v>0</v>
      </c>
      <c r="W247" s="1127">
        <v>0</v>
      </c>
      <c r="X247" s="1124"/>
      <c r="Y247" s="1319"/>
      <c r="Z247" s="1319"/>
    </row>
    <row r="248" spans="1:26" ht="24">
      <c r="A248" s="1122" t="s">
        <v>2522</v>
      </c>
      <c r="B248" s="1123" t="s">
        <v>1243</v>
      </c>
      <c r="C248" s="1123" t="s">
        <v>1395</v>
      </c>
      <c r="D248" s="1123" t="s">
        <v>1896</v>
      </c>
      <c r="E248" s="1123" t="s">
        <v>1928</v>
      </c>
      <c r="F248" s="1123" t="s">
        <v>2523</v>
      </c>
      <c r="G248" s="1123" t="s">
        <v>1926</v>
      </c>
      <c r="H248" s="1124" t="s">
        <v>2093</v>
      </c>
      <c r="I248" s="1123" t="s">
        <v>703</v>
      </c>
      <c r="J248" s="1125">
        <v>0</v>
      </c>
      <c r="K248" s="1125">
        <v>9.67</v>
      </c>
      <c r="L248" s="1126"/>
      <c r="M248" s="1126"/>
      <c r="N248" s="1125">
        <v>9.67</v>
      </c>
      <c r="O248" s="1125">
        <v>9.67</v>
      </c>
      <c r="P248" s="1125">
        <v>0</v>
      </c>
      <c r="Q248" s="1125">
        <v>0</v>
      </c>
      <c r="R248" s="1125">
        <v>0</v>
      </c>
      <c r="S248" s="1125">
        <v>0</v>
      </c>
      <c r="T248" s="1125">
        <v>250</v>
      </c>
      <c r="U248" s="1125">
        <v>0</v>
      </c>
      <c r="V248" s="1127">
        <v>0</v>
      </c>
      <c r="W248" s="1127">
        <v>0</v>
      </c>
      <c r="X248" s="1124"/>
      <c r="Y248" s="1319"/>
      <c r="Z248" s="1319"/>
    </row>
    <row r="249" spans="1:26" ht="24">
      <c r="A249" s="1122" t="s">
        <v>2522</v>
      </c>
      <c r="B249" s="1123" t="s">
        <v>1243</v>
      </c>
      <c r="C249" s="1123" t="s">
        <v>1395</v>
      </c>
      <c r="D249" s="1123" t="s">
        <v>1896</v>
      </c>
      <c r="E249" s="1123" t="s">
        <v>1928</v>
      </c>
      <c r="F249" s="1123" t="s">
        <v>2523</v>
      </c>
      <c r="G249" s="1123" t="s">
        <v>1926</v>
      </c>
      <c r="H249" s="1124" t="s">
        <v>2093</v>
      </c>
      <c r="I249" s="1123" t="s">
        <v>707</v>
      </c>
      <c r="J249" s="1125">
        <v>0</v>
      </c>
      <c r="K249" s="1125">
        <v>5.19</v>
      </c>
      <c r="L249" s="1126"/>
      <c r="M249" s="1126"/>
      <c r="N249" s="1125">
        <v>5.19</v>
      </c>
      <c r="O249" s="1125">
        <v>5.19</v>
      </c>
      <c r="P249" s="1125">
        <v>0</v>
      </c>
      <c r="Q249" s="1125">
        <v>0</v>
      </c>
      <c r="R249" s="1125">
        <v>0</v>
      </c>
      <c r="S249" s="1125">
        <v>0</v>
      </c>
      <c r="T249" s="1125">
        <v>0</v>
      </c>
      <c r="U249" s="1125">
        <v>0</v>
      </c>
      <c r="V249" s="1127">
        <v>0</v>
      </c>
      <c r="W249" s="1127">
        <v>0</v>
      </c>
      <c r="X249" s="1124"/>
      <c r="Y249" s="1319"/>
      <c r="Z249" s="1319"/>
    </row>
    <row r="250" spans="1:26" ht="24">
      <c r="A250" s="1122" t="s">
        <v>2522</v>
      </c>
      <c r="B250" s="1123" t="s">
        <v>1243</v>
      </c>
      <c r="C250" s="1123" t="s">
        <v>1395</v>
      </c>
      <c r="D250" s="1123" t="s">
        <v>1896</v>
      </c>
      <c r="E250" s="1123" t="s">
        <v>1928</v>
      </c>
      <c r="F250" s="1123" t="s">
        <v>2523</v>
      </c>
      <c r="G250" s="1123" t="s">
        <v>1926</v>
      </c>
      <c r="H250" s="1124" t="s">
        <v>2093</v>
      </c>
      <c r="I250" s="1123" t="s">
        <v>1944</v>
      </c>
      <c r="J250" s="1125">
        <v>0</v>
      </c>
      <c r="K250" s="1125">
        <v>6.9</v>
      </c>
      <c r="L250" s="1126"/>
      <c r="M250" s="1126"/>
      <c r="N250" s="1125">
        <v>6.9</v>
      </c>
      <c r="O250" s="1125">
        <v>6.9</v>
      </c>
      <c r="P250" s="1125">
        <v>0</v>
      </c>
      <c r="Q250" s="1125">
        <v>0</v>
      </c>
      <c r="R250" s="1125">
        <v>0</v>
      </c>
      <c r="S250" s="1125">
        <v>0</v>
      </c>
      <c r="T250" s="1125">
        <v>0</v>
      </c>
      <c r="U250" s="1125">
        <v>0</v>
      </c>
      <c r="V250" s="1127">
        <v>0</v>
      </c>
      <c r="W250" s="1127">
        <v>0</v>
      </c>
      <c r="X250" s="1124"/>
      <c r="Y250" s="1319"/>
      <c r="Z250" s="1319"/>
    </row>
    <row r="251" spans="1:26" ht="24">
      <c r="A251" s="1122" t="s">
        <v>2524</v>
      </c>
      <c r="B251" s="1123" t="s">
        <v>2525</v>
      </c>
      <c r="C251" s="1123" t="s">
        <v>1407</v>
      </c>
      <c r="D251" s="1123" t="s">
        <v>926</v>
      </c>
      <c r="E251" s="1123" t="s">
        <v>2526</v>
      </c>
      <c r="F251" s="1123" t="s">
        <v>2527</v>
      </c>
      <c r="G251" s="1123" t="s">
        <v>1926</v>
      </c>
      <c r="H251" s="1124" t="s">
        <v>856</v>
      </c>
      <c r="I251" s="1123" t="s">
        <v>2204</v>
      </c>
      <c r="J251" s="1125">
        <v>-3086.86</v>
      </c>
      <c r="K251" s="1125">
        <v>0</v>
      </c>
      <c r="L251" s="1126"/>
      <c r="M251" s="1126"/>
      <c r="N251" s="1125">
        <v>-3086.86</v>
      </c>
      <c r="O251" s="1125">
        <v>-3086.86</v>
      </c>
      <c r="P251" s="1125">
        <v>0</v>
      </c>
      <c r="Q251" s="1125">
        <v>0</v>
      </c>
      <c r="R251" s="1125">
        <v>0</v>
      </c>
      <c r="S251" s="1125">
        <v>0</v>
      </c>
      <c r="T251" s="1125">
        <v>100</v>
      </c>
      <c r="U251" s="1125">
        <v>0</v>
      </c>
      <c r="V251" s="1127">
        <v>0</v>
      </c>
      <c r="W251" s="1127">
        <v>0</v>
      </c>
      <c r="X251" s="1124"/>
      <c r="Y251" s="1319"/>
      <c r="Z251" s="1319"/>
    </row>
    <row r="252" spans="1:26" ht="24">
      <c r="A252" s="1122" t="s">
        <v>2528</v>
      </c>
      <c r="B252" s="1123" t="s">
        <v>2529</v>
      </c>
      <c r="C252" s="1123" t="s">
        <v>1409</v>
      </c>
      <c r="D252" s="1123" t="s">
        <v>2530</v>
      </c>
      <c r="E252" s="1123" t="s">
        <v>2531</v>
      </c>
      <c r="F252" s="1123" t="s">
        <v>2532</v>
      </c>
      <c r="G252" s="1123" t="s">
        <v>2135</v>
      </c>
      <c r="H252" s="1124" t="s">
        <v>1003</v>
      </c>
      <c r="I252" s="1123" t="s">
        <v>703</v>
      </c>
      <c r="J252" s="1125">
        <v>0</v>
      </c>
      <c r="K252" s="1125">
        <v>1825</v>
      </c>
      <c r="L252" s="1126"/>
      <c r="M252" s="1126"/>
      <c r="N252" s="1125">
        <v>1825</v>
      </c>
      <c r="O252" s="1125">
        <v>1825</v>
      </c>
      <c r="P252" s="1125">
        <v>0</v>
      </c>
      <c r="Q252" s="1125">
        <v>0</v>
      </c>
      <c r="R252" s="1125">
        <v>0</v>
      </c>
      <c r="S252" s="1125">
        <v>0</v>
      </c>
      <c r="T252" s="1125">
        <v>0</v>
      </c>
      <c r="U252" s="1125">
        <v>0</v>
      </c>
      <c r="V252" s="1127">
        <v>5</v>
      </c>
      <c r="W252" s="1127">
        <v>1</v>
      </c>
      <c r="X252" s="1124"/>
      <c r="Y252" s="1319"/>
      <c r="Z252" s="1319"/>
    </row>
    <row r="253" spans="1:26" ht="24">
      <c r="A253" s="1122" t="s">
        <v>2528</v>
      </c>
      <c r="B253" s="1123" t="s">
        <v>2529</v>
      </c>
      <c r="C253" s="1123" t="s">
        <v>1409</v>
      </c>
      <c r="D253" s="1123" t="s">
        <v>2530</v>
      </c>
      <c r="E253" s="1123" t="s">
        <v>2531</v>
      </c>
      <c r="F253" s="1123" t="s">
        <v>2532</v>
      </c>
      <c r="G253" s="1123" t="s">
        <v>2135</v>
      </c>
      <c r="H253" s="1124" t="s">
        <v>1003</v>
      </c>
      <c r="I253" s="1123" t="s">
        <v>1941</v>
      </c>
      <c r="J253" s="1125">
        <v>0</v>
      </c>
      <c r="K253" s="1125">
        <v>182.32</v>
      </c>
      <c r="L253" s="1126"/>
      <c r="M253" s="1126"/>
      <c r="N253" s="1125">
        <v>182.32</v>
      </c>
      <c r="O253" s="1125">
        <v>182.32</v>
      </c>
      <c r="P253" s="1125">
        <v>0</v>
      </c>
      <c r="Q253" s="1125">
        <v>0</v>
      </c>
      <c r="R253" s="1125">
        <v>0</v>
      </c>
      <c r="S253" s="1125">
        <v>0</v>
      </c>
      <c r="T253" s="1125">
        <v>0</v>
      </c>
      <c r="U253" s="1125">
        <v>0</v>
      </c>
      <c r="V253" s="1127">
        <v>5</v>
      </c>
      <c r="W253" s="1127">
        <v>1</v>
      </c>
      <c r="X253" s="1124"/>
      <c r="Y253" s="1319"/>
      <c r="Z253" s="1319"/>
    </row>
    <row r="254" spans="1:26" ht="24">
      <c r="A254" s="1122" t="s">
        <v>2528</v>
      </c>
      <c r="B254" s="1123" t="s">
        <v>2529</v>
      </c>
      <c r="C254" s="1123" t="s">
        <v>1409</v>
      </c>
      <c r="D254" s="1123" t="s">
        <v>2530</v>
      </c>
      <c r="E254" s="1123" t="s">
        <v>2531</v>
      </c>
      <c r="F254" s="1123" t="s">
        <v>2532</v>
      </c>
      <c r="G254" s="1123" t="s">
        <v>2135</v>
      </c>
      <c r="H254" s="1124" t="s">
        <v>1003</v>
      </c>
      <c r="I254" s="1123" t="s">
        <v>707</v>
      </c>
      <c r="J254" s="1125">
        <v>0</v>
      </c>
      <c r="K254" s="1125">
        <v>12.6</v>
      </c>
      <c r="L254" s="1126"/>
      <c r="M254" s="1126"/>
      <c r="N254" s="1125">
        <v>12.6</v>
      </c>
      <c r="O254" s="1125">
        <v>12.6</v>
      </c>
      <c r="P254" s="1125">
        <v>0</v>
      </c>
      <c r="Q254" s="1125">
        <v>0</v>
      </c>
      <c r="R254" s="1125">
        <v>0</v>
      </c>
      <c r="S254" s="1125">
        <v>0</v>
      </c>
      <c r="T254" s="1125">
        <v>0</v>
      </c>
      <c r="U254" s="1125">
        <v>0</v>
      </c>
      <c r="V254" s="1127">
        <v>5</v>
      </c>
      <c r="W254" s="1127">
        <v>1</v>
      </c>
      <c r="X254" s="1124"/>
      <c r="Y254" s="1319"/>
      <c r="Z254" s="1319"/>
    </row>
    <row r="255" spans="1:26" ht="24">
      <c r="A255" s="1122" t="s">
        <v>2528</v>
      </c>
      <c r="B255" s="1123" t="s">
        <v>2529</v>
      </c>
      <c r="C255" s="1123" t="s">
        <v>1409</v>
      </c>
      <c r="D255" s="1123" t="s">
        <v>2530</v>
      </c>
      <c r="E255" s="1123" t="s">
        <v>2531</v>
      </c>
      <c r="F255" s="1123" t="s">
        <v>2532</v>
      </c>
      <c r="G255" s="1123" t="s">
        <v>2135</v>
      </c>
      <c r="H255" s="1124" t="s">
        <v>1003</v>
      </c>
      <c r="I255" s="1123" t="s">
        <v>1943</v>
      </c>
      <c r="J255" s="1125">
        <v>0</v>
      </c>
      <c r="K255" s="1125">
        <v>8.9499999999999993</v>
      </c>
      <c r="L255" s="1126"/>
      <c r="M255" s="1126"/>
      <c r="N255" s="1125">
        <v>8.9499999999999993</v>
      </c>
      <c r="O255" s="1125">
        <v>8.9499999999999993</v>
      </c>
      <c r="P255" s="1125">
        <v>0</v>
      </c>
      <c r="Q255" s="1125">
        <v>0</v>
      </c>
      <c r="R255" s="1125">
        <v>0</v>
      </c>
      <c r="S255" s="1125">
        <v>0</v>
      </c>
      <c r="T255" s="1125">
        <v>0</v>
      </c>
      <c r="U255" s="1125">
        <v>0</v>
      </c>
      <c r="V255" s="1127">
        <v>5</v>
      </c>
      <c r="W255" s="1127">
        <v>1</v>
      </c>
      <c r="X255" s="1124"/>
      <c r="Y255" s="1319"/>
      <c r="Z255" s="1319"/>
    </row>
    <row r="256" spans="1:26" ht="24">
      <c r="A256" s="1122" t="s">
        <v>2528</v>
      </c>
      <c r="B256" s="1123" t="s">
        <v>2529</v>
      </c>
      <c r="C256" s="1123" t="s">
        <v>1409</v>
      </c>
      <c r="D256" s="1123" t="s">
        <v>2530</v>
      </c>
      <c r="E256" s="1123" t="s">
        <v>2531</v>
      </c>
      <c r="F256" s="1123" t="s">
        <v>2532</v>
      </c>
      <c r="G256" s="1123" t="s">
        <v>2135</v>
      </c>
      <c r="H256" s="1124" t="s">
        <v>1003</v>
      </c>
      <c r="I256" s="1123" t="s">
        <v>1927</v>
      </c>
      <c r="J256" s="1125">
        <v>0</v>
      </c>
      <c r="K256" s="1125">
        <v>13.95</v>
      </c>
      <c r="L256" s="1126"/>
      <c r="M256" s="1126"/>
      <c r="N256" s="1125">
        <v>13.95</v>
      </c>
      <c r="O256" s="1125">
        <v>13.95</v>
      </c>
      <c r="P256" s="1125">
        <v>0</v>
      </c>
      <c r="Q256" s="1125">
        <v>0</v>
      </c>
      <c r="R256" s="1125">
        <v>0</v>
      </c>
      <c r="S256" s="1125">
        <v>0</v>
      </c>
      <c r="T256" s="1125">
        <v>0</v>
      </c>
      <c r="U256" s="1125">
        <v>0</v>
      </c>
      <c r="V256" s="1127">
        <v>5</v>
      </c>
      <c r="W256" s="1127">
        <v>1</v>
      </c>
      <c r="X256" s="1124"/>
      <c r="Y256" s="1319"/>
      <c r="Z256" s="1319"/>
    </row>
    <row r="257" spans="1:26" ht="24">
      <c r="A257" s="1122" t="s">
        <v>2528</v>
      </c>
      <c r="B257" s="1123" t="s">
        <v>2529</v>
      </c>
      <c r="C257" s="1123" t="s">
        <v>1409</v>
      </c>
      <c r="D257" s="1123" t="s">
        <v>2530</v>
      </c>
      <c r="E257" s="1123" t="s">
        <v>2531</v>
      </c>
      <c r="F257" s="1123" t="s">
        <v>2532</v>
      </c>
      <c r="G257" s="1123" t="s">
        <v>2135</v>
      </c>
      <c r="H257" s="1124" t="s">
        <v>1003</v>
      </c>
      <c r="I257" s="1123" t="s">
        <v>704</v>
      </c>
      <c r="J257" s="1125">
        <v>0</v>
      </c>
      <c r="K257" s="1125">
        <v>30</v>
      </c>
      <c r="L257" s="1126"/>
      <c r="M257" s="1126"/>
      <c r="N257" s="1125">
        <v>30</v>
      </c>
      <c r="O257" s="1125">
        <v>30</v>
      </c>
      <c r="P257" s="1125">
        <v>0</v>
      </c>
      <c r="Q257" s="1125">
        <v>0</v>
      </c>
      <c r="R257" s="1125">
        <v>0</v>
      </c>
      <c r="S257" s="1125">
        <v>0</v>
      </c>
      <c r="T257" s="1125">
        <v>0</v>
      </c>
      <c r="U257" s="1125">
        <v>0</v>
      </c>
      <c r="V257" s="1127">
        <v>5</v>
      </c>
      <c r="W257" s="1127">
        <v>1</v>
      </c>
      <c r="X257" s="1124"/>
      <c r="Y257" s="1319"/>
      <c r="Z257" s="1319"/>
    </row>
    <row r="258" spans="1:26" ht="24">
      <c r="A258" s="1122" t="s">
        <v>2528</v>
      </c>
      <c r="B258" s="1123" t="s">
        <v>2529</v>
      </c>
      <c r="C258" s="1123" t="s">
        <v>1409</v>
      </c>
      <c r="D258" s="1123" t="s">
        <v>2530</v>
      </c>
      <c r="E258" s="1123" t="s">
        <v>2531</v>
      </c>
      <c r="F258" s="1123" t="s">
        <v>2532</v>
      </c>
      <c r="G258" s="1123" t="s">
        <v>2135</v>
      </c>
      <c r="H258" s="1124" t="s">
        <v>1003</v>
      </c>
      <c r="I258" s="1123" t="s">
        <v>706</v>
      </c>
      <c r="J258" s="1125">
        <v>0</v>
      </c>
      <c r="K258" s="1125">
        <v>22</v>
      </c>
      <c r="L258" s="1126"/>
      <c r="M258" s="1126"/>
      <c r="N258" s="1125">
        <v>22</v>
      </c>
      <c r="O258" s="1125">
        <v>22</v>
      </c>
      <c r="P258" s="1125">
        <v>0</v>
      </c>
      <c r="Q258" s="1125">
        <v>0</v>
      </c>
      <c r="R258" s="1125">
        <v>0</v>
      </c>
      <c r="S258" s="1125">
        <v>0</v>
      </c>
      <c r="T258" s="1125">
        <v>0</v>
      </c>
      <c r="U258" s="1125">
        <v>0</v>
      </c>
      <c r="V258" s="1127">
        <v>5</v>
      </c>
      <c r="W258" s="1127">
        <v>1</v>
      </c>
      <c r="X258" s="1124"/>
      <c r="Y258" s="1319"/>
      <c r="Z258" s="1319"/>
    </row>
    <row r="259" spans="1:26" ht="24">
      <c r="A259" s="1122" t="s">
        <v>2140</v>
      </c>
      <c r="B259" s="1123" t="s">
        <v>1288</v>
      </c>
      <c r="C259" s="1123" t="s">
        <v>1461</v>
      </c>
      <c r="D259" s="1123" t="s">
        <v>2148</v>
      </c>
      <c r="E259" s="1123" t="s">
        <v>1928</v>
      </c>
      <c r="F259" s="1123" t="s">
        <v>2149</v>
      </c>
      <c r="G259" s="1123" t="s">
        <v>1926</v>
      </c>
      <c r="H259" s="1124" t="s">
        <v>1463</v>
      </c>
      <c r="I259" s="1123" t="s">
        <v>1929</v>
      </c>
      <c r="J259" s="1125">
        <v>-789.83</v>
      </c>
      <c r="K259" s="1125">
        <v>0</v>
      </c>
      <c r="L259" s="1126"/>
      <c r="M259" s="1126"/>
      <c r="N259" s="1125">
        <v>-789.83</v>
      </c>
      <c r="O259" s="1125">
        <v>-789.83</v>
      </c>
      <c r="P259" s="1125">
        <v>0</v>
      </c>
      <c r="Q259" s="1125">
        <v>0</v>
      </c>
      <c r="R259" s="1125">
        <v>0</v>
      </c>
      <c r="S259" s="1125">
        <v>0</v>
      </c>
      <c r="T259" s="1125">
        <v>250</v>
      </c>
      <c r="U259" s="1125">
        <v>0</v>
      </c>
      <c r="V259" s="1127">
        <v>2</v>
      </c>
      <c r="W259" s="1127">
        <v>0</v>
      </c>
      <c r="X259" s="1124"/>
      <c r="Y259" s="1319"/>
      <c r="Z259" s="1319"/>
    </row>
    <row r="260" spans="1:26" ht="24">
      <c r="A260" s="1122" t="s">
        <v>2533</v>
      </c>
      <c r="B260" s="1123" t="s">
        <v>2534</v>
      </c>
      <c r="C260" s="1123" t="s">
        <v>1536</v>
      </c>
      <c r="D260" s="1123" t="s">
        <v>2535</v>
      </c>
      <c r="E260" s="1123" t="s">
        <v>2536</v>
      </c>
      <c r="F260" s="1123" t="s">
        <v>2537</v>
      </c>
      <c r="G260" s="1123" t="s">
        <v>2135</v>
      </c>
      <c r="H260" s="1124" t="s">
        <v>2271</v>
      </c>
      <c r="I260" s="1123" t="s">
        <v>1996</v>
      </c>
      <c r="J260" s="1125">
        <v>0</v>
      </c>
      <c r="K260" s="1125">
        <v>50</v>
      </c>
      <c r="L260" s="1126"/>
      <c r="M260" s="1126"/>
      <c r="N260" s="1125">
        <v>50</v>
      </c>
      <c r="O260" s="1125">
        <v>50</v>
      </c>
      <c r="P260" s="1125">
        <v>0</v>
      </c>
      <c r="Q260" s="1125">
        <v>0</v>
      </c>
      <c r="R260" s="1125">
        <v>0</v>
      </c>
      <c r="S260" s="1125">
        <v>0</v>
      </c>
      <c r="T260" s="1125">
        <v>0</v>
      </c>
      <c r="U260" s="1125">
        <v>0</v>
      </c>
      <c r="V260" s="1127">
        <v>0</v>
      </c>
      <c r="W260" s="1127">
        <v>0</v>
      </c>
      <c r="X260" s="1124"/>
      <c r="Y260" s="1319"/>
      <c r="Z260" s="1319"/>
    </row>
    <row r="261" spans="1:26" ht="24">
      <c r="A261" s="1122" t="s">
        <v>2538</v>
      </c>
      <c r="B261" s="1123" t="s">
        <v>2539</v>
      </c>
      <c r="C261" s="1123" t="s">
        <v>1541</v>
      </c>
      <c r="D261" s="1123" t="s">
        <v>1030</v>
      </c>
      <c r="E261" s="1123" t="s">
        <v>1928</v>
      </c>
      <c r="F261" s="1123" t="s">
        <v>2540</v>
      </c>
      <c r="G261" s="1123" t="s">
        <v>1926</v>
      </c>
      <c r="H261" s="1124" t="s">
        <v>2272</v>
      </c>
      <c r="I261" s="1123" t="s">
        <v>2204</v>
      </c>
      <c r="J261" s="1125">
        <v>-3031.26</v>
      </c>
      <c r="K261" s="1125">
        <v>0</v>
      </c>
      <c r="L261" s="1126"/>
      <c r="M261" s="1126"/>
      <c r="N261" s="1125">
        <v>-3031.26</v>
      </c>
      <c r="O261" s="1125">
        <v>-3031.26</v>
      </c>
      <c r="P261" s="1125">
        <v>0</v>
      </c>
      <c r="Q261" s="1125">
        <v>0</v>
      </c>
      <c r="R261" s="1125">
        <v>0</v>
      </c>
      <c r="S261" s="1125">
        <v>0</v>
      </c>
      <c r="T261" s="1125">
        <v>0</v>
      </c>
      <c r="U261" s="1125">
        <v>0</v>
      </c>
      <c r="V261" s="1127">
        <v>0</v>
      </c>
      <c r="W261" s="1127">
        <v>1</v>
      </c>
      <c r="X261" s="1124"/>
      <c r="Y261" s="1319"/>
      <c r="Z261" s="1319"/>
    </row>
    <row r="262" spans="1:26" ht="24">
      <c r="A262" s="1122" t="s">
        <v>2538</v>
      </c>
      <c r="B262" s="1123" t="s">
        <v>2539</v>
      </c>
      <c r="C262" s="1123" t="s">
        <v>1541</v>
      </c>
      <c r="D262" s="1123" t="s">
        <v>1030</v>
      </c>
      <c r="E262" s="1123" t="s">
        <v>1928</v>
      </c>
      <c r="F262" s="1123" t="s">
        <v>2540</v>
      </c>
      <c r="G262" s="1123" t="s">
        <v>1926</v>
      </c>
      <c r="H262" s="1124" t="s">
        <v>2272</v>
      </c>
      <c r="I262" s="1123" t="s">
        <v>1929</v>
      </c>
      <c r="J262" s="1125">
        <v>-391.53</v>
      </c>
      <c r="K262" s="1125">
        <v>0</v>
      </c>
      <c r="L262" s="1126"/>
      <c r="M262" s="1126"/>
      <c r="N262" s="1125">
        <v>-391.53</v>
      </c>
      <c r="O262" s="1125">
        <v>-391.53</v>
      </c>
      <c r="P262" s="1125">
        <v>0</v>
      </c>
      <c r="Q262" s="1125">
        <v>0</v>
      </c>
      <c r="R262" s="1125">
        <v>0</v>
      </c>
      <c r="S262" s="1125">
        <v>0</v>
      </c>
      <c r="T262" s="1125">
        <v>0</v>
      </c>
      <c r="U262" s="1125">
        <v>0</v>
      </c>
      <c r="V262" s="1127">
        <v>0</v>
      </c>
      <c r="W262" s="1127">
        <v>1</v>
      </c>
      <c r="X262" s="1124"/>
      <c r="Y262" s="1319"/>
      <c r="Z262" s="1319"/>
    </row>
    <row r="263" spans="1:26" ht="24">
      <c r="A263" s="1122" t="s">
        <v>1948</v>
      </c>
      <c r="B263" s="1123" t="s">
        <v>2150</v>
      </c>
      <c r="C263" s="1123" t="s">
        <v>1570</v>
      </c>
      <c r="D263" s="1123" t="s">
        <v>2151</v>
      </c>
      <c r="E263" s="1123" t="s">
        <v>1928</v>
      </c>
      <c r="F263" s="1123" t="s">
        <v>2152</v>
      </c>
      <c r="G263" s="1123" t="s">
        <v>1926</v>
      </c>
      <c r="H263" s="1124" t="s">
        <v>1230</v>
      </c>
      <c r="I263" s="1123" t="s">
        <v>703</v>
      </c>
      <c r="J263" s="1125">
        <v>0</v>
      </c>
      <c r="K263" s="1125">
        <v>8.9499999999999993</v>
      </c>
      <c r="L263" s="1126"/>
      <c r="M263" s="1126"/>
      <c r="N263" s="1125">
        <v>8.9499999999999993</v>
      </c>
      <c r="O263" s="1125">
        <v>8.9499999999999993</v>
      </c>
      <c r="P263" s="1125">
        <v>0</v>
      </c>
      <c r="Q263" s="1125">
        <v>0</v>
      </c>
      <c r="R263" s="1125">
        <v>0</v>
      </c>
      <c r="S263" s="1125">
        <v>0</v>
      </c>
      <c r="T263" s="1125">
        <v>0</v>
      </c>
      <c r="U263" s="1125">
        <v>0</v>
      </c>
      <c r="V263" s="1127">
        <v>0</v>
      </c>
      <c r="W263" s="1127">
        <v>0</v>
      </c>
      <c r="X263" s="1124"/>
      <c r="Y263" s="1319"/>
      <c r="Z263" s="1319"/>
    </row>
    <row r="264" spans="1:26" ht="24">
      <c r="A264" s="1122" t="s">
        <v>1948</v>
      </c>
      <c r="B264" s="1123" t="s">
        <v>2150</v>
      </c>
      <c r="C264" s="1123" t="s">
        <v>1570</v>
      </c>
      <c r="D264" s="1123" t="s">
        <v>2151</v>
      </c>
      <c r="E264" s="1123" t="s">
        <v>1928</v>
      </c>
      <c r="F264" s="1123" t="s">
        <v>2152</v>
      </c>
      <c r="G264" s="1123" t="s">
        <v>1926</v>
      </c>
      <c r="H264" s="1124" t="s">
        <v>1230</v>
      </c>
      <c r="I264" s="1123" t="s">
        <v>1943</v>
      </c>
      <c r="J264" s="1125">
        <v>-8.9499999999999993</v>
      </c>
      <c r="K264" s="1125">
        <v>0</v>
      </c>
      <c r="L264" s="1126"/>
      <c r="M264" s="1126"/>
      <c r="N264" s="1125">
        <v>-8.9499999999999993</v>
      </c>
      <c r="O264" s="1125">
        <v>0</v>
      </c>
      <c r="P264" s="1125">
        <v>-8.9499999999999993</v>
      </c>
      <c r="Q264" s="1125">
        <v>0</v>
      </c>
      <c r="R264" s="1125">
        <v>0</v>
      </c>
      <c r="S264" s="1125">
        <v>0</v>
      </c>
      <c r="T264" s="1125">
        <v>0</v>
      </c>
      <c r="U264" s="1125">
        <v>0</v>
      </c>
      <c r="V264" s="1127">
        <v>0</v>
      </c>
      <c r="W264" s="1127">
        <v>0</v>
      </c>
      <c r="X264" s="1124"/>
      <c r="Y264" s="1319"/>
      <c r="Z264" s="1319"/>
    </row>
    <row r="265" spans="1:26" ht="24">
      <c r="A265" s="1122" t="s">
        <v>1076</v>
      </c>
      <c r="B265" s="1123" t="s">
        <v>2541</v>
      </c>
      <c r="C265" s="1123" t="s">
        <v>1572</v>
      </c>
      <c r="D265" s="1123" t="s">
        <v>2542</v>
      </c>
      <c r="E265" s="1123" t="s">
        <v>2543</v>
      </c>
      <c r="F265" s="1123" t="s">
        <v>2544</v>
      </c>
      <c r="G265" s="1123" t="s">
        <v>1926</v>
      </c>
      <c r="H265" s="1124" t="s">
        <v>1323</v>
      </c>
      <c r="I265" s="1123" t="s">
        <v>1929</v>
      </c>
      <c r="J265" s="1125">
        <v>-352.5</v>
      </c>
      <c r="K265" s="1125">
        <v>0</v>
      </c>
      <c r="L265" s="1126"/>
      <c r="M265" s="1126"/>
      <c r="N265" s="1125">
        <v>-352.5</v>
      </c>
      <c r="O265" s="1125">
        <v>-352.5</v>
      </c>
      <c r="P265" s="1125">
        <v>0</v>
      </c>
      <c r="Q265" s="1125">
        <v>0</v>
      </c>
      <c r="R265" s="1125">
        <v>0</v>
      </c>
      <c r="S265" s="1125">
        <v>0</v>
      </c>
      <c r="T265" s="1125">
        <v>250</v>
      </c>
      <c r="U265" s="1125">
        <v>0</v>
      </c>
      <c r="V265" s="1127">
        <v>0</v>
      </c>
      <c r="W265" s="1127">
        <v>0</v>
      </c>
      <c r="X265" s="1124"/>
      <c r="Y265" s="1319"/>
      <c r="Z265" s="1319"/>
    </row>
    <row r="266" spans="1:26" ht="24">
      <c r="A266" s="1122" t="s">
        <v>2545</v>
      </c>
      <c r="B266" s="1123" t="s">
        <v>2141</v>
      </c>
      <c r="C266" s="1123" t="s">
        <v>1578</v>
      </c>
      <c r="D266" s="1123" t="s">
        <v>1579</v>
      </c>
      <c r="E266" s="1123" t="s">
        <v>1928</v>
      </c>
      <c r="F266" s="1123" t="s">
        <v>2546</v>
      </c>
      <c r="G266" s="1123" t="s">
        <v>1926</v>
      </c>
      <c r="H266" s="1124" t="s">
        <v>1580</v>
      </c>
      <c r="I266" s="1123" t="s">
        <v>1945</v>
      </c>
      <c r="J266" s="1125">
        <v>-76.989999999999995</v>
      </c>
      <c r="K266" s="1125">
        <v>0</v>
      </c>
      <c r="L266" s="1126"/>
      <c r="M266" s="1126"/>
      <c r="N266" s="1125">
        <v>-76.989999999999995</v>
      </c>
      <c r="O266" s="1125">
        <v>-76.989999999999995</v>
      </c>
      <c r="P266" s="1125">
        <v>0</v>
      </c>
      <c r="Q266" s="1125">
        <v>0</v>
      </c>
      <c r="R266" s="1125">
        <v>0</v>
      </c>
      <c r="S266" s="1125">
        <v>0</v>
      </c>
      <c r="T266" s="1125">
        <v>0</v>
      </c>
      <c r="U266" s="1125">
        <v>0</v>
      </c>
      <c r="V266" s="1127">
        <v>0</v>
      </c>
      <c r="W266" s="1127">
        <v>0</v>
      </c>
      <c r="X266" s="1124"/>
      <c r="Y266" s="1319"/>
      <c r="Z266" s="1319"/>
    </row>
    <row r="267" spans="1:26" ht="24">
      <c r="A267" s="1122" t="s">
        <v>1949</v>
      </c>
      <c r="B267" s="1123" t="s">
        <v>1320</v>
      </c>
      <c r="C267" s="1123" t="s">
        <v>1597</v>
      </c>
      <c r="D267" s="1123" t="s">
        <v>1598</v>
      </c>
      <c r="E267" s="1123"/>
      <c r="F267" s="1123" t="s">
        <v>1951</v>
      </c>
      <c r="G267" s="1123" t="s">
        <v>1926</v>
      </c>
      <c r="H267" s="1124" t="s">
        <v>1105</v>
      </c>
      <c r="I267" s="1123" t="s">
        <v>1929</v>
      </c>
      <c r="J267" s="1125">
        <v>-1859.07</v>
      </c>
      <c r="K267" s="1125">
        <v>0</v>
      </c>
      <c r="L267" s="1126"/>
      <c r="M267" s="1126"/>
      <c r="N267" s="1125">
        <v>-1859.07</v>
      </c>
      <c r="O267" s="1125">
        <v>-1859.07</v>
      </c>
      <c r="P267" s="1125">
        <v>0</v>
      </c>
      <c r="Q267" s="1125">
        <v>0</v>
      </c>
      <c r="R267" s="1125">
        <v>0</v>
      </c>
      <c r="S267" s="1125">
        <v>0</v>
      </c>
      <c r="T267" s="1125">
        <v>0</v>
      </c>
      <c r="U267" s="1125">
        <v>0</v>
      </c>
      <c r="V267" s="1127">
        <v>0</v>
      </c>
      <c r="W267" s="1127">
        <v>0</v>
      </c>
      <c r="X267" s="1124"/>
      <c r="Y267" s="1319"/>
      <c r="Z267" s="1319"/>
    </row>
    <row r="268" spans="1:26" ht="24">
      <c r="A268" s="1122" t="s">
        <v>2154</v>
      </c>
      <c r="B268" s="1123" t="s">
        <v>2547</v>
      </c>
      <c r="C268" s="1123" t="s">
        <v>1603</v>
      </c>
      <c r="D268" s="1123" t="s">
        <v>1604</v>
      </c>
      <c r="E268" s="1123" t="s">
        <v>2155</v>
      </c>
      <c r="F268" s="1123" t="s">
        <v>2156</v>
      </c>
      <c r="G268" s="1123" t="s">
        <v>1926</v>
      </c>
      <c r="H268" s="1124" t="s">
        <v>1605</v>
      </c>
      <c r="I268" s="1123" t="s">
        <v>1946</v>
      </c>
      <c r="J268" s="1125">
        <v>-103.5</v>
      </c>
      <c r="K268" s="1125">
        <v>0</v>
      </c>
      <c r="L268" s="1126"/>
      <c r="M268" s="1126"/>
      <c r="N268" s="1125">
        <v>-103.5</v>
      </c>
      <c r="O268" s="1125">
        <v>-103.5</v>
      </c>
      <c r="P268" s="1125">
        <v>0</v>
      </c>
      <c r="Q268" s="1125">
        <v>0</v>
      </c>
      <c r="R268" s="1125">
        <v>0</v>
      </c>
      <c r="S268" s="1125">
        <v>0</v>
      </c>
      <c r="T268" s="1125">
        <v>250</v>
      </c>
      <c r="U268" s="1125">
        <v>0</v>
      </c>
      <c r="V268" s="1127">
        <v>0</v>
      </c>
      <c r="W268" s="1127">
        <v>0</v>
      </c>
      <c r="X268" s="1124"/>
      <c r="Y268" s="1319"/>
      <c r="Z268" s="1319"/>
    </row>
    <row r="269" spans="1:26">
      <c r="A269" s="1122" t="s">
        <v>2157</v>
      </c>
      <c r="B269" s="1123" t="s">
        <v>2157</v>
      </c>
      <c r="C269" s="1123" t="s">
        <v>1952</v>
      </c>
      <c r="D269" s="1123" t="s">
        <v>2158</v>
      </c>
      <c r="E269" s="1123" t="s">
        <v>1928</v>
      </c>
      <c r="F269" s="1123"/>
      <c r="G269" s="1123" t="s">
        <v>1953</v>
      </c>
      <c r="H269" s="1124"/>
      <c r="I269" s="1123" t="s">
        <v>2482</v>
      </c>
      <c r="J269" s="1125">
        <v>0</v>
      </c>
      <c r="K269" s="1125">
        <v>150</v>
      </c>
      <c r="L269" s="1126"/>
      <c r="M269" s="1126"/>
      <c r="N269" s="1125">
        <v>150</v>
      </c>
      <c r="O269" s="1125">
        <v>0</v>
      </c>
      <c r="P269" s="1125">
        <v>150</v>
      </c>
      <c r="Q269" s="1125">
        <v>0</v>
      </c>
      <c r="R269" s="1125">
        <v>0</v>
      </c>
      <c r="S269" s="1125">
        <v>0</v>
      </c>
      <c r="T269" s="1125">
        <v>0</v>
      </c>
      <c r="U269" s="1125">
        <v>0</v>
      </c>
      <c r="V269" s="1127">
        <v>0</v>
      </c>
      <c r="W269" s="1127">
        <v>0</v>
      </c>
      <c r="X269" s="1124"/>
      <c r="Y269" s="1319"/>
      <c r="Z269" s="1319"/>
    </row>
    <row r="270" spans="1:26">
      <c r="A270" s="1122" t="s">
        <v>2157</v>
      </c>
      <c r="B270" s="1123" t="s">
        <v>2157</v>
      </c>
      <c r="C270" s="1123" t="s">
        <v>1952</v>
      </c>
      <c r="D270" s="1123" t="s">
        <v>2158</v>
      </c>
      <c r="E270" s="1123" t="s">
        <v>1928</v>
      </c>
      <c r="F270" s="1123"/>
      <c r="G270" s="1123" t="s">
        <v>1953</v>
      </c>
      <c r="H270" s="1124"/>
      <c r="I270" s="1123" t="s">
        <v>1945</v>
      </c>
      <c r="J270" s="1125">
        <v>-75</v>
      </c>
      <c r="K270" s="1125">
        <v>0</v>
      </c>
      <c r="L270" s="1126"/>
      <c r="M270" s="1126"/>
      <c r="N270" s="1125">
        <v>-75</v>
      </c>
      <c r="O270" s="1125">
        <v>0</v>
      </c>
      <c r="P270" s="1125">
        <v>0</v>
      </c>
      <c r="Q270" s="1125">
        <v>0</v>
      </c>
      <c r="R270" s="1125">
        <v>-75</v>
      </c>
      <c r="S270" s="1125">
        <v>0</v>
      </c>
      <c r="T270" s="1125">
        <v>0</v>
      </c>
      <c r="U270" s="1125">
        <v>0</v>
      </c>
      <c r="V270" s="1127">
        <v>0</v>
      </c>
      <c r="W270" s="1127">
        <v>0</v>
      </c>
      <c r="X270" s="1124"/>
      <c r="Y270" s="1319"/>
      <c r="Z270" s="1319"/>
    </row>
    <row r="271" spans="1:26">
      <c r="A271" s="1122" t="s">
        <v>2157</v>
      </c>
      <c r="B271" s="1123" t="s">
        <v>2157</v>
      </c>
      <c r="C271" s="1123" t="s">
        <v>1952</v>
      </c>
      <c r="D271" s="1123" t="s">
        <v>2158</v>
      </c>
      <c r="E271" s="1123" t="s">
        <v>1928</v>
      </c>
      <c r="F271" s="1123"/>
      <c r="G271" s="1123" t="s">
        <v>1953</v>
      </c>
      <c r="H271" s="1124"/>
      <c r="I271" s="1123" t="s">
        <v>1939</v>
      </c>
      <c r="J271" s="1125">
        <v>-75</v>
      </c>
      <c r="K271" s="1125">
        <v>0</v>
      </c>
      <c r="L271" s="1126"/>
      <c r="M271" s="1126"/>
      <c r="N271" s="1125">
        <v>-75</v>
      </c>
      <c r="O271" s="1125">
        <v>0</v>
      </c>
      <c r="P271" s="1125">
        <v>0</v>
      </c>
      <c r="Q271" s="1125">
        <v>0</v>
      </c>
      <c r="R271" s="1125">
        <v>-75</v>
      </c>
      <c r="S271" s="1125">
        <v>0</v>
      </c>
      <c r="T271" s="1125">
        <v>0</v>
      </c>
      <c r="U271" s="1125">
        <v>0</v>
      </c>
      <c r="V271" s="1127">
        <v>0</v>
      </c>
      <c r="W271" s="1127">
        <v>0</v>
      </c>
      <c r="X271" s="1124"/>
      <c r="Y271" s="1319"/>
      <c r="Z271" s="1319"/>
    </row>
    <row r="272" spans="1:26">
      <c r="A272" s="1122" t="s">
        <v>2159</v>
      </c>
      <c r="B272" s="1123" t="s">
        <v>2159</v>
      </c>
      <c r="C272" s="1123" t="s">
        <v>1952</v>
      </c>
      <c r="D272" s="1123" t="s">
        <v>2160</v>
      </c>
      <c r="E272" s="1123" t="s">
        <v>1928</v>
      </c>
      <c r="F272" s="1123"/>
      <c r="G272" s="1123" t="s">
        <v>1953</v>
      </c>
      <c r="H272" s="1124"/>
      <c r="I272" s="1123" t="s">
        <v>1946</v>
      </c>
      <c r="J272" s="1125">
        <v>-312.38</v>
      </c>
      <c r="K272" s="1125">
        <v>0</v>
      </c>
      <c r="L272" s="1126"/>
      <c r="M272" s="1126"/>
      <c r="N272" s="1125">
        <v>-312.38</v>
      </c>
      <c r="O272" s="1125">
        <v>0</v>
      </c>
      <c r="P272" s="1125">
        <v>-312.38</v>
      </c>
      <c r="Q272" s="1125">
        <v>0</v>
      </c>
      <c r="R272" s="1125">
        <v>0</v>
      </c>
      <c r="S272" s="1125">
        <v>0</v>
      </c>
      <c r="T272" s="1125">
        <v>0</v>
      </c>
      <c r="U272" s="1125">
        <v>0</v>
      </c>
      <c r="V272" s="1127">
        <v>0</v>
      </c>
      <c r="W272" s="1127">
        <v>0</v>
      </c>
      <c r="X272" s="1124"/>
      <c r="Y272" s="1319"/>
      <c r="Z272" s="1319"/>
    </row>
    <row r="273" spans="1:26">
      <c r="A273" s="1122" t="s">
        <v>1138</v>
      </c>
      <c r="B273" s="1123" t="s">
        <v>1388</v>
      </c>
      <c r="C273" s="1123" t="s">
        <v>1952</v>
      </c>
      <c r="D273" s="1123" t="s">
        <v>2548</v>
      </c>
      <c r="E273" s="1123"/>
      <c r="F273" s="1123"/>
      <c r="G273" s="1123" t="s">
        <v>1953</v>
      </c>
      <c r="H273" s="1124"/>
      <c r="I273" s="1123" t="s">
        <v>1942</v>
      </c>
      <c r="J273" s="1125">
        <v>0</v>
      </c>
      <c r="K273" s="1125">
        <v>100</v>
      </c>
      <c r="L273" s="1126"/>
      <c r="M273" s="1126"/>
      <c r="N273" s="1125">
        <v>100</v>
      </c>
      <c r="O273" s="1125">
        <v>0</v>
      </c>
      <c r="P273" s="1125">
        <v>100</v>
      </c>
      <c r="Q273" s="1125">
        <v>0</v>
      </c>
      <c r="R273" s="1125">
        <v>0</v>
      </c>
      <c r="S273" s="1125">
        <v>0</v>
      </c>
      <c r="T273" s="1125">
        <v>0</v>
      </c>
      <c r="U273" s="1125">
        <v>0</v>
      </c>
      <c r="V273" s="1127">
        <v>0</v>
      </c>
      <c r="W273" s="1127">
        <v>0</v>
      </c>
      <c r="X273" s="1124"/>
      <c r="Y273" s="1319"/>
      <c r="Z273" s="1319"/>
    </row>
    <row r="274" spans="1:26">
      <c r="A274" s="1122" t="s">
        <v>1138</v>
      </c>
      <c r="B274" s="1123" t="s">
        <v>1388</v>
      </c>
      <c r="C274" s="1123" t="s">
        <v>1952</v>
      </c>
      <c r="D274" s="1123" t="s">
        <v>2548</v>
      </c>
      <c r="E274" s="1123"/>
      <c r="F274" s="1123"/>
      <c r="G274" s="1123" t="s">
        <v>1953</v>
      </c>
      <c r="H274" s="1124"/>
      <c r="I274" s="1123" t="s">
        <v>2549</v>
      </c>
      <c r="J274" s="1125">
        <v>0</v>
      </c>
      <c r="K274" s="1125">
        <v>60.11</v>
      </c>
      <c r="L274" s="1126"/>
      <c r="M274" s="1126"/>
      <c r="N274" s="1125">
        <v>60.11</v>
      </c>
      <c r="O274" s="1125">
        <v>0</v>
      </c>
      <c r="P274" s="1125">
        <v>60.11</v>
      </c>
      <c r="Q274" s="1125">
        <v>0</v>
      </c>
      <c r="R274" s="1125">
        <v>0</v>
      </c>
      <c r="S274" s="1125">
        <v>0</v>
      </c>
      <c r="T274" s="1125">
        <v>0</v>
      </c>
      <c r="U274" s="1125">
        <v>0</v>
      </c>
      <c r="V274" s="1127">
        <v>0</v>
      </c>
      <c r="W274" s="1127">
        <v>0</v>
      </c>
      <c r="X274" s="1124"/>
      <c r="Y274" s="1319"/>
      <c r="Z274" s="1319"/>
    </row>
    <row r="275" spans="1:26" ht="13.5" thickBot="1">
      <c r="A275" s="1128"/>
      <c r="B275" s="1129"/>
      <c r="C275" s="1349"/>
      <c r="D275" s="1349"/>
      <c r="E275" s="1349"/>
      <c r="F275" s="1349"/>
      <c r="G275" s="1349"/>
      <c r="H275" s="1349"/>
      <c r="I275" s="1349"/>
      <c r="J275" s="1349"/>
      <c r="K275" s="1349"/>
      <c r="L275" s="1349"/>
      <c r="M275" s="1349"/>
      <c r="N275" s="1349"/>
      <c r="O275" s="1349"/>
      <c r="P275" s="1349"/>
      <c r="Q275" s="1349"/>
      <c r="R275" s="1349"/>
      <c r="S275" s="1349"/>
      <c r="T275" s="1349"/>
      <c r="U275" s="1349"/>
      <c r="V275" s="1349"/>
      <c r="W275" s="1349"/>
      <c r="X275" s="1349"/>
      <c r="Y275" s="1349"/>
      <c r="Z275" s="1350"/>
    </row>
    <row r="276" spans="1:26" ht="13.5" thickBot="1">
      <c r="A276" s="1320"/>
      <c r="B276" s="1318"/>
      <c r="C276" s="1318"/>
      <c r="D276" s="1318"/>
      <c r="E276" s="1318"/>
      <c r="F276" s="1318"/>
      <c r="G276" s="1318"/>
      <c r="H276" s="1318"/>
      <c r="I276" s="1318" t="s">
        <v>1954</v>
      </c>
      <c r="J276" s="1321">
        <v>-37682.849999999991</v>
      </c>
      <c r="K276" s="1321">
        <v>6346.0499999999975</v>
      </c>
      <c r="L276" s="1318"/>
      <c r="M276" s="1318"/>
      <c r="N276" s="1321">
        <v>-31336.80000000001</v>
      </c>
      <c r="O276" s="1321">
        <v>-29564.600000000006</v>
      </c>
      <c r="P276" s="1321">
        <v>-288.41999999999996</v>
      </c>
      <c r="Q276" s="1321">
        <v>-352.95</v>
      </c>
      <c r="R276" s="1321">
        <v>-1130.83</v>
      </c>
      <c r="S276" s="1321">
        <v>0</v>
      </c>
      <c r="T276" s="1321">
        <v>12251</v>
      </c>
      <c r="U276" s="1318"/>
      <c r="V276" s="1318"/>
      <c r="W276" s="1318"/>
      <c r="X276" s="1318"/>
      <c r="Y276" s="1351"/>
      <c r="Z276" s="1352"/>
    </row>
    <row r="277" spans="1:26" ht="13.15" customHeight="1" thickBot="1">
      <c r="A277" s="1353" t="s">
        <v>1955</v>
      </c>
      <c r="B277" s="1354"/>
      <c r="C277" s="1354"/>
      <c r="D277" s="1354"/>
      <c r="E277" s="1354"/>
      <c r="F277" s="1354"/>
      <c r="G277" s="1354"/>
      <c r="H277" s="1354"/>
      <c r="I277" s="1354"/>
      <c r="J277" s="1354"/>
      <c r="K277" s="1354"/>
      <c r="L277" s="1354"/>
      <c r="M277" s="1354"/>
      <c r="N277" s="1354"/>
      <c r="O277" s="1354"/>
      <c r="P277" s="1354"/>
      <c r="Q277" s="1354"/>
      <c r="R277" s="1354"/>
      <c r="S277" s="1354"/>
      <c r="T277" s="1354"/>
      <c r="U277" s="1354"/>
      <c r="V277" s="1354"/>
      <c r="W277" s="1354"/>
      <c r="X277" s="1354"/>
      <c r="Y277" s="1354"/>
      <c r="Z277" s="1355"/>
    </row>
    <row r="278" spans="1:26">
      <c r="S278" s="108"/>
    </row>
    <row r="279" spans="1:26">
      <c r="S279" s="108"/>
    </row>
    <row r="280" spans="1:26">
      <c r="S280" s="108"/>
    </row>
    <row r="281" spans="1:26">
      <c r="S281" s="108"/>
    </row>
    <row r="282" spans="1:26">
      <c r="S282" s="108"/>
    </row>
    <row r="283" spans="1:26">
      <c r="S283" s="108"/>
    </row>
    <row r="284" spans="1:26">
      <c r="S284" s="108"/>
    </row>
    <row r="285" spans="1:26">
      <c r="S285" s="108"/>
    </row>
    <row r="286" spans="1:26">
      <c r="S286" s="108"/>
    </row>
    <row r="287" spans="1:26">
      <c r="S287" s="108"/>
    </row>
    <row r="288" spans="1:26">
      <c r="S288" s="108"/>
    </row>
    <row r="289" s="108" customFormat="1"/>
    <row r="290" s="108" customFormat="1"/>
    <row r="291" s="108" customFormat="1"/>
    <row r="292" s="108" customFormat="1"/>
    <row r="293" s="108" customFormat="1"/>
    <row r="294" s="108" customFormat="1"/>
    <row r="295" s="108" customFormat="1"/>
    <row r="296" s="108" customFormat="1"/>
    <row r="297" s="108" customFormat="1"/>
    <row r="298" s="108" customFormat="1"/>
    <row r="299" s="108" customFormat="1"/>
    <row r="300" s="108" customFormat="1"/>
    <row r="301" s="108" customFormat="1"/>
    <row r="302" s="108" customFormat="1"/>
    <row r="303" s="108" customFormat="1"/>
    <row r="304" s="108" customFormat="1"/>
    <row r="305" s="108" customFormat="1"/>
    <row r="306" s="108" customFormat="1"/>
    <row r="307" s="108" customFormat="1"/>
    <row r="308" s="108" customFormat="1"/>
    <row r="309" s="108" customFormat="1"/>
    <row r="310" s="108" customFormat="1"/>
    <row r="311" s="108" customFormat="1"/>
    <row r="312" s="108" customFormat="1"/>
    <row r="313" s="108" customFormat="1"/>
    <row r="314" s="108" customFormat="1"/>
    <row r="315" s="108" customFormat="1"/>
    <row r="316" s="108" customFormat="1"/>
    <row r="317" s="108" customFormat="1"/>
    <row r="318" s="108" customFormat="1"/>
    <row r="319" s="108" customFormat="1"/>
    <row r="320" s="108" customFormat="1"/>
    <row r="321" s="108" customFormat="1"/>
    <row r="322" s="108" customFormat="1"/>
    <row r="323" s="108" customFormat="1"/>
    <row r="324" s="108" customFormat="1"/>
    <row r="325" s="108" customFormat="1"/>
    <row r="326" s="108" customFormat="1"/>
    <row r="327" s="108" customFormat="1"/>
    <row r="328" s="108" customFormat="1"/>
    <row r="329" s="108" customFormat="1"/>
    <row r="330" s="108" customFormat="1"/>
    <row r="331" s="108" customFormat="1"/>
    <row r="332" s="108" customFormat="1"/>
    <row r="333" s="108" customFormat="1"/>
    <row r="334" s="108" customFormat="1"/>
    <row r="335" s="108" customFormat="1"/>
    <row r="336" s="108" customFormat="1"/>
    <row r="337" s="108" customFormat="1"/>
    <row r="338" s="108" customFormat="1"/>
    <row r="339" s="108" customFormat="1"/>
    <row r="340" s="108" customFormat="1"/>
    <row r="341" s="108" customFormat="1"/>
    <row r="342" s="108" customFormat="1"/>
    <row r="343" s="108" customFormat="1"/>
    <row r="344" s="108" customFormat="1"/>
    <row r="345" s="108" customFormat="1"/>
    <row r="346" s="108" customFormat="1"/>
    <row r="347" s="108" customFormat="1"/>
    <row r="348" s="108" customFormat="1"/>
    <row r="349" s="108" customFormat="1"/>
    <row r="350" s="108" customFormat="1"/>
    <row r="351" s="108" customFormat="1"/>
    <row r="352" s="108" customFormat="1"/>
    <row r="353" s="108" customFormat="1"/>
    <row r="354" s="108" customFormat="1"/>
    <row r="355" s="108" customFormat="1"/>
    <row r="356" s="108" customFormat="1"/>
    <row r="357" s="108" customFormat="1"/>
    <row r="358" s="108" customFormat="1"/>
    <row r="359" s="108" customFormat="1"/>
    <row r="360" s="108" customFormat="1"/>
    <row r="361" s="108" customFormat="1"/>
    <row r="362" s="108" customFormat="1"/>
    <row r="363" s="108" customFormat="1"/>
    <row r="364" s="108" customFormat="1"/>
    <row r="365" s="108" customFormat="1"/>
    <row r="366" s="108" customFormat="1"/>
    <row r="367" s="108" customFormat="1"/>
    <row r="368" s="108" customFormat="1"/>
    <row r="369" s="108" customFormat="1"/>
    <row r="370" s="108" customFormat="1"/>
    <row r="371" s="108" customFormat="1"/>
    <row r="372" s="108" customFormat="1"/>
    <row r="373" s="108" customFormat="1"/>
    <row r="374" s="108" customFormat="1"/>
    <row r="375" s="108" customFormat="1"/>
    <row r="376" s="108" customFormat="1"/>
    <row r="377" s="108" customFormat="1"/>
    <row r="378" s="108" customFormat="1"/>
    <row r="379" s="108" customFormat="1"/>
    <row r="380" s="108" customFormat="1"/>
    <row r="381" s="108" customFormat="1"/>
    <row r="382" s="108" customFormat="1"/>
    <row r="383" s="108" customFormat="1"/>
    <row r="384" s="108" customFormat="1"/>
    <row r="385" s="108" customFormat="1"/>
    <row r="386" s="108" customFormat="1"/>
    <row r="387" s="108" customFormat="1"/>
    <row r="388" s="108" customFormat="1"/>
    <row r="389" s="108" customFormat="1"/>
    <row r="390" s="108" customFormat="1"/>
    <row r="391" s="108" customFormat="1"/>
    <row r="392" s="108" customFormat="1"/>
    <row r="393" s="108" customFormat="1"/>
    <row r="394" s="108" customFormat="1"/>
    <row r="395" s="108" customFormat="1"/>
    <row r="396" s="108" customFormat="1"/>
    <row r="397" s="108" customFormat="1"/>
    <row r="398" s="108" customFormat="1"/>
    <row r="399" s="108" customFormat="1"/>
    <row r="400" s="108" customFormat="1"/>
    <row r="401" s="108" customFormat="1"/>
    <row r="402" s="108" customFormat="1"/>
    <row r="403" s="108" customFormat="1"/>
    <row r="404" s="108" customFormat="1"/>
    <row r="405" s="108" customFormat="1"/>
    <row r="406" s="108" customFormat="1"/>
    <row r="407" s="108" customFormat="1"/>
    <row r="408" s="108" customFormat="1"/>
    <row r="409" s="108" customFormat="1"/>
    <row r="410" s="108" customFormat="1"/>
    <row r="411" s="108" customFormat="1"/>
    <row r="412" s="108" customFormat="1"/>
    <row r="413" s="108" customFormat="1"/>
    <row r="414" s="108" customFormat="1"/>
    <row r="415" s="108" customFormat="1"/>
    <row r="416" s="108" customFormat="1"/>
    <row r="417" s="108" customFormat="1"/>
    <row r="418" s="108" customFormat="1"/>
    <row r="419" s="108" customFormat="1"/>
    <row r="420" s="108" customFormat="1"/>
    <row r="421" s="108" customFormat="1"/>
    <row r="422" s="108" customFormat="1"/>
    <row r="423" s="108" customFormat="1"/>
    <row r="424" s="108" customFormat="1"/>
    <row r="425" s="108" customFormat="1"/>
    <row r="426" s="108" customFormat="1"/>
    <row r="427" s="108" customFormat="1"/>
    <row r="428" s="108" customFormat="1"/>
    <row r="429" s="108" customFormat="1"/>
    <row r="430" s="108" customFormat="1"/>
    <row r="431" s="108" customFormat="1"/>
    <row r="432" s="108" customFormat="1"/>
    <row r="433" s="108" customFormat="1"/>
    <row r="434" s="108" customFormat="1"/>
    <row r="435" s="108" customFormat="1"/>
    <row r="436" s="108" customFormat="1"/>
    <row r="437" s="108" customFormat="1"/>
    <row r="438" s="108" customFormat="1"/>
    <row r="439" s="108" customFormat="1"/>
    <row r="440" s="108" customFormat="1"/>
    <row r="441" s="108" customFormat="1"/>
    <row r="442" s="108" customFormat="1"/>
    <row r="443" s="108" customFormat="1"/>
    <row r="444" s="108" customFormat="1"/>
    <row r="445" s="108" customFormat="1"/>
    <row r="446" s="108" customFormat="1"/>
    <row r="447" s="108" customFormat="1"/>
    <row r="448" s="108" customFormat="1"/>
    <row r="449" s="108" customFormat="1"/>
    <row r="450" s="108" customFormat="1"/>
    <row r="451" s="108" customFormat="1"/>
    <row r="452" s="108" customFormat="1"/>
    <row r="453" s="108" customFormat="1"/>
    <row r="454" s="108" customFormat="1"/>
    <row r="455" s="108" customFormat="1"/>
    <row r="456" s="108" customFormat="1"/>
    <row r="457" s="108" customFormat="1"/>
    <row r="458" s="108" customFormat="1"/>
    <row r="459" s="108" customFormat="1"/>
    <row r="460" s="108" customFormat="1"/>
    <row r="461" s="108" customFormat="1"/>
    <row r="462" s="108" customFormat="1"/>
    <row r="463" s="108" customFormat="1"/>
    <row r="464" s="108" customFormat="1"/>
    <row r="465" s="108" customFormat="1"/>
    <row r="466" s="108" customFormat="1"/>
    <row r="467" s="108" customFormat="1"/>
    <row r="468" s="108" customFormat="1"/>
    <row r="469" s="108" customFormat="1"/>
    <row r="470" s="108" customFormat="1"/>
    <row r="471" s="108" customFormat="1"/>
    <row r="472" s="108" customFormat="1"/>
    <row r="473" s="108" customFormat="1"/>
    <row r="474" s="108" customFormat="1"/>
    <row r="475" s="108" customFormat="1"/>
    <row r="476" s="108" customFormat="1"/>
    <row r="477" s="108" customFormat="1"/>
    <row r="478" s="108" customFormat="1"/>
    <row r="479" s="108" customFormat="1"/>
    <row r="480" s="108" customFormat="1"/>
    <row r="481" s="108" customFormat="1"/>
    <row r="482" s="108" customFormat="1"/>
    <row r="483" s="108" customFormat="1"/>
    <row r="484" s="108" customFormat="1"/>
    <row r="485" s="108" customFormat="1"/>
    <row r="486" s="108" customFormat="1"/>
    <row r="487" s="108" customFormat="1"/>
    <row r="488" s="108" customFormat="1"/>
    <row r="489" s="108" customFormat="1"/>
    <row r="490" s="108" customFormat="1"/>
    <row r="491" s="108" customFormat="1"/>
    <row r="492" s="108" customFormat="1"/>
    <row r="493" s="108" customFormat="1"/>
    <row r="494" s="108" customFormat="1"/>
    <row r="495" s="108" customFormat="1"/>
    <row r="496" s="108" customFormat="1"/>
    <row r="497" s="108" customFormat="1"/>
    <row r="498" s="108" customFormat="1"/>
    <row r="499" s="108" customFormat="1"/>
    <row r="500" s="108" customFormat="1"/>
    <row r="501" s="108" customFormat="1"/>
    <row r="502" s="108" customFormat="1"/>
    <row r="503" s="108" customFormat="1"/>
    <row r="504" s="108" customFormat="1"/>
    <row r="505" s="108" customFormat="1"/>
    <row r="506" s="108" customFormat="1"/>
    <row r="507" s="108" customFormat="1"/>
    <row r="508" s="108" customFormat="1"/>
    <row r="509" s="108" customFormat="1"/>
    <row r="510" s="108" customFormat="1"/>
    <row r="511" s="108" customFormat="1"/>
    <row r="512" s="108" customFormat="1"/>
    <row r="513" s="108" customFormat="1"/>
    <row r="514" s="108" customFormat="1"/>
    <row r="515" s="108" customFormat="1"/>
    <row r="516" s="108" customFormat="1"/>
    <row r="517" s="108" customFormat="1"/>
    <row r="518" s="108" customFormat="1"/>
    <row r="519" s="108" customFormat="1"/>
    <row r="520" s="108" customFormat="1"/>
    <row r="521" s="108" customFormat="1"/>
    <row r="522" s="108" customFormat="1"/>
    <row r="523" s="108" customFormat="1"/>
    <row r="524" s="108" customFormat="1"/>
    <row r="525" s="108" customFormat="1"/>
    <row r="526" s="108" customFormat="1"/>
    <row r="527" s="108" customFormat="1"/>
    <row r="528" s="108" customFormat="1"/>
    <row r="529" s="108" customFormat="1"/>
    <row r="530" s="108" customFormat="1"/>
    <row r="531" s="108" customFormat="1"/>
    <row r="532" s="108" customFormat="1"/>
    <row r="533" s="108" customFormat="1"/>
    <row r="534" s="108" customFormat="1"/>
    <row r="535" s="108" customFormat="1"/>
    <row r="536" s="108" customFormat="1"/>
    <row r="537" s="108" customFormat="1"/>
    <row r="538" s="108" customFormat="1"/>
    <row r="539" s="108" customFormat="1"/>
    <row r="540" s="108" customFormat="1"/>
    <row r="541" s="108" customFormat="1"/>
    <row r="542" s="108" customFormat="1"/>
    <row r="543" s="108" customFormat="1"/>
    <row r="544" s="108" customFormat="1"/>
    <row r="545" s="108" customFormat="1"/>
    <row r="546" s="108" customFormat="1"/>
    <row r="547" s="108" customFormat="1"/>
    <row r="548" s="108" customFormat="1"/>
    <row r="549" s="108" customFormat="1"/>
    <row r="550" s="108" customFormat="1"/>
    <row r="551" s="108" customFormat="1"/>
    <row r="552" s="108" customFormat="1"/>
    <row r="553" s="108" customFormat="1"/>
    <row r="554" s="108" customFormat="1"/>
    <row r="555" s="108" customFormat="1"/>
    <row r="556" s="108" customFormat="1"/>
    <row r="557" s="108" customFormat="1"/>
    <row r="558" s="108" customFormat="1"/>
    <row r="559" s="108" customFormat="1"/>
    <row r="560" s="108" customFormat="1"/>
    <row r="561" s="108" customFormat="1"/>
    <row r="562" s="108" customFormat="1"/>
    <row r="563" s="108" customFormat="1"/>
    <row r="564" s="108" customFormat="1"/>
    <row r="565" s="108" customFormat="1"/>
    <row r="566" s="108" customFormat="1"/>
    <row r="567" s="108" customFormat="1"/>
    <row r="568" s="108" customFormat="1"/>
    <row r="569" s="108" customFormat="1"/>
    <row r="570" s="108" customFormat="1"/>
    <row r="571" s="108" customFormat="1"/>
    <row r="572" s="108" customFormat="1"/>
    <row r="573" s="108" customFormat="1"/>
    <row r="574" s="108" customFormat="1"/>
    <row r="575" s="108" customFormat="1"/>
    <row r="576" s="108" customFormat="1"/>
    <row r="577" s="108" customFormat="1"/>
    <row r="578" s="108" customFormat="1"/>
    <row r="579" s="108" customFormat="1"/>
    <row r="580" s="108" customFormat="1"/>
    <row r="581" s="108" customFormat="1"/>
    <row r="582" s="108" customFormat="1"/>
    <row r="583" s="108" customFormat="1"/>
    <row r="584" s="108" customFormat="1"/>
    <row r="585" s="108" customFormat="1"/>
    <row r="586" s="108" customFormat="1"/>
    <row r="587" s="108" customFormat="1"/>
    <row r="588" s="108" customFormat="1"/>
    <row r="589" s="108" customFormat="1"/>
    <row r="590" s="108" customFormat="1"/>
    <row r="591" s="108" customFormat="1"/>
    <row r="592" s="108" customFormat="1"/>
    <row r="593" s="108" customFormat="1"/>
    <row r="594" s="108" customFormat="1"/>
    <row r="595" s="108" customFormat="1"/>
    <row r="596" s="108" customFormat="1"/>
    <row r="597" s="108" customFormat="1"/>
    <row r="598" s="108" customFormat="1"/>
    <row r="599" s="108" customFormat="1"/>
    <row r="600" s="108" customFormat="1"/>
    <row r="601" s="108" customFormat="1"/>
    <row r="602" s="108" customFormat="1"/>
    <row r="603" s="108" customFormat="1"/>
    <row r="604" s="108" customFormat="1"/>
    <row r="605" s="108" customFormat="1"/>
    <row r="606" s="108" customFormat="1"/>
    <row r="607" s="108" customFormat="1"/>
    <row r="608" s="108" customFormat="1"/>
    <row r="609" s="108" customFormat="1"/>
    <row r="610" s="108" customFormat="1"/>
    <row r="611" s="108" customFormat="1"/>
    <row r="612" s="108" customFormat="1"/>
    <row r="613" s="108" customFormat="1"/>
    <row r="614" s="108" customFormat="1"/>
    <row r="615" s="108" customFormat="1"/>
    <row r="616" s="108" customFormat="1"/>
    <row r="617" s="108" customFormat="1"/>
    <row r="618" s="108" customFormat="1"/>
    <row r="619" s="108" customFormat="1"/>
    <row r="620" s="108" customFormat="1"/>
    <row r="621" s="108" customFormat="1"/>
    <row r="622" s="108" customFormat="1"/>
    <row r="623" s="108" customFormat="1"/>
    <row r="624" s="108" customFormat="1"/>
    <row r="625" s="108" customFormat="1"/>
    <row r="626" s="108" customFormat="1"/>
    <row r="627" s="108" customFormat="1"/>
    <row r="628" s="108" customFormat="1"/>
    <row r="629" s="108" customFormat="1"/>
    <row r="630" s="108" customFormat="1"/>
    <row r="631" s="108" customFormat="1"/>
    <row r="632" s="108" customFormat="1"/>
    <row r="633" s="108" customFormat="1"/>
    <row r="634" s="108" customFormat="1"/>
    <row r="635" s="108" customFormat="1"/>
    <row r="636" s="108" customFormat="1"/>
    <row r="637" s="108" customFormat="1"/>
    <row r="638" s="108" customFormat="1"/>
    <row r="639" s="108" customFormat="1"/>
    <row r="640" s="108" customFormat="1"/>
    <row r="641" s="108" customFormat="1"/>
    <row r="642" s="108" customFormat="1"/>
    <row r="643" s="108" customFormat="1"/>
    <row r="644" s="108" customFormat="1"/>
    <row r="645" s="108" customFormat="1"/>
    <row r="646" s="108" customFormat="1"/>
    <row r="647" s="108" customFormat="1"/>
    <row r="648" s="108" customFormat="1"/>
    <row r="649" s="108" customFormat="1"/>
    <row r="650" s="108" customFormat="1"/>
    <row r="651" s="108" customFormat="1"/>
    <row r="652" s="108" customFormat="1"/>
    <row r="653" s="108" customFormat="1"/>
    <row r="654" s="108" customFormat="1"/>
    <row r="655" s="108" customFormat="1"/>
    <row r="656" s="108" customFormat="1"/>
    <row r="657" s="108" customFormat="1"/>
    <row r="658" s="108" customFormat="1"/>
    <row r="659" s="108" customFormat="1"/>
    <row r="660" s="108" customFormat="1"/>
    <row r="661" s="108" customFormat="1"/>
    <row r="662" s="108" customFormat="1"/>
    <row r="663" s="108" customFormat="1"/>
    <row r="664" s="108" customFormat="1"/>
    <row r="665" s="108" customFormat="1"/>
    <row r="666" s="108" customFormat="1"/>
    <row r="667" s="108" customFormat="1"/>
    <row r="668" s="108" customFormat="1"/>
    <row r="669" s="108" customFormat="1"/>
    <row r="670" s="108" customFormat="1"/>
    <row r="671" s="108" customFormat="1"/>
    <row r="672" s="108" customFormat="1"/>
    <row r="673" s="108" customFormat="1"/>
    <row r="674" s="108" customFormat="1"/>
    <row r="675" s="108" customFormat="1"/>
    <row r="676" s="108" customFormat="1"/>
    <row r="677" s="108" customFormat="1"/>
    <row r="678" s="108" customFormat="1"/>
    <row r="679" s="108" customFormat="1"/>
    <row r="680" s="108" customFormat="1"/>
    <row r="681" s="108" customFormat="1"/>
    <row r="682" s="108" customFormat="1"/>
    <row r="683" s="108" customFormat="1"/>
    <row r="684" s="108" customFormat="1"/>
    <row r="685" s="108" customFormat="1"/>
    <row r="686" s="108" customFormat="1"/>
    <row r="687" s="108" customFormat="1"/>
    <row r="688" s="108" customFormat="1"/>
    <row r="689" s="108" customFormat="1"/>
    <row r="690" s="108" customFormat="1"/>
    <row r="691" s="108" customFormat="1"/>
    <row r="692" s="108" customFormat="1"/>
    <row r="693" s="108" customFormat="1"/>
    <row r="694" s="108" customFormat="1"/>
    <row r="695" s="108" customFormat="1"/>
    <row r="696" s="108" customFormat="1"/>
    <row r="697" s="108" customFormat="1"/>
    <row r="698" s="108" customFormat="1"/>
    <row r="699" s="108" customFormat="1"/>
    <row r="700" s="108" customFormat="1"/>
    <row r="701" s="108" customFormat="1"/>
    <row r="702" s="108" customFormat="1"/>
    <row r="703" s="108" customFormat="1"/>
    <row r="704" s="108" customFormat="1"/>
    <row r="705" s="108" customFormat="1"/>
    <row r="706" s="108" customFormat="1"/>
    <row r="707" s="108" customFormat="1"/>
    <row r="708" s="108" customFormat="1"/>
    <row r="709" s="108" customFormat="1"/>
    <row r="710" s="108" customFormat="1"/>
    <row r="711" s="108" customFormat="1"/>
    <row r="712" s="108" customFormat="1"/>
    <row r="713" s="108" customFormat="1"/>
    <row r="714" s="108" customFormat="1"/>
    <row r="715" s="108" customFormat="1"/>
    <row r="716" s="108" customFormat="1"/>
    <row r="717" s="108" customFormat="1"/>
    <row r="718" s="108" customFormat="1"/>
    <row r="719" s="108" customFormat="1"/>
    <row r="720" s="108" customFormat="1"/>
    <row r="721" s="108" customFormat="1"/>
    <row r="722" s="108" customFormat="1"/>
    <row r="723" s="108" customFormat="1"/>
    <row r="724" s="108" customFormat="1"/>
    <row r="725" s="108" customFormat="1"/>
    <row r="726" s="108" customFormat="1"/>
    <row r="727" s="108" customFormat="1"/>
    <row r="728" s="108" customFormat="1"/>
    <row r="729" s="108" customFormat="1"/>
    <row r="730" s="108" customFormat="1"/>
    <row r="731" s="108" customFormat="1"/>
    <row r="732" s="108" customFormat="1"/>
    <row r="733" s="108" customFormat="1"/>
    <row r="734" s="108" customFormat="1"/>
    <row r="735" s="108" customFormat="1"/>
    <row r="736" s="108" customFormat="1"/>
    <row r="737" s="108" customFormat="1"/>
    <row r="738" s="108" customFormat="1"/>
    <row r="739" s="108" customFormat="1"/>
    <row r="740" s="108" customFormat="1"/>
    <row r="741" s="108" customFormat="1"/>
    <row r="742" s="108" customFormat="1"/>
    <row r="743" s="108" customFormat="1"/>
    <row r="744" s="108" customFormat="1"/>
    <row r="745" s="108" customFormat="1"/>
    <row r="746" s="108" customFormat="1"/>
    <row r="747" s="108" customFormat="1"/>
    <row r="748" s="108" customFormat="1"/>
    <row r="749" s="108" customFormat="1"/>
    <row r="750" s="108" customFormat="1"/>
    <row r="751" s="108" customFormat="1"/>
    <row r="752" s="108" customFormat="1"/>
    <row r="753" s="108" customFormat="1"/>
    <row r="754" s="108" customFormat="1"/>
    <row r="755" s="108" customFormat="1"/>
    <row r="756" s="108" customFormat="1"/>
    <row r="757" s="108" customFormat="1"/>
    <row r="758" s="108" customFormat="1"/>
    <row r="759" s="108" customFormat="1"/>
    <row r="760" s="108" customFormat="1"/>
    <row r="761" s="108" customFormat="1"/>
    <row r="762" s="108" customFormat="1"/>
    <row r="763" s="108" customFormat="1"/>
    <row r="764" s="108" customFormat="1"/>
    <row r="765" s="108" customFormat="1"/>
    <row r="766" s="108" customFormat="1"/>
    <row r="767" s="108" customFormat="1"/>
    <row r="768" s="108" customFormat="1"/>
    <row r="769" s="108" customFormat="1"/>
    <row r="770" s="108" customFormat="1"/>
    <row r="771" s="108" customFormat="1"/>
    <row r="772" s="108" customFormat="1"/>
    <row r="773" s="108" customFormat="1"/>
    <row r="774" s="108" customFormat="1"/>
    <row r="775" s="108" customFormat="1"/>
    <row r="776" s="108" customFormat="1"/>
    <row r="777" s="108" customFormat="1"/>
    <row r="778" s="108" customFormat="1"/>
    <row r="779" s="108" customFormat="1"/>
    <row r="780" s="108" customFormat="1"/>
    <row r="781" s="108" customFormat="1"/>
    <row r="782" s="108" customFormat="1"/>
    <row r="783" s="108" customFormat="1"/>
    <row r="784" s="108" customFormat="1"/>
    <row r="785" s="108" customFormat="1"/>
    <row r="786" s="108" customFormat="1"/>
    <row r="787" s="108" customFormat="1"/>
    <row r="788" s="108" customFormat="1"/>
    <row r="789" s="108" customFormat="1"/>
    <row r="790" s="108" customFormat="1"/>
    <row r="791" s="108" customFormat="1"/>
    <row r="792" s="108" customFormat="1"/>
    <row r="793" s="108" customFormat="1"/>
    <row r="794" s="108" customFormat="1"/>
    <row r="795" s="108" customFormat="1"/>
    <row r="796" s="108" customFormat="1"/>
    <row r="797" s="108" customFormat="1"/>
    <row r="798" s="108" customFormat="1"/>
    <row r="799" s="108" customFormat="1"/>
    <row r="800" s="108" customFormat="1"/>
    <row r="801" s="108" customFormat="1"/>
    <row r="802" s="108" customFormat="1"/>
    <row r="803" s="108" customFormat="1"/>
    <row r="804" s="108" customFormat="1"/>
    <row r="805" s="108" customFormat="1"/>
    <row r="806" s="108" customFormat="1"/>
    <row r="807" s="108" customFormat="1"/>
    <row r="808" s="108" customFormat="1"/>
    <row r="809" s="108" customFormat="1"/>
    <row r="810" s="108" customFormat="1"/>
    <row r="811" s="108" customFormat="1"/>
    <row r="812" s="108" customFormat="1"/>
    <row r="813" s="108" customFormat="1"/>
    <row r="814" s="108" customFormat="1"/>
    <row r="815" s="108" customFormat="1"/>
    <row r="816" s="108" customFormat="1"/>
    <row r="817" s="108" customFormat="1"/>
    <row r="818" s="108" customFormat="1"/>
    <row r="819" s="108" customFormat="1"/>
    <row r="820" s="108" customFormat="1"/>
    <row r="821" s="108" customFormat="1"/>
    <row r="822" s="108" customFormat="1"/>
    <row r="823" s="108" customFormat="1"/>
    <row r="824" s="108" customFormat="1"/>
    <row r="825" s="108" customFormat="1"/>
    <row r="826" s="108" customFormat="1"/>
    <row r="827" s="108" customFormat="1"/>
    <row r="828" s="108" customFormat="1"/>
    <row r="829" s="108" customFormat="1"/>
    <row r="830" s="108" customFormat="1"/>
    <row r="831" s="108" customFormat="1"/>
    <row r="832" s="108" customFormat="1"/>
    <row r="833" s="108" customFormat="1"/>
    <row r="834" s="108" customFormat="1"/>
    <row r="835" s="108" customFormat="1"/>
    <row r="836" s="108" customFormat="1"/>
    <row r="837" s="108" customFormat="1"/>
    <row r="838" s="108" customFormat="1"/>
    <row r="839" s="108" customFormat="1"/>
    <row r="840" s="108" customFormat="1"/>
    <row r="841" s="108" customFormat="1"/>
    <row r="842" s="108" customFormat="1"/>
    <row r="843" s="108" customFormat="1"/>
    <row r="844" s="108" customFormat="1"/>
    <row r="845" s="108" customFormat="1"/>
    <row r="846" s="108" customFormat="1"/>
    <row r="847" s="108" customFormat="1"/>
    <row r="848" s="108" customFormat="1"/>
    <row r="849" s="108" customFormat="1"/>
    <row r="850" s="108" customFormat="1"/>
    <row r="851" s="108" customFormat="1"/>
    <row r="852" s="108" customFormat="1"/>
    <row r="853" s="108" customFormat="1"/>
    <row r="854" s="108" customFormat="1"/>
    <row r="855" s="108" customFormat="1"/>
    <row r="856" s="108" customFormat="1"/>
    <row r="857" s="108" customFormat="1"/>
    <row r="858" s="108" customFormat="1"/>
    <row r="859" s="108" customFormat="1"/>
    <row r="860" s="108" customFormat="1"/>
    <row r="861" s="108" customFormat="1"/>
    <row r="862" s="108" customFormat="1"/>
    <row r="863" s="108" customFormat="1"/>
    <row r="864" s="108" customFormat="1"/>
    <row r="865" s="108" customFormat="1"/>
    <row r="866" s="108" customFormat="1"/>
    <row r="867" s="108" customFormat="1"/>
    <row r="868" s="108" customFormat="1"/>
    <row r="869" s="108" customFormat="1"/>
    <row r="870" s="108" customFormat="1"/>
    <row r="871" s="108" customFormat="1"/>
    <row r="872" s="108" customFormat="1"/>
    <row r="873" s="108" customFormat="1"/>
    <row r="874" s="108" customFormat="1"/>
    <row r="875" s="108" customFormat="1"/>
    <row r="876" s="108" customFormat="1"/>
    <row r="877" s="108" customFormat="1"/>
    <row r="878" s="108" customFormat="1"/>
    <row r="879" s="108" customFormat="1"/>
    <row r="880" s="108" customFormat="1"/>
    <row r="881" s="108" customFormat="1"/>
    <row r="882" s="108" customFormat="1"/>
    <row r="883" s="108" customFormat="1"/>
    <row r="884" s="108" customFormat="1"/>
    <row r="885" s="108" customFormat="1"/>
    <row r="886" s="108" customFormat="1"/>
    <row r="887" s="108" customFormat="1"/>
    <row r="888" s="108" customFormat="1"/>
    <row r="889" s="108" customFormat="1"/>
    <row r="890" s="108" customFormat="1"/>
    <row r="891" s="108" customFormat="1"/>
    <row r="892" s="108" customFormat="1"/>
    <row r="893" s="108" customFormat="1"/>
    <row r="894" s="108" customFormat="1"/>
    <row r="895" s="108" customFormat="1"/>
    <row r="896" s="108" customFormat="1"/>
    <row r="897" s="108" customFormat="1"/>
    <row r="898" s="108" customFormat="1"/>
    <row r="899" s="108" customFormat="1"/>
    <row r="900" s="108" customFormat="1"/>
    <row r="901" s="108" customFormat="1"/>
    <row r="902" s="108" customFormat="1"/>
    <row r="903" s="108" customFormat="1"/>
    <row r="904" s="108" customFormat="1"/>
    <row r="905" s="108" customFormat="1"/>
    <row r="906" s="108" customFormat="1"/>
    <row r="907" s="108" customFormat="1"/>
    <row r="908" s="108" customFormat="1"/>
    <row r="909" s="108" customFormat="1"/>
    <row r="910" s="108" customFormat="1"/>
    <row r="911" s="108" customFormat="1"/>
    <row r="912" s="108" customFormat="1"/>
    <row r="913" s="108" customFormat="1"/>
    <row r="914" s="108" customFormat="1"/>
    <row r="915" s="108" customFormat="1"/>
    <row r="916" s="108" customFormat="1"/>
    <row r="917" s="108" customFormat="1"/>
    <row r="918" s="108" customFormat="1"/>
    <row r="919" s="108" customFormat="1"/>
    <row r="920" s="108" customFormat="1"/>
    <row r="921" s="108" customFormat="1"/>
    <row r="922" s="108" customFormat="1"/>
    <row r="923" s="108" customFormat="1"/>
    <row r="924" s="108" customFormat="1"/>
    <row r="925" s="108" customFormat="1"/>
    <row r="926" s="108" customFormat="1"/>
    <row r="927" s="108" customFormat="1"/>
    <row r="928" s="108" customFormat="1"/>
    <row r="929" s="108" customFormat="1"/>
    <row r="930" s="108" customFormat="1"/>
    <row r="931" s="108" customFormat="1"/>
    <row r="932" s="108" customFormat="1"/>
    <row r="933" s="108" customFormat="1"/>
    <row r="934" s="108" customFormat="1"/>
    <row r="935" s="108" customFormat="1"/>
    <row r="936" s="108" customFormat="1"/>
    <row r="937" s="108" customFormat="1"/>
    <row r="938" s="108" customFormat="1"/>
    <row r="939" s="108" customFormat="1"/>
    <row r="940" s="108" customFormat="1"/>
    <row r="941" s="108" customFormat="1"/>
    <row r="942" s="108" customFormat="1"/>
    <row r="943" s="108" customFormat="1"/>
    <row r="944" s="108" customFormat="1"/>
    <row r="945" s="108" customFormat="1"/>
    <row r="946" s="108" customFormat="1"/>
    <row r="947" s="108" customFormat="1"/>
    <row r="948" s="108" customFormat="1"/>
    <row r="949" s="108" customFormat="1"/>
    <row r="950" s="108" customFormat="1"/>
    <row r="951" s="108" customFormat="1"/>
    <row r="952" s="108" customFormat="1"/>
    <row r="953" s="108" customFormat="1"/>
    <row r="954" s="108" customFormat="1"/>
    <row r="955" s="108" customFormat="1"/>
    <row r="956" s="108" customFormat="1"/>
    <row r="957" s="108" customFormat="1"/>
    <row r="958" s="108" customFormat="1"/>
    <row r="959" s="108" customFormat="1"/>
    <row r="960" s="108" customFormat="1"/>
    <row r="961" s="108" customFormat="1"/>
    <row r="962" s="108" customFormat="1"/>
    <row r="963" s="108" customFormat="1"/>
    <row r="964" s="108" customFormat="1"/>
    <row r="965" s="108" customFormat="1"/>
    <row r="966" s="108" customFormat="1"/>
    <row r="967" s="108" customFormat="1"/>
    <row r="968" s="108" customFormat="1"/>
    <row r="969" s="108" customFormat="1"/>
    <row r="970" s="108" customFormat="1"/>
    <row r="971" s="108" customFormat="1"/>
    <row r="972" s="108" customFormat="1"/>
    <row r="973" s="108" customFormat="1"/>
    <row r="974" s="108" customFormat="1"/>
    <row r="975" s="108" customFormat="1"/>
    <row r="976" s="108" customFormat="1"/>
    <row r="977" s="108" customFormat="1"/>
    <row r="978" s="108" customFormat="1"/>
    <row r="979" s="108" customFormat="1"/>
    <row r="980" s="108" customFormat="1"/>
    <row r="981" s="108" customFormat="1"/>
    <row r="982" s="108" customFormat="1"/>
    <row r="983" s="108" customFormat="1"/>
    <row r="984" s="108" customFormat="1"/>
    <row r="985" s="108" customFormat="1"/>
    <row r="986" s="108" customFormat="1"/>
    <row r="987" s="108" customFormat="1"/>
    <row r="988" s="108" customFormat="1"/>
    <row r="989" s="108" customFormat="1"/>
    <row r="990" s="108" customFormat="1"/>
    <row r="991" s="108" customFormat="1"/>
    <row r="992" s="108" customFormat="1"/>
    <row r="993" s="108" customFormat="1"/>
    <row r="994" s="108" customFormat="1"/>
    <row r="995" s="108" customFormat="1"/>
    <row r="996" s="108" customFormat="1"/>
    <row r="997" s="108" customFormat="1"/>
    <row r="998" s="108" customFormat="1"/>
    <row r="999" s="108" customFormat="1"/>
    <row r="1000" s="108" customFormat="1"/>
    <row r="1001" s="108" customFormat="1"/>
    <row r="1002" s="108" customFormat="1"/>
    <row r="1003" s="108" customFormat="1"/>
    <row r="1004" s="108" customFormat="1"/>
    <row r="1005" s="108" customFormat="1"/>
    <row r="1006" s="108" customFormat="1"/>
    <row r="1007" s="108" customFormat="1"/>
    <row r="1008" s="108" customFormat="1"/>
    <row r="1009" s="108" customFormat="1"/>
    <row r="1010" s="108" customFormat="1"/>
    <row r="1011" s="108" customFormat="1"/>
    <row r="1012" s="108" customFormat="1"/>
    <row r="1013" s="108" customFormat="1"/>
    <row r="1014" s="108" customFormat="1"/>
    <row r="1015" s="108" customFormat="1"/>
    <row r="1016" s="108" customFormat="1"/>
    <row r="1017" s="108" customFormat="1"/>
    <row r="1018" s="108" customFormat="1"/>
    <row r="1019" s="108" customFormat="1"/>
    <row r="1020" s="108" customFormat="1"/>
    <row r="1021" s="108" customFormat="1"/>
    <row r="1022" s="108" customFormat="1"/>
    <row r="1023" s="108" customFormat="1"/>
    <row r="1024" s="108" customFormat="1"/>
    <row r="1025" s="108" customFormat="1"/>
    <row r="1026" s="108" customFormat="1"/>
    <row r="1027" s="108" customFormat="1"/>
    <row r="1028" s="108" customFormat="1"/>
    <row r="1029" s="108" customFormat="1"/>
    <row r="1030" s="108" customFormat="1"/>
    <row r="1031" s="108" customFormat="1"/>
    <row r="1032" s="108" customFormat="1"/>
    <row r="1033" s="108" customFormat="1"/>
    <row r="1034" s="108" customFormat="1"/>
    <row r="1035" s="108" customFormat="1"/>
    <row r="1036" s="108" customFormat="1"/>
    <row r="1037" s="108" customFormat="1"/>
    <row r="1038" s="108" customFormat="1"/>
    <row r="1039" s="108" customFormat="1"/>
    <row r="1040" s="108" customFormat="1"/>
    <row r="1041" s="108" customFormat="1"/>
    <row r="1042" s="108" customFormat="1"/>
    <row r="1043" s="108" customFormat="1"/>
    <row r="1044" s="108" customFormat="1"/>
    <row r="1045" s="108" customFormat="1"/>
    <row r="1046" s="108" customFormat="1"/>
    <row r="1047" s="108" customFormat="1"/>
    <row r="1048" s="108" customFormat="1"/>
    <row r="1049" s="108" customFormat="1"/>
    <row r="1050" s="108" customFormat="1"/>
    <row r="1051" s="108" customFormat="1"/>
    <row r="1052" s="108" customFormat="1"/>
    <row r="1053" s="108" customFormat="1"/>
    <row r="1054" s="108" customFormat="1"/>
    <row r="1055" s="108" customFormat="1"/>
    <row r="1056" s="108" customFormat="1"/>
    <row r="1057" s="108" customFormat="1"/>
    <row r="1058" s="108" customFormat="1"/>
    <row r="1059" s="108" customFormat="1"/>
    <row r="1060" s="108" customFormat="1"/>
    <row r="1061" s="108" customFormat="1"/>
    <row r="1062" s="108" customFormat="1"/>
    <row r="1063" s="108" customFormat="1"/>
    <row r="1064" s="108" customFormat="1"/>
    <row r="1065" s="108" customFormat="1"/>
    <row r="1066" s="108" customFormat="1"/>
    <row r="1067" s="108" customFormat="1"/>
    <row r="1068" s="108" customFormat="1"/>
    <row r="1069" s="108" customFormat="1"/>
    <row r="1070" s="108" customFormat="1"/>
    <row r="1071" s="108" customFormat="1"/>
    <row r="1072" s="108" customFormat="1"/>
    <row r="1073" s="108" customFormat="1"/>
    <row r="1074" s="108" customFormat="1"/>
    <row r="1075" s="108" customFormat="1"/>
    <row r="1076" s="108" customFormat="1"/>
    <row r="1077" s="108" customFormat="1"/>
    <row r="1078" s="108" customFormat="1"/>
    <row r="1079" s="108" customFormat="1"/>
    <row r="1080" s="108" customFormat="1"/>
    <row r="1081" s="108" customFormat="1"/>
    <row r="1082" s="108" customFormat="1"/>
    <row r="1083" s="108" customFormat="1"/>
    <row r="1084" s="108" customFormat="1"/>
    <row r="1085" s="108" customFormat="1"/>
    <row r="1086" s="108" customFormat="1"/>
    <row r="1087" s="108" customFormat="1"/>
    <row r="1088" s="108" customFormat="1"/>
    <row r="1089" s="108" customFormat="1"/>
    <row r="1090" s="108" customFormat="1"/>
    <row r="1091" s="108" customFormat="1"/>
    <row r="1092" s="108" customFormat="1"/>
    <row r="1093" s="108" customFormat="1"/>
    <row r="1094" s="108" customFormat="1"/>
    <row r="1095" s="108" customFormat="1"/>
    <row r="1096" s="108" customFormat="1"/>
    <row r="1097" s="108" customFormat="1"/>
    <row r="1098" s="108" customFormat="1"/>
    <row r="1099" s="108" customFormat="1"/>
    <row r="1100" s="108" customFormat="1"/>
    <row r="1101" s="108" customFormat="1"/>
    <row r="1102" s="108" customFormat="1"/>
    <row r="1103" s="108" customFormat="1"/>
    <row r="1104" s="108" customFormat="1"/>
    <row r="1105" s="108" customFormat="1"/>
    <row r="1106" s="108" customFormat="1"/>
    <row r="1107" s="108" customFormat="1"/>
    <row r="1108" s="108" customFormat="1"/>
    <row r="1109" s="108" customFormat="1"/>
    <row r="1110" s="108" customFormat="1"/>
    <row r="1111" s="108" customFormat="1"/>
    <row r="1112" s="108" customFormat="1"/>
    <row r="1113" s="108" customFormat="1"/>
    <row r="1114" s="108" customFormat="1"/>
    <row r="1115" s="108" customFormat="1"/>
    <row r="1116" s="108" customFormat="1"/>
    <row r="1117" s="108" customFormat="1"/>
    <row r="1118" s="108" customFormat="1"/>
    <row r="1119" s="108" customFormat="1"/>
    <row r="1120" s="108" customFormat="1"/>
    <row r="1121" s="108" customFormat="1"/>
    <row r="1122" s="108" customFormat="1"/>
    <row r="1123" s="108" customFormat="1"/>
    <row r="1124" s="108" customFormat="1"/>
    <row r="1125" s="108" customFormat="1"/>
    <row r="1126" s="108" customFormat="1"/>
    <row r="1127" s="108" customFormat="1"/>
    <row r="1128" s="108" customFormat="1"/>
    <row r="1129" s="108" customFormat="1"/>
    <row r="1130" s="108" customFormat="1"/>
    <row r="1131" s="108" customFormat="1"/>
    <row r="1132" s="108" customFormat="1"/>
    <row r="1133" s="108" customFormat="1"/>
    <row r="1134" s="108" customFormat="1"/>
    <row r="1135" s="108" customFormat="1"/>
    <row r="1136" s="108" customFormat="1"/>
    <row r="1137" s="108" customFormat="1"/>
    <row r="1138" s="108" customFormat="1"/>
    <row r="1139" s="108" customFormat="1"/>
    <row r="1140" s="108" customFormat="1"/>
    <row r="1141" s="108" customFormat="1"/>
    <row r="1142" s="108" customFormat="1"/>
    <row r="1143" s="108" customFormat="1"/>
    <row r="1144" s="108" customFormat="1"/>
    <row r="1145" s="108" customFormat="1"/>
    <row r="1146" s="108" customFormat="1"/>
    <row r="1147" s="108" customFormat="1"/>
    <row r="1148" s="108" customFormat="1"/>
    <row r="1149" s="108" customFormat="1"/>
    <row r="1150" s="108" customFormat="1"/>
    <row r="1151" s="108" customFormat="1"/>
    <row r="1152" s="108" customFormat="1"/>
    <row r="1153" s="108" customFormat="1"/>
    <row r="1154" s="108" customFormat="1"/>
    <row r="1155" s="108" customFormat="1"/>
    <row r="1156" s="108" customFormat="1"/>
    <row r="1157" s="108" customFormat="1"/>
    <row r="1158" s="108" customFormat="1"/>
    <row r="1159" s="108" customFormat="1"/>
    <row r="1160" s="108" customFormat="1"/>
    <row r="1161" s="108" customFormat="1"/>
    <row r="1162" s="108" customFormat="1"/>
    <row r="1163" s="108" customFormat="1"/>
    <row r="1164" s="108" customFormat="1"/>
    <row r="1165" s="108" customFormat="1"/>
    <row r="1166" s="108" customFormat="1"/>
    <row r="1167" s="108" customFormat="1"/>
    <row r="1168" s="108" customFormat="1"/>
    <row r="1169" s="108" customFormat="1"/>
    <row r="1170" s="108" customFormat="1"/>
    <row r="1171" s="108" customFormat="1"/>
    <row r="1172" s="108" customFormat="1"/>
    <row r="1173" s="108" customFormat="1"/>
    <row r="1174" s="108" customFormat="1"/>
    <row r="1175" s="108" customFormat="1"/>
    <row r="1176" s="108" customFormat="1"/>
    <row r="1177" s="108" customFormat="1"/>
    <row r="1178" s="108" customFormat="1"/>
    <row r="1179" s="108" customFormat="1"/>
    <row r="1180" s="108" customFormat="1"/>
    <row r="1181" s="108" customFormat="1"/>
    <row r="1182" s="108" customFormat="1"/>
    <row r="1183" s="108" customFormat="1"/>
    <row r="1184" s="108" customFormat="1"/>
    <row r="1185" s="108" customFormat="1"/>
    <row r="1186" s="108" customFormat="1"/>
    <row r="1187" s="108" customFormat="1"/>
    <row r="1188" s="108" customFormat="1"/>
    <row r="1189" s="108" customFormat="1"/>
    <row r="1190" s="108" customFormat="1"/>
    <row r="1191" s="108" customFormat="1"/>
    <row r="1192" s="108" customFormat="1"/>
    <row r="1193" s="108" customFormat="1"/>
    <row r="1194" s="108" customFormat="1"/>
    <row r="1195" s="108" customFormat="1"/>
    <row r="1196" s="108" customFormat="1"/>
    <row r="1197" s="108" customFormat="1"/>
    <row r="1198" s="108" customFormat="1"/>
    <row r="1199" s="108" customFormat="1"/>
    <row r="1200" s="108" customFormat="1"/>
    <row r="1201" s="108" customFormat="1"/>
    <row r="1202" s="108" customFormat="1"/>
    <row r="1203" s="108" customFormat="1"/>
    <row r="1204" s="108" customFormat="1"/>
    <row r="1205" s="108" customFormat="1"/>
    <row r="1206" s="108" customFormat="1"/>
    <row r="1207" s="108" customFormat="1"/>
    <row r="1208" s="108" customFormat="1"/>
    <row r="1209" s="108" customFormat="1"/>
    <row r="1210" s="108" customFormat="1"/>
    <row r="1211" s="108" customFormat="1"/>
    <row r="1212" s="108" customFormat="1"/>
    <row r="1213" s="108" customFormat="1"/>
    <row r="1214" s="108" customFormat="1"/>
    <row r="1215" s="108" customFormat="1"/>
    <row r="1216" s="108" customFormat="1"/>
    <row r="1217" s="108" customFormat="1"/>
    <row r="1218" s="108" customFormat="1"/>
    <row r="1219" s="108" customFormat="1"/>
    <row r="1220" s="108" customFormat="1"/>
    <row r="1221" s="108" customFormat="1"/>
    <row r="1222" s="108" customFormat="1"/>
    <row r="1223" s="108" customFormat="1"/>
    <row r="1224" s="108" customFormat="1"/>
    <row r="1225" s="108" customFormat="1"/>
    <row r="1226" s="108" customFormat="1"/>
    <row r="1227" s="108" customFormat="1"/>
    <row r="1228" s="108" customFormat="1"/>
    <row r="1229" s="108" customFormat="1"/>
    <row r="1230" s="108" customFormat="1"/>
    <row r="1231" s="108" customFormat="1"/>
    <row r="1232" s="108" customFormat="1"/>
    <row r="1233" s="108" customFormat="1"/>
    <row r="1234" s="108" customFormat="1"/>
    <row r="1235" s="108" customFormat="1"/>
    <row r="1236" s="108" customFormat="1"/>
    <row r="1237" s="108" customFormat="1"/>
    <row r="1238" s="108" customFormat="1"/>
    <row r="1239" s="108" customFormat="1"/>
    <row r="1240" s="108" customFormat="1"/>
    <row r="1241" s="108" customFormat="1"/>
    <row r="1242" s="108" customFormat="1"/>
    <row r="1243" s="108" customFormat="1"/>
    <row r="1244" s="108" customFormat="1"/>
    <row r="1245" s="108" customFormat="1"/>
    <row r="1246" s="108" customFormat="1"/>
    <row r="1247" s="108" customFormat="1"/>
    <row r="1248" s="108" customFormat="1"/>
    <row r="1249" s="108" customFormat="1"/>
    <row r="1250" s="108" customFormat="1"/>
    <row r="1251" s="108" customFormat="1"/>
    <row r="1252" s="108" customFormat="1"/>
    <row r="1253" s="108" customFormat="1"/>
    <row r="1254" s="108" customFormat="1"/>
    <row r="1255" s="108" customFormat="1"/>
    <row r="1256" s="108" customFormat="1"/>
    <row r="1257" s="108" customFormat="1"/>
    <row r="1258" s="108" customFormat="1"/>
    <row r="1259" s="108" customFormat="1"/>
    <row r="1260" s="108" customFormat="1"/>
    <row r="1261" s="108" customFormat="1"/>
    <row r="1262" s="108" customFormat="1"/>
    <row r="1263" s="108" customFormat="1"/>
    <row r="1264" s="108" customFormat="1"/>
    <row r="1265" s="108" customFormat="1"/>
    <row r="1266" s="108" customFormat="1"/>
    <row r="1267" s="108" customFormat="1"/>
    <row r="1268" s="108" customFormat="1"/>
    <row r="1269" s="108" customFormat="1"/>
    <row r="1270" s="108" customFormat="1"/>
    <row r="1271" s="108" customFormat="1"/>
    <row r="1272" s="108" customFormat="1"/>
    <row r="1273" s="108" customFormat="1"/>
    <row r="1274" s="108" customFormat="1"/>
    <row r="1275" s="108" customFormat="1"/>
    <row r="1276" s="108" customFormat="1"/>
    <row r="1277" s="108" customFormat="1"/>
    <row r="1278" s="108" customFormat="1"/>
    <row r="1279" s="108" customFormat="1"/>
    <row r="1280" s="108" customFormat="1"/>
    <row r="1281" s="108" customFormat="1"/>
    <row r="1282" s="108" customFormat="1"/>
    <row r="1283" s="108" customFormat="1"/>
    <row r="1284" s="108" customFormat="1"/>
    <row r="1285" s="108" customFormat="1"/>
    <row r="1286" s="108" customFormat="1"/>
    <row r="1287" s="108" customFormat="1"/>
    <row r="1288" s="108" customFormat="1"/>
    <row r="1289" s="108" customFormat="1"/>
    <row r="1290" s="108" customFormat="1"/>
    <row r="1291" s="108" customFormat="1"/>
    <row r="1292" s="108" customFormat="1"/>
    <row r="1293" s="108" customFormat="1"/>
    <row r="1294" s="108" customFormat="1"/>
    <row r="1295" s="108" customFormat="1"/>
    <row r="1296" s="108" customFormat="1"/>
    <row r="1297" s="108" customFormat="1"/>
    <row r="1298" s="108" customFormat="1"/>
    <row r="1299" s="108" customFormat="1"/>
    <row r="1300" s="108" customFormat="1"/>
    <row r="1301" s="108" customFormat="1"/>
    <row r="1302" s="108" customFormat="1"/>
    <row r="1303" s="108" customFormat="1"/>
    <row r="1304" s="108" customFormat="1"/>
    <row r="1305" s="108" customFormat="1"/>
    <row r="1306" s="108" customFormat="1"/>
    <row r="1307" s="108" customFormat="1"/>
    <row r="1308" s="108" customFormat="1"/>
    <row r="1309" s="108" customFormat="1"/>
    <row r="1310" s="108" customFormat="1"/>
    <row r="1311" s="108" customFormat="1"/>
    <row r="1312" s="108" customFormat="1"/>
    <row r="1313" s="108" customFormat="1"/>
    <row r="1314" s="108" customFormat="1"/>
    <row r="1315" s="108" customFormat="1"/>
    <row r="1316" s="108" customFormat="1"/>
    <row r="1317" s="108" customFormat="1"/>
    <row r="1318" s="108" customFormat="1"/>
    <row r="1319" s="108" customFormat="1"/>
    <row r="1320" s="108" customFormat="1"/>
    <row r="1321" s="108" customFormat="1"/>
    <row r="1322" s="108" customFormat="1"/>
    <row r="1323" s="108" customFormat="1"/>
    <row r="1324" s="108" customFormat="1"/>
    <row r="1325" s="108" customFormat="1"/>
    <row r="1326" s="108" customFormat="1"/>
    <row r="1327" s="108" customFormat="1"/>
    <row r="1328" s="108" customFormat="1"/>
    <row r="1329" s="108" customFormat="1"/>
    <row r="1330" s="108" customFormat="1"/>
    <row r="1331" s="108" customFormat="1"/>
    <row r="1332" s="108" customFormat="1"/>
    <row r="1333" s="108" customFormat="1"/>
    <row r="1334" s="108" customFormat="1"/>
    <row r="1335" s="108" customFormat="1"/>
    <row r="1336" s="108" customFormat="1"/>
    <row r="1337" s="108" customFormat="1"/>
    <row r="1338" s="108" customFormat="1"/>
    <row r="1339" s="108" customFormat="1"/>
    <row r="1340" s="108" customFormat="1"/>
    <row r="1341" s="108" customFormat="1"/>
    <row r="1342" s="108" customFormat="1"/>
    <row r="1343" s="108" customFormat="1"/>
    <row r="1344" s="108" customFormat="1"/>
    <row r="1345" s="108" customFormat="1"/>
    <row r="1346" s="108" customFormat="1"/>
    <row r="1347" s="108" customFormat="1"/>
    <row r="1348" s="108" customFormat="1"/>
    <row r="1349" s="108" customFormat="1"/>
    <row r="1350" s="108" customFormat="1"/>
    <row r="1351" s="108" customFormat="1"/>
    <row r="1352" s="108" customFormat="1"/>
    <row r="1353" s="108" customFormat="1"/>
    <row r="1354" s="108" customFormat="1"/>
    <row r="1355" s="108" customFormat="1"/>
    <row r="1356" s="108" customFormat="1"/>
    <row r="1357" s="108" customFormat="1"/>
    <row r="1358" s="108" customFormat="1"/>
    <row r="1359" s="108" customFormat="1"/>
    <row r="1360" s="108" customFormat="1"/>
    <row r="1361" s="108" customFormat="1"/>
    <row r="1362" s="108" customFormat="1"/>
    <row r="1363" s="108" customFormat="1"/>
    <row r="1364" s="108" customFormat="1"/>
    <row r="1365" s="108" customFormat="1"/>
    <row r="1366" s="108" customFormat="1"/>
    <row r="1367" s="108" customFormat="1"/>
    <row r="1368" s="108" customFormat="1"/>
    <row r="1369" s="108" customFormat="1"/>
    <row r="1370" s="108" customFormat="1"/>
    <row r="1371" s="108" customFormat="1"/>
    <row r="1372" s="108" customFormat="1"/>
    <row r="1373" s="108" customFormat="1"/>
    <row r="1374" s="108" customFormat="1"/>
    <row r="1375" s="108" customFormat="1"/>
    <row r="1376" s="108" customFormat="1"/>
    <row r="1377" s="108" customFormat="1"/>
    <row r="1378" s="108" customFormat="1"/>
    <row r="1379" s="108" customFormat="1"/>
    <row r="1380" s="108" customFormat="1"/>
    <row r="1381" s="108" customFormat="1"/>
    <row r="1382" s="108" customFormat="1"/>
    <row r="1383" s="108" customFormat="1"/>
    <row r="1384" s="108" customFormat="1"/>
    <row r="1385" s="108" customFormat="1"/>
    <row r="1386" s="108" customFormat="1"/>
    <row r="1387" s="108" customFormat="1"/>
    <row r="1388" s="108" customFormat="1"/>
    <row r="1389" s="108" customFormat="1"/>
    <row r="1390" s="108" customFormat="1"/>
    <row r="1391" s="108" customFormat="1"/>
    <row r="1392" s="108" customFormat="1"/>
    <row r="1393" s="108" customFormat="1"/>
    <row r="1394" s="108" customFormat="1"/>
    <row r="1395" s="108" customFormat="1"/>
    <row r="1396" s="108" customFormat="1"/>
    <row r="1397" s="108" customFormat="1"/>
    <row r="1398" s="108" customFormat="1"/>
    <row r="1399" s="108" customFormat="1"/>
    <row r="1400" s="108" customFormat="1"/>
    <row r="1401" s="108" customFormat="1"/>
    <row r="1402" s="108" customFormat="1"/>
    <row r="1403" s="108" customFormat="1"/>
    <row r="1404" s="108" customFormat="1"/>
    <row r="1405" s="108" customFormat="1"/>
    <row r="1406" s="108" customFormat="1"/>
    <row r="1407" s="108" customFormat="1"/>
    <row r="1408" s="108" customFormat="1"/>
    <row r="1409" s="108" customFormat="1"/>
    <row r="1410" s="108" customFormat="1"/>
    <row r="1411" s="108" customFormat="1"/>
    <row r="1412" s="108" customFormat="1"/>
    <row r="1413" s="108" customFormat="1"/>
    <row r="1414" s="108" customFormat="1"/>
    <row r="1415" s="108" customFormat="1"/>
    <row r="1416" s="108" customFormat="1"/>
    <row r="1417" s="108" customFormat="1"/>
    <row r="1418" s="108" customFormat="1"/>
    <row r="1419" s="108" customFormat="1"/>
    <row r="1420" s="108" customFormat="1"/>
    <row r="1421" s="108" customFormat="1"/>
    <row r="1422" s="108" customFormat="1"/>
    <row r="1423" s="108" customFormat="1"/>
    <row r="1424" s="108" customFormat="1"/>
    <row r="1425" s="108" customFormat="1"/>
    <row r="1426" s="108" customFormat="1"/>
    <row r="1427" s="108" customFormat="1"/>
    <row r="1428" s="108" customFormat="1"/>
    <row r="1429" s="108" customFormat="1"/>
    <row r="1430" s="108" customFormat="1"/>
    <row r="1431" s="108" customFormat="1"/>
    <row r="1432" s="108" customFormat="1"/>
    <row r="1433" s="108" customFormat="1"/>
    <row r="1434" s="108" customFormat="1"/>
    <row r="1435" s="108" customFormat="1"/>
    <row r="1436" s="108" customFormat="1"/>
    <row r="1437" s="108" customFormat="1"/>
    <row r="1438" s="108" customFormat="1"/>
    <row r="1439" s="108" customFormat="1"/>
    <row r="1440" s="108" customFormat="1"/>
    <row r="1441" s="108" customFormat="1"/>
    <row r="1442" s="108" customFormat="1"/>
    <row r="1443" s="108" customFormat="1"/>
    <row r="1444" s="108" customFormat="1"/>
    <row r="1445" s="108" customFormat="1"/>
    <row r="1446" s="108" customFormat="1"/>
    <row r="1447" s="108" customFormat="1"/>
    <row r="1448" s="108" customFormat="1"/>
    <row r="1449" s="108" customFormat="1"/>
    <row r="1450" s="108" customFormat="1"/>
    <row r="1451" s="108" customFormat="1"/>
    <row r="1452" s="108" customFormat="1"/>
    <row r="1453" s="108" customFormat="1"/>
    <row r="1454" s="108" customFormat="1"/>
    <row r="1455" s="108" customFormat="1"/>
    <row r="1456" s="108" customFormat="1"/>
    <row r="1457" s="108" customFormat="1"/>
    <row r="1458" s="108" customFormat="1"/>
    <row r="1459" s="108" customFormat="1"/>
    <row r="1460" s="108" customFormat="1"/>
    <row r="1461" s="108" customFormat="1"/>
    <row r="1462" s="108" customFormat="1"/>
    <row r="1463" s="108" customFormat="1"/>
    <row r="1464" s="108" customFormat="1"/>
    <row r="1465" s="108" customFormat="1"/>
    <row r="1466" s="108" customFormat="1"/>
    <row r="1467" s="108" customFormat="1"/>
    <row r="1468" s="108" customFormat="1"/>
    <row r="1469" s="108" customFormat="1"/>
    <row r="1470" s="108" customFormat="1"/>
    <row r="1471" s="108" customFormat="1"/>
    <row r="1472" s="108" customFormat="1"/>
    <row r="1473" s="108" customFormat="1"/>
    <row r="1474" s="108" customFormat="1"/>
    <row r="1475" s="108" customFormat="1"/>
    <row r="1476" s="108" customFormat="1"/>
    <row r="1477" s="108" customFormat="1"/>
    <row r="1478" s="108" customFormat="1"/>
    <row r="1479" s="108" customFormat="1"/>
    <row r="1480" s="108" customFormat="1"/>
    <row r="1481" s="108" customFormat="1"/>
    <row r="1482" s="108" customFormat="1"/>
    <row r="1483" s="108" customFormat="1"/>
    <row r="1484" s="108" customFormat="1"/>
    <row r="1485" s="108" customFormat="1"/>
    <row r="1486" s="108" customFormat="1"/>
    <row r="1487" s="108" customFormat="1"/>
    <row r="1488" s="108" customFormat="1"/>
    <row r="1489" s="108" customFormat="1"/>
    <row r="1490" s="108" customFormat="1"/>
    <row r="1491" s="108" customFormat="1"/>
    <row r="1492" s="108" customFormat="1"/>
    <row r="1493" s="108" customFormat="1"/>
    <row r="1494" s="108" customFormat="1"/>
    <row r="1495" s="108" customFormat="1"/>
    <row r="1496" s="108" customFormat="1"/>
    <row r="1497" s="108" customFormat="1"/>
    <row r="1498" s="108" customFormat="1"/>
    <row r="1499" s="108" customFormat="1"/>
    <row r="1500" s="108" customFormat="1"/>
    <row r="1501" s="108" customFormat="1"/>
    <row r="1502" s="108" customFormat="1"/>
    <row r="1503" s="108" customFormat="1"/>
    <row r="1504" s="108" customFormat="1"/>
    <row r="1505" s="108" customFormat="1"/>
    <row r="1506" s="108" customFormat="1"/>
    <row r="1507" s="108" customFormat="1"/>
    <row r="1508" s="108" customFormat="1"/>
    <row r="1509" s="108" customFormat="1"/>
    <row r="1510" s="108" customFormat="1"/>
    <row r="1511" s="108" customFormat="1"/>
    <row r="1512" s="108" customFormat="1"/>
    <row r="1513" s="108" customFormat="1"/>
    <row r="1514" s="108" customFormat="1"/>
    <row r="1515" s="108" customFormat="1"/>
    <row r="1516" s="108" customFormat="1"/>
    <row r="1517" s="108" customFormat="1"/>
    <row r="1518" s="108" customFormat="1"/>
    <row r="1519" s="108" customFormat="1"/>
    <row r="1520" s="108" customFormat="1"/>
    <row r="1521" s="108" customFormat="1"/>
    <row r="1522" s="108" customFormat="1"/>
    <row r="1523" s="108" customFormat="1"/>
    <row r="1524" s="108" customFormat="1"/>
    <row r="1525" s="108" customFormat="1"/>
    <row r="1526" s="108" customFormat="1"/>
    <row r="1527" s="108" customFormat="1"/>
    <row r="1528" s="108" customFormat="1"/>
    <row r="1529" s="108" customFormat="1"/>
    <row r="1530" s="108" customFormat="1"/>
    <row r="1531" s="108" customFormat="1"/>
    <row r="1532" s="108" customFormat="1"/>
    <row r="1533" s="108" customFormat="1"/>
    <row r="1534" s="108" customFormat="1"/>
    <row r="1535" s="108" customFormat="1"/>
    <row r="1536" s="108" customFormat="1"/>
    <row r="1537" s="108" customFormat="1"/>
    <row r="1538" s="108" customFormat="1"/>
    <row r="1539" s="108" customFormat="1"/>
    <row r="1540" s="108" customFormat="1"/>
    <row r="1541" s="108" customFormat="1"/>
    <row r="1542" s="108" customFormat="1"/>
    <row r="1543" s="108" customFormat="1"/>
    <row r="1544" s="108" customFormat="1"/>
    <row r="1545" s="108" customFormat="1"/>
    <row r="1546" s="108" customFormat="1"/>
    <row r="1547" s="108" customFormat="1"/>
    <row r="1548" s="108" customFormat="1"/>
    <row r="1549" s="108" customFormat="1"/>
    <row r="1550" s="108" customFormat="1"/>
    <row r="1551" s="108" customFormat="1"/>
    <row r="1552" s="108" customFormat="1"/>
    <row r="1553" s="108" customFormat="1"/>
    <row r="1554" s="108" customFormat="1"/>
    <row r="1555" s="108" customFormat="1"/>
    <row r="1556" s="108" customFormat="1"/>
    <row r="1557" s="108" customFormat="1"/>
    <row r="1558" s="108" customFormat="1"/>
    <row r="1559" s="108" customFormat="1"/>
    <row r="1560" s="108" customFormat="1"/>
    <row r="1561" s="108" customFormat="1"/>
    <row r="1562" s="108" customFormat="1"/>
    <row r="1563" s="108" customFormat="1"/>
    <row r="1564" s="108" customFormat="1"/>
    <row r="1565" s="108" customFormat="1"/>
    <row r="1566" s="108" customFormat="1"/>
    <row r="1567" s="108" customFormat="1"/>
    <row r="1568" s="108" customFormat="1"/>
    <row r="1569" s="108" customFormat="1"/>
    <row r="1570" s="108" customFormat="1"/>
    <row r="1571" s="108" customFormat="1"/>
    <row r="1572" s="108" customFormat="1"/>
    <row r="1573" s="108" customFormat="1"/>
    <row r="1574" s="108" customFormat="1"/>
    <row r="1575" s="108" customFormat="1"/>
    <row r="1576" s="108" customFormat="1"/>
    <row r="1577" s="108" customFormat="1"/>
    <row r="1578" s="108" customFormat="1"/>
    <row r="1579" s="108" customFormat="1"/>
    <row r="1580" s="108" customFormat="1"/>
    <row r="1581" s="108" customFormat="1"/>
    <row r="1582" s="108" customFormat="1"/>
    <row r="1583" s="108" customFormat="1"/>
    <row r="1584" s="108" customFormat="1"/>
    <row r="1585" s="108" customFormat="1"/>
    <row r="1586" s="108" customFormat="1"/>
    <row r="1587" s="108" customFormat="1"/>
    <row r="1588" s="108" customFormat="1"/>
    <row r="1589" s="108" customFormat="1"/>
    <row r="1590" s="108" customFormat="1"/>
    <row r="1591" s="108" customFormat="1"/>
    <row r="1592" s="108" customFormat="1"/>
    <row r="1593" s="108" customFormat="1"/>
    <row r="1594" s="108" customFormat="1"/>
    <row r="1595" s="108" customFormat="1"/>
    <row r="1596" s="108" customFormat="1"/>
    <row r="1597" s="108" customFormat="1"/>
    <row r="1598" s="108" customFormat="1"/>
    <row r="1599" s="108" customFormat="1"/>
    <row r="1600" s="108" customFormat="1"/>
    <row r="1601" s="108" customFormat="1"/>
    <row r="1602" s="108" customFormat="1"/>
    <row r="1603" s="108" customFormat="1"/>
    <row r="1604" s="108" customFormat="1"/>
    <row r="1605" s="108" customFormat="1"/>
    <row r="1606" s="108" customFormat="1"/>
    <row r="1607" s="108" customFormat="1"/>
    <row r="1608" s="108" customFormat="1"/>
    <row r="1609" s="108" customFormat="1"/>
    <row r="1610" s="108" customFormat="1"/>
    <row r="1611" s="108" customFormat="1"/>
    <row r="1612" s="108" customFormat="1"/>
    <row r="1613" s="108" customFormat="1"/>
    <row r="1614" s="108" customFormat="1"/>
    <row r="1615" s="108" customFormat="1"/>
    <row r="1616" s="108" customFormat="1"/>
    <row r="1617" s="108" customFormat="1"/>
    <row r="1618" s="108" customFormat="1"/>
    <row r="1619" s="108" customFormat="1"/>
    <row r="1620" s="108" customFormat="1"/>
    <row r="1621" s="108" customFormat="1"/>
    <row r="1622" s="108" customFormat="1"/>
    <row r="1623" s="108" customFormat="1"/>
    <row r="1624" s="108" customFormat="1"/>
    <row r="1625" s="108" customFormat="1"/>
    <row r="1626" s="108" customFormat="1"/>
    <row r="1627" s="108" customFormat="1"/>
    <row r="1628" s="108" customFormat="1"/>
    <row r="1629" s="108" customFormat="1"/>
    <row r="1630" s="108" customFormat="1"/>
    <row r="1631" s="108" customFormat="1"/>
    <row r="1632" s="108" customFormat="1"/>
    <row r="1633" s="108" customFormat="1"/>
    <row r="1634" s="108" customFormat="1"/>
    <row r="1635" s="108" customFormat="1"/>
    <row r="1636" s="108" customFormat="1"/>
    <row r="1637" s="108" customFormat="1"/>
    <row r="1638" s="108" customFormat="1"/>
    <row r="1639" s="108" customFormat="1"/>
    <row r="1640" s="108" customFormat="1"/>
    <row r="1641" s="108" customFormat="1"/>
    <row r="1642" s="108" customFormat="1"/>
    <row r="1643" s="108" customFormat="1"/>
    <row r="1644" s="108" customFormat="1"/>
    <row r="1645" s="108" customFormat="1"/>
    <row r="1646" s="108" customFormat="1"/>
    <row r="1647" s="108" customFormat="1"/>
    <row r="1648" s="108" customFormat="1"/>
    <row r="1649" s="108" customFormat="1"/>
    <row r="1650" s="108" customFormat="1"/>
    <row r="1651" s="108" customFormat="1"/>
    <row r="1652" s="108" customFormat="1"/>
    <row r="1653" s="108" customFormat="1"/>
    <row r="1654" s="108" customFormat="1"/>
    <row r="1655" s="108" customFormat="1"/>
    <row r="1656" s="108" customFormat="1"/>
    <row r="1657" s="108" customFormat="1"/>
    <row r="1658" s="108" customFormat="1"/>
    <row r="1659" s="108" customFormat="1"/>
    <row r="1660" s="108" customFormat="1"/>
    <row r="1661" s="108" customFormat="1"/>
    <row r="1662" s="108" customFormat="1"/>
    <row r="1663" s="108" customFormat="1"/>
    <row r="1664" s="108" customFormat="1"/>
    <row r="1665" s="108" customFormat="1"/>
    <row r="1666" s="108" customFormat="1"/>
    <row r="1667" s="108" customFormat="1"/>
    <row r="1668" s="108" customFormat="1"/>
    <row r="1669" s="108" customFormat="1"/>
    <row r="1670" s="108" customFormat="1"/>
    <row r="1671" s="108" customFormat="1"/>
    <row r="1672" s="108" customFormat="1"/>
    <row r="1673" s="108" customFormat="1"/>
    <row r="1674" s="108" customFormat="1"/>
    <row r="1675" s="108" customFormat="1"/>
    <row r="1676" s="108" customFormat="1"/>
    <row r="1677" s="108" customFormat="1"/>
    <row r="1678" s="108" customFormat="1"/>
    <row r="1679" s="108" customFormat="1"/>
    <row r="1680" s="108" customFormat="1"/>
    <row r="1681" s="108" customFormat="1"/>
    <row r="1682" s="108" customFormat="1"/>
    <row r="1683" s="108" customFormat="1"/>
    <row r="1684" s="108" customFormat="1"/>
    <row r="1685" s="108" customFormat="1"/>
    <row r="1686" s="108" customFormat="1"/>
    <row r="1687" s="108" customFormat="1"/>
    <row r="1688" s="108" customFormat="1"/>
    <row r="1689" s="108" customFormat="1"/>
    <row r="1690" s="108" customFormat="1"/>
    <row r="1691" s="108" customFormat="1"/>
    <row r="1692" s="108" customFormat="1"/>
    <row r="1693" s="108" customFormat="1"/>
    <row r="1694" s="108" customFormat="1"/>
    <row r="1695" s="108" customFormat="1"/>
    <row r="1696" s="108" customFormat="1"/>
    <row r="1697" s="108" customFormat="1"/>
    <row r="1698" s="108" customFormat="1"/>
    <row r="1699" s="108" customFormat="1"/>
    <row r="1700" s="108" customFormat="1"/>
    <row r="1701" s="108" customFormat="1"/>
    <row r="1702" s="108" customFormat="1"/>
    <row r="1703" s="108" customFormat="1"/>
    <row r="1704" s="108" customFormat="1"/>
    <row r="1705" s="108" customFormat="1"/>
    <row r="1706" s="108" customFormat="1"/>
    <row r="1707" s="108" customFormat="1"/>
    <row r="1708" s="108" customFormat="1"/>
    <row r="1709" s="108" customFormat="1"/>
    <row r="1710" s="108" customFormat="1"/>
    <row r="1711" s="108" customFormat="1"/>
    <row r="1712" s="108" customFormat="1"/>
    <row r="1713" s="108" customFormat="1"/>
    <row r="1714" s="108" customFormat="1"/>
    <row r="1715" s="108" customFormat="1"/>
    <row r="1716" s="108" customFormat="1"/>
    <row r="1717" s="108" customFormat="1"/>
    <row r="1719" s="108" customFormat="1"/>
    <row r="1720" s="108" customFormat="1"/>
    <row r="1723" s="108" customFormat="1"/>
    <row r="1728" s="108" customFormat="1"/>
    <row r="1729" s="108" customFormat="1"/>
    <row r="1734" s="108" customFormat="1"/>
    <row r="1736" s="108" customFormat="1"/>
    <row r="1744" s="108" customFormat="1"/>
    <row r="1748" s="108" customFormat="1"/>
    <row r="1750" s="108" customFormat="1"/>
    <row r="1751" s="108" customFormat="1"/>
    <row r="1757" s="108" customFormat="1"/>
    <row r="1763" s="108" customFormat="1"/>
    <row r="1764" s="108" customFormat="1"/>
    <row r="1767" s="108" customFormat="1"/>
    <row r="1769" s="108" customFormat="1"/>
    <row r="1773" s="108" customFormat="1"/>
    <row r="1775" s="108" customFormat="1"/>
    <row r="1779" s="108" customFormat="1"/>
    <row r="1781" s="108" customFormat="1"/>
    <row r="1785" s="108" customFormat="1"/>
    <row r="1791" s="108" customFormat="1"/>
    <row r="1792" s="108" customFormat="1"/>
    <row r="1797" s="108" customFormat="1"/>
    <row r="1798" s="108" customFormat="1"/>
    <row r="1805" s="108" customFormat="1"/>
    <row r="1808" s="108" customFormat="1"/>
    <row r="1812" s="108" customFormat="1"/>
    <row r="1814" s="108" customFormat="1"/>
    <row r="1818" s="108" customFormat="1"/>
    <row r="1821" s="108" customFormat="1"/>
    <row r="1824" s="108" customFormat="1"/>
    <row r="1828" s="108" customFormat="1"/>
    <row r="1834" s="108" customFormat="1"/>
    <row r="1837" s="108" customFormat="1"/>
    <row r="1840" s="108" customFormat="1"/>
    <row r="1841" s="108" customFormat="1"/>
    <row r="1847" s="108" customFormat="1"/>
    <row r="1848" s="108" customFormat="1"/>
    <row r="1849" s="108" customFormat="1"/>
    <row r="1851" s="108" customFormat="1"/>
    <row r="1853" s="108" customFormat="1"/>
    <row r="1857" s="108" customFormat="1"/>
    <row r="1863" s="108" customFormat="1"/>
    <row r="1864" s="108" customFormat="1"/>
    <row r="1865" s="108" customFormat="1"/>
    <row r="1867" s="108" customFormat="1"/>
    <row r="1873" s="108" customFormat="1"/>
    <row r="1880" s="108" customFormat="1"/>
    <row r="1881" s="108" customFormat="1"/>
    <row r="1883" s="108" customFormat="1"/>
    <row r="1885" s="108" customFormat="1"/>
    <row r="1887" s="108" customFormat="1"/>
    <row r="1889" s="108" customFormat="1"/>
    <row r="1891" s="108" customFormat="1"/>
    <row r="1893" s="108" customFormat="1"/>
    <row r="1895" s="108" customFormat="1"/>
    <row r="1897" s="108" customFormat="1"/>
    <row r="1899" s="108" customFormat="1"/>
    <row r="1901" s="108" customFormat="1"/>
    <row r="1903" s="108" customFormat="1"/>
    <row r="1905" s="108" customFormat="1"/>
    <row r="1907" s="108" customFormat="1"/>
    <row r="1909" s="108" customFormat="1"/>
    <row r="1911" s="108" customFormat="1"/>
    <row r="1913" s="108" customFormat="1"/>
    <row r="1915" s="108" customFormat="1"/>
    <row r="1917" s="108" customFormat="1"/>
    <row r="1918" s="108" customFormat="1"/>
    <row r="1919" s="108" customFormat="1"/>
    <row r="1920" s="108" customFormat="1"/>
    <row r="1921" s="108" customFormat="1"/>
    <row r="1922" s="108" customFormat="1"/>
    <row r="1923" s="108" customFormat="1"/>
    <row r="1924" s="108" customFormat="1"/>
    <row r="1928" s="108" customFormat="1"/>
    <row r="1934" s="108" customFormat="1"/>
    <row r="1935" s="108" customFormat="1"/>
    <row r="1936" s="108" customFormat="1"/>
    <row r="1937" s="108" customFormat="1"/>
    <row r="1938" s="108" customFormat="1"/>
    <row r="1939" s="108" customFormat="1"/>
    <row r="1940" s="108" customFormat="1"/>
    <row r="1943" s="108" customFormat="1"/>
    <row r="1944" s="108" customFormat="1"/>
    <row r="1945" s="108" customFormat="1"/>
    <row r="1946" s="108" customFormat="1"/>
    <row r="1947" s="108" customFormat="1"/>
    <row r="1948" s="108" customFormat="1"/>
    <row r="1949" s="108" customFormat="1"/>
    <row r="1950" s="108" customFormat="1"/>
    <row r="1951" s="108" customFormat="1"/>
    <row r="1952" s="108" customFormat="1"/>
    <row r="1953" s="108" customFormat="1"/>
    <row r="1954" s="108" customFormat="1"/>
    <row r="1955" s="108" customFormat="1"/>
    <row r="1956" s="108" customFormat="1"/>
    <row r="1957" s="108" customFormat="1"/>
    <row r="1958" s="108" customFormat="1"/>
    <row r="1959" s="108" customFormat="1"/>
    <row r="1960" s="108" customFormat="1"/>
    <row r="1961" s="108" customFormat="1"/>
    <row r="1962" s="108" customFormat="1"/>
  </sheetData>
  <mergeCells count="4">
    <mergeCell ref="C275:Z275"/>
    <mergeCell ref="Y276:Z276"/>
    <mergeCell ref="A277:Z277"/>
    <mergeCell ref="A1:Y1"/>
  </mergeCells>
  <pageMargins left="0.7" right="0.7" top="0.7" bottom="0.7" header="0.5" footer="0.5"/>
  <pageSetup scale="37" fitToHeight="990" orientation="landscape" useFirstPageNumber="1" r:id="rId1"/>
  <headerFooter alignWithMargins="0">
    <oddHeader>&amp;R&amp;B&amp;D &amp;T</oddHeader>
    <oddFooter>&amp;C&amp;B Page &amp;P of &amp;N</oddFooter>
  </headerFooter>
  <rowBreaks count="1" manualBreakCount="1">
    <brk id="4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BA65-2D44-4342-B17B-60AF7897FECF}">
  <dimension ref="B2:U159"/>
  <sheetViews>
    <sheetView workbookViewId="0">
      <selection activeCell="E31" sqref="E31"/>
    </sheetView>
  </sheetViews>
  <sheetFormatPr defaultRowHeight="12.75"/>
  <cols>
    <col min="2" max="2" width="20.28515625" customWidth="1"/>
    <col min="3" max="3" width="10.42578125" bestFit="1" customWidth="1"/>
    <col min="4" max="4" width="12.42578125" customWidth="1"/>
    <col min="5" max="6" width="12.28515625" customWidth="1"/>
    <col min="7" max="8" width="11.85546875" customWidth="1"/>
    <col min="9" max="9" width="11.140625" customWidth="1"/>
    <col min="10" max="10" width="5.140625" customWidth="1"/>
    <col min="11" max="11" width="5" customWidth="1"/>
    <col min="12" max="12" width="18.85546875" bestFit="1" customWidth="1"/>
    <col min="13" max="13" width="10.42578125" customWidth="1"/>
    <col min="15" max="15" width="10.28515625" customWidth="1"/>
    <col min="16" max="16" width="10.140625" customWidth="1"/>
    <col min="17" max="17" width="11.140625" customWidth="1"/>
    <col min="18" max="18" width="9.5703125" customWidth="1"/>
    <col min="19" max="19" width="13.7109375" customWidth="1"/>
    <col min="20" max="20" width="11" customWidth="1"/>
    <col min="21" max="21" width="12.28515625" customWidth="1"/>
  </cols>
  <sheetData>
    <row r="2" spans="2:21" ht="51">
      <c r="B2" s="247" t="s">
        <v>374</v>
      </c>
      <c r="C2" s="248" t="s">
        <v>375</v>
      </c>
      <c r="D2" s="248" t="s">
        <v>324</v>
      </c>
      <c r="E2" s="248" t="s">
        <v>325</v>
      </c>
      <c r="F2" s="248" t="s">
        <v>447</v>
      </c>
      <c r="G2" s="248" t="s">
        <v>326</v>
      </c>
      <c r="H2" s="248" t="s">
        <v>493</v>
      </c>
      <c r="I2" s="248" t="s">
        <v>337</v>
      </c>
      <c r="L2" s="553" t="s">
        <v>544</v>
      </c>
      <c r="M2" s="538" t="s">
        <v>495</v>
      </c>
      <c r="N2" s="538" t="s">
        <v>507</v>
      </c>
      <c r="O2" s="538" t="s">
        <v>508</v>
      </c>
      <c r="P2" s="538" t="s">
        <v>509</v>
      </c>
      <c r="Q2" s="538" t="s">
        <v>510</v>
      </c>
      <c r="R2" s="538" t="s">
        <v>511</v>
      </c>
      <c r="S2" s="538" t="s">
        <v>512</v>
      </c>
      <c r="T2" s="538" t="s">
        <v>513</v>
      </c>
      <c r="U2" s="538" t="s">
        <v>514</v>
      </c>
    </row>
    <row r="3" spans="2:21">
      <c r="B3" s="140" t="s">
        <v>377</v>
      </c>
      <c r="C3" s="137" t="s">
        <v>376</v>
      </c>
      <c r="D3" s="244">
        <v>1668</v>
      </c>
      <c r="E3" s="244">
        <v>1629</v>
      </c>
      <c r="F3" s="244"/>
      <c r="G3" s="244"/>
      <c r="H3" s="244"/>
      <c r="I3" s="286">
        <f>E3/D3-1</f>
        <v>-2.3381294964028743E-2</v>
      </c>
      <c r="L3" s="543" t="s">
        <v>376</v>
      </c>
      <c r="M3" s="544">
        <v>12362</v>
      </c>
      <c r="N3" s="544">
        <v>166</v>
      </c>
      <c r="O3" s="543" t="s">
        <v>515</v>
      </c>
      <c r="P3" s="544">
        <v>1142</v>
      </c>
      <c r="Q3" s="544">
        <v>425</v>
      </c>
      <c r="R3" s="545" t="s">
        <v>516</v>
      </c>
      <c r="S3" s="543">
        <v>40</v>
      </c>
      <c r="T3" s="544">
        <v>1642</v>
      </c>
      <c r="U3" s="545" t="s">
        <v>517</v>
      </c>
    </row>
    <row r="4" spans="2:21">
      <c r="B4" s="140" t="s">
        <v>378</v>
      </c>
      <c r="C4" s="137" t="s">
        <v>379</v>
      </c>
      <c r="D4" s="244">
        <v>1689</v>
      </c>
      <c r="E4" s="244">
        <v>1689</v>
      </c>
      <c r="F4" s="244"/>
      <c r="G4" s="244"/>
      <c r="H4" s="244"/>
      <c r="I4" s="286">
        <f>E4/D4-1</f>
        <v>0</v>
      </c>
      <c r="L4" s="539" t="s">
        <v>496</v>
      </c>
      <c r="M4" s="540">
        <v>33310</v>
      </c>
      <c r="N4" s="540">
        <v>959</v>
      </c>
      <c r="O4" s="539" t="s">
        <v>518</v>
      </c>
      <c r="P4" s="540">
        <v>5478</v>
      </c>
      <c r="Q4" s="540">
        <v>1305</v>
      </c>
      <c r="R4" s="546" t="s">
        <v>519</v>
      </c>
      <c r="S4" s="539">
        <v>50</v>
      </c>
      <c r="T4" s="540">
        <v>1598</v>
      </c>
      <c r="U4" s="546" t="s">
        <v>520</v>
      </c>
    </row>
    <row r="5" spans="2:21">
      <c r="B5" s="219"/>
      <c r="C5" s="141"/>
      <c r="D5" s="235"/>
      <c r="E5" s="235"/>
      <c r="F5" s="235"/>
      <c r="G5" s="235"/>
      <c r="H5" s="235"/>
      <c r="I5" s="235"/>
      <c r="L5" s="539" t="s">
        <v>497</v>
      </c>
      <c r="M5" s="540">
        <v>40264</v>
      </c>
      <c r="N5" s="540">
        <v>1389</v>
      </c>
      <c r="O5" s="539" t="s">
        <v>521</v>
      </c>
      <c r="P5" s="540">
        <v>5630</v>
      </c>
      <c r="Q5" s="540">
        <v>1779</v>
      </c>
      <c r="R5" s="546" t="s">
        <v>522</v>
      </c>
      <c r="S5" s="539">
        <v>-30</v>
      </c>
      <c r="T5" s="540">
        <v>1771</v>
      </c>
      <c r="U5" s="546" t="s">
        <v>523</v>
      </c>
    </row>
    <row r="6" spans="2:21">
      <c r="B6" s="217" t="s">
        <v>368</v>
      </c>
      <c r="C6" s="218"/>
      <c r="D6" s="246">
        <f>AVERAGE(D3:D4)</f>
        <v>1678.5</v>
      </c>
      <c r="E6" s="246">
        <f>AVERAGE(E3:E4)</f>
        <v>1659</v>
      </c>
      <c r="F6" s="246" t="e">
        <f>AVERAGE(F3:F4)</f>
        <v>#DIV/0!</v>
      </c>
      <c r="G6" s="246"/>
      <c r="H6" s="246"/>
      <c r="I6" s="287">
        <f>E6/D6-1</f>
        <v>-1.1617515638963405E-2</v>
      </c>
      <c r="L6" s="539" t="s">
        <v>498</v>
      </c>
      <c r="M6" s="540">
        <v>19203</v>
      </c>
      <c r="N6" s="540">
        <v>593</v>
      </c>
      <c r="O6" s="539" t="s">
        <v>524</v>
      </c>
      <c r="P6" s="540">
        <v>320</v>
      </c>
      <c r="Q6" s="540">
        <v>532</v>
      </c>
      <c r="R6" s="546" t="s">
        <v>525</v>
      </c>
      <c r="S6" s="539">
        <v>10</v>
      </c>
      <c r="T6" s="540">
        <v>1532</v>
      </c>
      <c r="U6" s="546" t="s">
        <v>526</v>
      </c>
    </row>
    <row r="7" spans="2:21">
      <c r="B7" s="137"/>
      <c r="C7" s="137"/>
      <c r="D7" s="216"/>
      <c r="L7" s="539" t="s">
        <v>499</v>
      </c>
      <c r="M7" s="540">
        <v>27494</v>
      </c>
      <c r="N7" s="540">
        <v>2532</v>
      </c>
      <c r="O7" s="539" t="s">
        <v>527</v>
      </c>
      <c r="P7" s="540">
        <v>7444</v>
      </c>
      <c r="Q7" s="540">
        <v>1441</v>
      </c>
      <c r="R7" s="546" t="s">
        <v>528</v>
      </c>
      <c r="S7" s="539">
        <v>60</v>
      </c>
      <c r="T7" s="540">
        <v>1493</v>
      </c>
      <c r="U7" s="546" t="s">
        <v>529</v>
      </c>
    </row>
    <row r="8" spans="2:21">
      <c r="B8" s="137"/>
      <c r="C8" s="137"/>
      <c r="D8" s="216"/>
      <c r="L8" s="539" t="s">
        <v>500</v>
      </c>
      <c r="M8" s="540">
        <v>41651</v>
      </c>
      <c r="N8" s="540">
        <v>1426</v>
      </c>
      <c r="O8" s="539" t="s">
        <v>530</v>
      </c>
      <c r="P8" s="540">
        <v>3351</v>
      </c>
      <c r="Q8" s="540">
        <v>1774</v>
      </c>
      <c r="R8" s="546" t="s">
        <v>531</v>
      </c>
      <c r="S8" s="539">
        <v>0</v>
      </c>
      <c r="T8" s="540">
        <v>1492</v>
      </c>
      <c r="U8" s="546" t="s">
        <v>532</v>
      </c>
    </row>
    <row r="9" spans="2:21">
      <c r="L9" s="539" t="s">
        <v>501</v>
      </c>
      <c r="M9" s="540">
        <v>32612</v>
      </c>
      <c r="N9" s="540">
        <v>1960</v>
      </c>
      <c r="O9" s="539" t="s">
        <v>531</v>
      </c>
      <c r="P9" s="540">
        <v>4947</v>
      </c>
      <c r="Q9" s="540">
        <v>34</v>
      </c>
      <c r="R9" s="546" t="s">
        <v>533</v>
      </c>
      <c r="S9" s="539">
        <v>-10</v>
      </c>
      <c r="T9" s="540">
        <v>1779</v>
      </c>
      <c r="U9" s="546" t="s">
        <v>534</v>
      </c>
    </row>
    <row r="10" spans="2:21">
      <c r="B10" s="289"/>
      <c r="C10" s="290"/>
      <c r="D10" s="290" t="s">
        <v>421</v>
      </c>
      <c r="E10" s="434">
        <v>45261</v>
      </c>
      <c r="F10" s="434">
        <v>44986</v>
      </c>
      <c r="G10" s="434">
        <v>45473</v>
      </c>
      <c r="H10" s="434">
        <v>45565</v>
      </c>
      <c r="I10" s="291" t="s">
        <v>337</v>
      </c>
      <c r="L10" s="539" t="s">
        <v>502</v>
      </c>
      <c r="M10" s="540">
        <v>39932</v>
      </c>
      <c r="N10" s="540">
        <v>2011</v>
      </c>
      <c r="O10" s="539" t="s">
        <v>522</v>
      </c>
      <c r="P10" s="540">
        <v>3991</v>
      </c>
      <c r="Q10" s="540">
        <v>308</v>
      </c>
      <c r="R10" s="546" t="s">
        <v>535</v>
      </c>
      <c r="S10" s="539">
        <v>70</v>
      </c>
      <c r="T10" s="540">
        <v>1510</v>
      </c>
      <c r="U10" s="546" t="s">
        <v>536</v>
      </c>
    </row>
    <row r="11" spans="2:21">
      <c r="B11" s="292" t="s">
        <v>456</v>
      </c>
      <c r="C11" s="293"/>
      <c r="D11" s="157">
        <v>1668</v>
      </c>
      <c r="E11" s="157">
        <v>1629</v>
      </c>
      <c r="F11" s="157">
        <v>1614</v>
      </c>
      <c r="G11" s="157">
        <v>1643</v>
      </c>
      <c r="H11" s="548">
        <f>T3</f>
        <v>1642</v>
      </c>
      <c r="I11" s="294">
        <f t="shared" ref="I11:I18" si="0">IFERROR(H11/G11-1,0%)</f>
        <v>-6.0864272671945496E-4</v>
      </c>
      <c r="L11" s="539" t="s">
        <v>503</v>
      </c>
      <c r="M11" s="540">
        <v>27759</v>
      </c>
      <c r="N11" s="540">
        <v>1930</v>
      </c>
      <c r="O11" s="539" t="s">
        <v>537</v>
      </c>
      <c r="P11" s="540">
        <v>574</v>
      </c>
      <c r="Q11" s="540">
        <v>1317</v>
      </c>
      <c r="R11" s="546" t="s">
        <v>522</v>
      </c>
      <c r="S11" s="539">
        <v>-60</v>
      </c>
      <c r="T11" s="540">
        <v>1963</v>
      </c>
      <c r="U11" s="546" t="s">
        <v>517</v>
      </c>
    </row>
    <row r="12" spans="2:21">
      <c r="B12" s="295" t="s">
        <v>424</v>
      </c>
      <c r="C12" s="293"/>
      <c r="D12" s="293"/>
      <c r="E12" s="296">
        <v>12181</v>
      </c>
      <c r="F12" s="296">
        <v>12196</v>
      </c>
      <c r="G12" s="296">
        <v>12196</v>
      </c>
      <c r="H12" s="549">
        <f>M3</f>
        <v>12362</v>
      </c>
      <c r="I12" s="294">
        <f t="shared" si="0"/>
        <v>1.361102000655956E-2</v>
      </c>
      <c r="L12" s="539" t="s">
        <v>504</v>
      </c>
      <c r="M12" s="540">
        <v>36694</v>
      </c>
      <c r="N12" s="540">
        <v>1363</v>
      </c>
      <c r="O12" s="539" t="s">
        <v>538</v>
      </c>
      <c r="P12" s="540">
        <v>3780</v>
      </c>
      <c r="Q12" s="540">
        <v>838</v>
      </c>
      <c r="R12" s="546" t="s">
        <v>539</v>
      </c>
      <c r="S12" s="539">
        <v>20</v>
      </c>
      <c r="T12" s="540">
        <v>1887</v>
      </c>
      <c r="U12" s="546" t="s">
        <v>526</v>
      </c>
    </row>
    <row r="13" spans="2:21">
      <c r="B13" s="297" t="s">
        <v>426</v>
      </c>
      <c r="C13" s="298"/>
      <c r="D13" s="298"/>
      <c r="E13" s="309">
        <f>E12*E14</f>
        <v>791.76499999999999</v>
      </c>
      <c r="F13" s="309">
        <f>F12*F14</f>
        <v>829.32800000000009</v>
      </c>
      <c r="G13" s="309">
        <f>G12*G14</f>
        <v>731.76</v>
      </c>
      <c r="H13" s="309">
        <f>H12*H14</f>
        <v>704.63400000000001</v>
      </c>
      <c r="I13" s="300">
        <f t="shared" si="0"/>
        <v>-3.7069530993768418E-2</v>
      </c>
      <c r="L13" s="539" t="s">
        <v>505</v>
      </c>
      <c r="M13" s="540">
        <v>41296</v>
      </c>
      <c r="N13" s="540">
        <v>1998</v>
      </c>
      <c r="O13" s="539" t="s">
        <v>540</v>
      </c>
      <c r="P13" s="540">
        <v>4026</v>
      </c>
      <c r="Q13" s="540">
        <v>2097</v>
      </c>
      <c r="R13" s="546" t="s">
        <v>541</v>
      </c>
      <c r="S13" s="539">
        <v>40</v>
      </c>
      <c r="T13" s="540">
        <v>1379</v>
      </c>
      <c r="U13" s="546" t="s">
        <v>529</v>
      </c>
    </row>
    <row r="14" spans="2:21">
      <c r="B14" s="297" t="s">
        <v>425</v>
      </c>
      <c r="C14" s="298"/>
      <c r="D14" s="298"/>
      <c r="E14" s="436">
        <v>6.5000000000000002E-2</v>
      </c>
      <c r="F14" s="436">
        <v>6.8000000000000005E-2</v>
      </c>
      <c r="G14" s="436">
        <v>0.06</v>
      </c>
      <c r="H14" s="550" t="str">
        <f>R3</f>
        <v>5.7%</v>
      </c>
      <c r="I14" s="300">
        <f t="shared" si="0"/>
        <v>-4.9999999999999933E-2</v>
      </c>
      <c r="L14" s="541" t="s">
        <v>506</v>
      </c>
      <c r="M14" s="542">
        <v>352577</v>
      </c>
      <c r="N14" s="542">
        <v>16327</v>
      </c>
      <c r="O14" s="541" t="s">
        <v>542</v>
      </c>
      <c r="P14" s="542">
        <v>40683</v>
      </c>
      <c r="Q14" s="542">
        <v>11850</v>
      </c>
      <c r="R14" s="547" t="s">
        <v>543</v>
      </c>
      <c r="S14" s="541">
        <v>10</v>
      </c>
      <c r="T14" s="542">
        <v>1635</v>
      </c>
      <c r="U14" s="547" t="s">
        <v>517</v>
      </c>
    </row>
    <row r="15" spans="2:21">
      <c r="B15" s="297" t="s">
        <v>427</v>
      </c>
      <c r="C15" s="298"/>
      <c r="D15" s="298"/>
      <c r="E15" s="299">
        <v>-31</v>
      </c>
      <c r="F15" s="299">
        <v>63</v>
      </c>
      <c r="G15" s="299">
        <v>19</v>
      </c>
      <c r="H15" s="309">
        <f>H16-G16</f>
        <v>84</v>
      </c>
      <c r="I15" s="300">
        <f t="shared" si="0"/>
        <v>3.4210526315789478</v>
      </c>
    </row>
    <row r="16" spans="2:21">
      <c r="B16" s="297" t="s">
        <v>428</v>
      </c>
      <c r="C16" s="298"/>
      <c r="D16" s="298"/>
      <c r="E16" s="299">
        <v>-131</v>
      </c>
      <c r="F16" s="299">
        <v>63</v>
      </c>
      <c r="G16" s="299">
        <v>341</v>
      </c>
      <c r="H16" s="551">
        <f>Q3</f>
        <v>425</v>
      </c>
      <c r="I16" s="300">
        <f t="shared" si="0"/>
        <v>0.24633431085043989</v>
      </c>
    </row>
    <row r="17" spans="2:12">
      <c r="B17" s="301" t="s">
        <v>429</v>
      </c>
      <c r="C17" s="302"/>
      <c r="D17" s="302"/>
      <c r="E17" s="303">
        <v>834</v>
      </c>
      <c r="F17" s="303">
        <v>834</v>
      </c>
      <c r="G17" s="303">
        <v>1136</v>
      </c>
      <c r="H17" s="552">
        <f>P3</f>
        <v>1142</v>
      </c>
      <c r="I17" s="304">
        <f t="shared" si="0"/>
        <v>5.2816901408450079E-3</v>
      </c>
    </row>
    <row r="18" spans="2:12">
      <c r="B18" s="301" t="s">
        <v>430</v>
      </c>
      <c r="C18" s="302"/>
      <c r="D18" s="302"/>
      <c r="E18" s="303">
        <v>1111</v>
      </c>
      <c r="F18" s="303">
        <v>1558</v>
      </c>
      <c r="G18" s="303">
        <v>1478</v>
      </c>
      <c r="H18" s="303"/>
      <c r="I18" s="304">
        <f t="shared" si="0"/>
        <v>-1</v>
      </c>
    </row>
    <row r="19" spans="2:12">
      <c r="B19" s="301" t="s">
        <v>422</v>
      </c>
      <c r="C19" s="302"/>
      <c r="D19" s="302"/>
      <c r="E19" s="435">
        <f>((E17+E12)/E12)-1</f>
        <v>6.8467285116164511E-2</v>
      </c>
      <c r="F19" s="435">
        <f>((F17+F12)/F12)-1</f>
        <v>6.8383076418497835E-2</v>
      </c>
      <c r="G19" s="435">
        <f>((G17+G12)/G12)-1</f>
        <v>9.3145293538865248E-2</v>
      </c>
      <c r="H19" s="435">
        <f>((H17+H12)/H12)-1</f>
        <v>9.2379873806827328E-2</v>
      </c>
      <c r="I19" s="304"/>
    </row>
    <row r="20" spans="2:12">
      <c r="B20" s="305" t="s">
        <v>423</v>
      </c>
      <c r="C20" s="306"/>
      <c r="D20" s="306"/>
      <c r="E20" s="306"/>
      <c r="F20" s="306"/>
      <c r="G20" s="306"/>
      <c r="H20" s="306"/>
      <c r="I20" s="307"/>
    </row>
    <row r="21" spans="2:12">
      <c r="B21" s="1357" t="s">
        <v>545</v>
      </c>
      <c r="C21" s="1358"/>
      <c r="D21" s="1358"/>
      <c r="E21" s="1358"/>
      <c r="F21" s="1358"/>
      <c r="G21" s="1358"/>
      <c r="H21" s="1358"/>
      <c r="I21" s="1359"/>
    </row>
    <row r="22" spans="2:12">
      <c r="B22" s="1357"/>
      <c r="C22" s="1358"/>
      <c r="D22" s="1358"/>
      <c r="E22" s="1358"/>
      <c r="F22" s="1358"/>
      <c r="G22" s="1358"/>
      <c r="H22" s="1358"/>
      <c r="I22" s="1359"/>
    </row>
    <row r="23" spans="2:12">
      <c r="B23" s="308" t="s">
        <v>546</v>
      </c>
      <c r="C23" s="306"/>
      <c r="D23" s="306"/>
      <c r="E23" s="306"/>
      <c r="F23" s="306"/>
      <c r="G23" s="306"/>
      <c r="H23" s="306"/>
      <c r="I23" s="307"/>
    </row>
    <row r="24" spans="2:12">
      <c r="B24" s="1357" t="s">
        <v>547</v>
      </c>
      <c r="C24" s="1358"/>
      <c r="D24" s="1358"/>
      <c r="E24" s="1358"/>
      <c r="F24" s="1358"/>
      <c r="G24" s="1358"/>
      <c r="H24" s="1358"/>
      <c r="I24" s="1359"/>
    </row>
    <row r="25" spans="2:12">
      <c r="B25" s="1360"/>
      <c r="C25" s="1361"/>
      <c r="D25" s="1361"/>
      <c r="E25" s="1361"/>
      <c r="F25" s="1361"/>
      <c r="G25" s="1361"/>
      <c r="H25" s="1361"/>
      <c r="I25" s="1362"/>
    </row>
    <row r="29" spans="2:12">
      <c r="L29" s="537"/>
    </row>
    <row r="31" spans="2:12">
      <c r="L31" s="65"/>
    </row>
    <row r="32" spans="2:12">
      <c r="L32" s="537"/>
    </row>
    <row r="34" spans="12:12">
      <c r="L34" s="65"/>
    </row>
    <row r="36" spans="12:12">
      <c r="L36" s="361"/>
    </row>
    <row r="38" spans="12:12">
      <c r="L38" s="65"/>
    </row>
    <row r="40" spans="12:12">
      <c r="L40" s="537"/>
    </row>
    <row r="42" spans="12:12">
      <c r="L42" s="65"/>
    </row>
    <row r="43" spans="12:12">
      <c r="L43" s="537"/>
    </row>
    <row r="44" spans="12:12">
      <c r="L44" s="537"/>
    </row>
    <row r="45" spans="12:12">
      <c r="L45" s="65"/>
    </row>
    <row r="47" spans="12:12">
      <c r="L47" s="361"/>
    </row>
    <row r="49" spans="12:12">
      <c r="L49" s="65"/>
    </row>
    <row r="51" spans="12:12">
      <c r="L51" s="537"/>
    </row>
    <row r="52" spans="12:12">
      <c r="L52" s="537"/>
    </row>
    <row r="53" spans="12:12">
      <c r="L53" s="65"/>
    </row>
    <row r="54" spans="12:12">
      <c r="L54" s="537"/>
    </row>
    <row r="55" spans="12:12">
      <c r="L55" s="537"/>
    </row>
    <row r="56" spans="12:12">
      <c r="L56" s="65"/>
    </row>
    <row r="60" spans="12:12">
      <c r="L60" s="65"/>
    </row>
    <row r="62" spans="12:12">
      <c r="L62" s="537"/>
    </row>
    <row r="64" spans="12:12">
      <c r="L64" s="65"/>
    </row>
    <row r="67" spans="12:12">
      <c r="L67" s="65"/>
    </row>
    <row r="69" spans="12:12">
      <c r="L69" s="361"/>
    </row>
    <row r="71" spans="12:12">
      <c r="L71" s="65"/>
    </row>
    <row r="73" spans="12:12">
      <c r="L73" s="537"/>
    </row>
    <row r="74" spans="12:12">
      <c r="L74" s="537"/>
    </row>
    <row r="75" spans="12:12">
      <c r="L75" s="65"/>
    </row>
    <row r="76" spans="12:12">
      <c r="L76" s="537"/>
    </row>
    <row r="77" spans="12:12">
      <c r="L77" s="537"/>
    </row>
    <row r="78" spans="12:12">
      <c r="L78" s="65"/>
    </row>
    <row r="80" spans="12:12">
      <c r="L80" s="361"/>
    </row>
    <row r="82" spans="12:12">
      <c r="L82" s="65"/>
    </row>
    <row r="84" spans="12:12">
      <c r="L84" s="537"/>
    </row>
    <row r="85" spans="12:12">
      <c r="L85" s="537"/>
    </row>
    <row r="86" spans="12:12">
      <c r="L86" s="65"/>
    </row>
    <row r="87" spans="12:12">
      <c r="L87" s="537"/>
    </row>
    <row r="88" spans="12:12">
      <c r="L88" s="537"/>
    </row>
    <row r="89" spans="12:12">
      <c r="L89" s="65"/>
    </row>
    <row r="91" spans="12:12">
      <c r="L91" s="361"/>
    </row>
    <row r="93" spans="12:12">
      <c r="L93" s="65"/>
    </row>
    <row r="95" spans="12:12">
      <c r="L95" s="537"/>
    </row>
    <row r="96" spans="12:12">
      <c r="L96" s="537"/>
    </row>
    <row r="97" spans="12:12">
      <c r="L97" s="65"/>
    </row>
    <row r="98" spans="12:12">
      <c r="L98" s="537"/>
    </row>
    <row r="100" spans="12:12">
      <c r="L100" s="65"/>
    </row>
    <row r="104" spans="12:12">
      <c r="L104" s="65"/>
    </row>
    <row r="106" spans="12:12">
      <c r="L106" s="537"/>
    </row>
    <row r="107" spans="12:12">
      <c r="L107" s="537"/>
    </row>
    <row r="108" spans="12:12">
      <c r="L108" s="65"/>
    </row>
    <row r="109" spans="12:12">
      <c r="L109" s="537"/>
    </row>
    <row r="111" spans="12:12">
      <c r="L111" s="65"/>
    </row>
    <row r="113" spans="12:12">
      <c r="L113" s="361"/>
    </row>
    <row r="115" spans="12:12">
      <c r="L115" s="65"/>
    </row>
    <row r="117" spans="12:12">
      <c r="L117" s="537"/>
    </row>
    <row r="118" spans="12:12">
      <c r="L118" s="537"/>
    </row>
    <row r="119" spans="12:12">
      <c r="L119" s="65"/>
    </row>
    <row r="121" spans="12:12">
      <c r="L121" s="537"/>
    </row>
    <row r="122" spans="12:12">
      <c r="L122" s="65"/>
    </row>
    <row r="126" spans="12:12">
      <c r="L126" s="65"/>
    </row>
    <row r="128" spans="12:12">
      <c r="L128" s="537"/>
    </row>
    <row r="129" spans="12:12">
      <c r="L129" s="537"/>
    </row>
    <row r="130" spans="12:12">
      <c r="L130" s="65"/>
    </row>
    <row r="131" spans="12:12">
      <c r="L131" s="537"/>
    </row>
    <row r="133" spans="12:12">
      <c r="L133" s="65"/>
    </row>
    <row r="135" spans="12:12">
      <c r="L135" s="361"/>
    </row>
    <row r="137" spans="12:12">
      <c r="L137" s="65"/>
    </row>
    <row r="139" spans="12:12">
      <c r="L139" s="537"/>
    </row>
    <row r="140" spans="12:12">
      <c r="L140" s="537"/>
    </row>
    <row r="141" spans="12:12">
      <c r="L141" s="65"/>
    </row>
    <row r="142" spans="12:12">
      <c r="L142" s="537"/>
    </row>
    <row r="143" spans="12:12">
      <c r="L143" s="537"/>
    </row>
    <row r="144" spans="12:12">
      <c r="L144" s="65"/>
    </row>
    <row r="146" spans="12:12">
      <c r="L146" s="361"/>
    </row>
    <row r="148" spans="12:12">
      <c r="L148" s="65"/>
    </row>
    <row r="150" spans="12:12">
      <c r="L150" s="537"/>
    </row>
    <row r="151" spans="12:12">
      <c r="L151" s="537"/>
    </row>
    <row r="153" spans="12:12">
      <c r="L153" s="537"/>
    </row>
    <row r="154" spans="12:12">
      <c r="L154" s="537"/>
    </row>
    <row r="157" spans="12:12">
      <c r="L157" s="361"/>
    </row>
    <row r="159" spans="12:12">
      <c r="L159" s="65"/>
    </row>
  </sheetData>
  <mergeCells count="2">
    <mergeCell ref="B21:I22"/>
    <mergeCell ref="B24:I2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A161-F13A-44AA-8152-18A2CFD5A4A7}">
  <dimension ref="D3:K284"/>
  <sheetViews>
    <sheetView workbookViewId="0">
      <selection activeCell="F14" sqref="F14"/>
    </sheetView>
  </sheetViews>
  <sheetFormatPr defaultColWidth="9" defaultRowHeight="12.75" outlineLevelCol="1"/>
  <cols>
    <col min="1" max="3" width="9" style="901"/>
    <col min="4" max="4" width="36.28515625" style="901" customWidth="1"/>
    <col min="5" max="5" width="26" style="901" customWidth="1" outlineLevel="1"/>
    <col min="6" max="6" width="26" style="901" bestFit="1" customWidth="1"/>
    <col min="7" max="7" width="9" style="901" customWidth="1"/>
    <col min="8" max="8" width="26" style="901" bestFit="1" customWidth="1"/>
    <col min="9" max="16384" width="9" style="901"/>
  </cols>
  <sheetData>
    <row r="3" spans="4:11">
      <c r="D3" s="908" t="s">
        <v>323</v>
      </c>
      <c r="E3" s="910" t="s">
        <v>1732</v>
      </c>
      <c r="H3" s="909" t="s">
        <v>1733</v>
      </c>
    </row>
    <row r="4" spans="4:11">
      <c r="D4" s="892" t="s">
        <v>327</v>
      </c>
      <c r="E4" s="911"/>
      <c r="H4" s="920" t="s">
        <v>1756</v>
      </c>
      <c r="K4" s="37" t="s">
        <v>26</v>
      </c>
    </row>
    <row r="5" spans="4:11" ht="13.35" customHeight="1">
      <c r="D5" s="894" t="s">
        <v>1629</v>
      </c>
      <c r="E5" s="1145"/>
      <c r="H5" s="920" t="s">
        <v>1757</v>
      </c>
      <c r="K5" s="43" t="s">
        <v>27</v>
      </c>
    </row>
    <row r="6" spans="4:11" ht="12.95" customHeight="1">
      <c r="D6" s="907" t="s">
        <v>327</v>
      </c>
      <c r="E6" s="1145"/>
      <c r="H6" s="920" t="s">
        <v>1758</v>
      </c>
      <c r="K6" s="44" t="s">
        <v>28</v>
      </c>
    </row>
    <row r="7" spans="4:11" ht="12.95" customHeight="1">
      <c r="D7" s="890" t="s">
        <v>1631</v>
      </c>
      <c r="E7" s="919" t="s">
        <v>1756</v>
      </c>
      <c r="F7" s="901" t="s">
        <v>26</v>
      </c>
      <c r="H7" s="920" t="s">
        <v>1736</v>
      </c>
      <c r="K7" s="37" t="s">
        <v>29</v>
      </c>
    </row>
    <row r="8" spans="4:11" ht="12.95" customHeight="1">
      <c r="D8" s="890" t="s">
        <v>1632</v>
      </c>
      <c r="E8" s="919" t="s">
        <v>1756</v>
      </c>
      <c r="F8" s="901" t="s">
        <v>26</v>
      </c>
      <c r="H8" s="920" t="s">
        <v>1737</v>
      </c>
      <c r="K8" s="37" t="s">
        <v>2170</v>
      </c>
    </row>
    <row r="9" spans="4:11" ht="12.95" customHeight="1">
      <c r="D9" s="907" t="s">
        <v>327</v>
      </c>
      <c r="E9" s="919"/>
      <c r="H9" s="920" t="s">
        <v>1738</v>
      </c>
      <c r="K9" s="37" t="s">
        <v>30</v>
      </c>
    </row>
    <row r="10" spans="4:11" ht="13.35" customHeight="1">
      <c r="D10" s="894" t="s">
        <v>1633</v>
      </c>
      <c r="E10" s="919"/>
      <c r="H10" s="920" t="s">
        <v>64</v>
      </c>
      <c r="K10" s="37" t="s">
        <v>31</v>
      </c>
    </row>
    <row r="11" spans="4:11" ht="12.95" customHeight="1">
      <c r="D11" s="907" t="s">
        <v>327</v>
      </c>
      <c r="E11" s="919"/>
      <c r="H11" s="920" t="s">
        <v>674</v>
      </c>
      <c r="K11" s="33"/>
    </row>
    <row r="12" spans="4:11" ht="13.35" customHeight="1">
      <c r="D12" s="894" t="s">
        <v>1634</v>
      </c>
      <c r="E12" s="919"/>
      <c r="H12" s="920" t="s">
        <v>675</v>
      </c>
      <c r="K12" s="46" t="s">
        <v>32</v>
      </c>
    </row>
    <row r="13" spans="4:11" ht="12.95" customHeight="1">
      <c r="D13" s="890" t="s">
        <v>1636</v>
      </c>
      <c r="E13" s="919" t="s">
        <v>1757</v>
      </c>
      <c r="F13" s="901" t="s">
        <v>27</v>
      </c>
      <c r="H13" s="920" t="s">
        <v>1759</v>
      </c>
      <c r="K13" s="919" t="s">
        <v>1762</v>
      </c>
    </row>
    <row r="14" spans="4:11" ht="12.95" customHeight="1">
      <c r="D14" s="890" t="s">
        <v>2278</v>
      </c>
      <c r="E14" s="919" t="s">
        <v>1757</v>
      </c>
      <c r="F14" s="901" t="s">
        <v>27</v>
      </c>
      <c r="H14" s="920" t="s">
        <v>1760</v>
      </c>
      <c r="K14" s="919" t="s">
        <v>1903</v>
      </c>
    </row>
    <row r="15" spans="4:11" ht="12.95" customHeight="1">
      <c r="D15" s="1085" t="s">
        <v>1637</v>
      </c>
      <c r="E15" s="919" t="s">
        <v>1756</v>
      </c>
      <c r="F15" s="901" t="s">
        <v>26</v>
      </c>
      <c r="H15" s="920" t="s">
        <v>1740</v>
      </c>
      <c r="K15" s="34" t="s">
        <v>34</v>
      </c>
    </row>
    <row r="16" spans="4:11" ht="12.95" customHeight="1">
      <c r="D16" s="1085" t="s">
        <v>1779</v>
      </c>
      <c r="E16" s="919" t="s">
        <v>1756</v>
      </c>
      <c r="F16" s="901" t="s">
        <v>26</v>
      </c>
      <c r="H16" s="920" t="s">
        <v>1741</v>
      </c>
      <c r="K16" s="37" t="s">
        <v>35</v>
      </c>
    </row>
    <row r="17" spans="4:11" ht="12.95" customHeight="1">
      <c r="D17" s="890" t="s">
        <v>1780</v>
      </c>
      <c r="E17" s="919" t="s">
        <v>1756</v>
      </c>
      <c r="F17" s="901" t="s">
        <v>26</v>
      </c>
      <c r="H17" s="920" t="s">
        <v>1761</v>
      </c>
      <c r="K17" s="37" t="s">
        <v>36</v>
      </c>
    </row>
    <row r="18" spans="4:11" ht="12.95" customHeight="1">
      <c r="D18" s="890" t="s">
        <v>1638</v>
      </c>
      <c r="E18" s="919" t="s">
        <v>1756</v>
      </c>
      <c r="F18" s="901" t="s">
        <v>26</v>
      </c>
      <c r="H18" s="920" t="s">
        <v>1742</v>
      </c>
      <c r="K18" s="41" t="s">
        <v>37</v>
      </c>
    </row>
    <row r="19" spans="4:11" ht="12.95" customHeight="1">
      <c r="D19" s="907" t="s">
        <v>1639</v>
      </c>
      <c r="E19" s="919" t="s">
        <v>1756</v>
      </c>
      <c r="F19" s="901" t="s">
        <v>26</v>
      </c>
      <c r="H19" s="920" t="s">
        <v>1743</v>
      </c>
      <c r="K19" s="41" t="s">
        <v>38</v>
      </c>
    </row>
    <row r="20" spans="4:11" ht="13.35" customHeight="1">
      <c r="D20" s="894" t="s">
        <v>327</v>
      </c>
      <c r="E20" s="919"/>
      <c r="H20" s="920" t="s">
        <v>1744</v>
      </c>
      <c r="K20" s="37" t="s">
        <v>39</v>
      </c>
    </row>
    <row r="21" spans="4:11" ht="12.95" customHeight="1">
      <c r="D21" s="907" t="s">
        <v>1640</v>
      </c>
      <c r="E21" s="919"/>
      <c r="H21" s="920" t="s">
        <v>1745</v>
      </c>
      <c r="K21" s="37" t="s">
        <v>40</v>
      </c>
    </row>
    <row r="22" spans="4:11" ht="13.35" customHeight="1">
      <c r="D22" s="894" t="s">
        <v>327</v>
      </c>
      <c r="E22" s="919"/>
      <c r="H22" s="920" t="s">
        <v>1746</v>
      </c>
      <c r="K22" s="41" t="s">
        <v>41</v>
      </c>
    </row>
    <row r="23" spans="4:11" ht="12.95" customHeight="1">
      <c r="D23" s="907" t="s">
        <v>1641</v>
      </c>
      <c r="E23" s="919"/>
      <c r="H23" s="920" t="s">
        <v>1762</v>
      </c>
      <c r="K23" s="37" t="s">
        <v>42</v>
      </c>
    </row>
    <row r="24" spans="4:11" ht="12.95" customHeight="1">
      <c r="D24" s="890" t="s">
        <v>327</v>
      </c>
      <c r="E24" s="919"/>
      <c r="H24" s="921" t="s">
        <v>1903</v>
      </c>
      <c r="K24" s="37" t="s">
        <v>43</v>
      </c>
    </row>
    <row r="25" spans="4:11" ht="12.95" customHeight="1">
      <c r="D25" s="907" t="s">
        <v>1642</v>
      </c>
      <c r="E25" s="919" t="s">
        <v>64</v>
      </c>
      <c r="F25" s="901" t="s">
        <v>31</v>
      </c>
      <c r="K25" s="37" t="s">
        <v>44</v>
      </c>
    </row>
    <row r="26" spans="4:11" ht="13.35" customHeight="1">
      <c r="D26" s="894" t="s">
        <v>327</v>
      </c>
      <c r="E26" s="919"/>
      <c r="K26" s="37" t="s">
        <v>45</v>
      </c>
    </row>
    <row r="27" spans="4:11" ht="12.95" customHeight="1">
      <c r="D27" s="907" t="s">
        <v>1643</v>
      </c>
      <c r="E27" s="919"/>
    </row>
    <row r="28" spans="4:11" ht="13.35" customHeight="1">
      <c r="D28" s="894" t="s">
        <v>327</v>
      </c>
      <c r="E28" s="919"/>
    </row>
    <row r="29" spans="4:11" ht="12.95" customHeight="1">
      <c r="D29" s="907" t="s">
        <v>1644</v>
      </c>
    </row>
    <row r="30" spans="4:11" ht="13.35" customHeight="1">
      <c r="D30" s="894" t="s">
        <v>327</v>
      </c>
    </row>
    <row r="31" spans="4:11" ht="12.95" customHeight="1">
      <c r="D31" s="890" t="s">
        <v>1645</v>
      </c>
      <c r="E31" s="919"/>
    </row>
    <row r="32" spans="4:11" ht="12.95" customHeight="1">
      <c r="D32" s="890" t="s">
        <v>1646</v>
      </c>
      <c r="E32" s="919" t="s">
        <v>64</v>
      </c>
      <c r="F32" s="901" t="s">
        <v>31</v>
      </c>
      <c r="K32" s="919"/>
    </row>
    <row r="33" spans="4:11" ht="12.95" customHeight="1">
      <c r="D33" s="890" t="s">
        <v>1647</v>
      </c>
      <c r="E33" s="919" t="s">
        <v>64</v>
      </c>
      <c r="F33" s="901" t="s">
        <v>31</v>
      </c>
      <c r="K33" s="919"/>
    </row>
    <row r="34" spans="4:11" ht="12.95" customHeight="1">
      <c r="D34" s="890" t="s">
        <v>1648</v>
      </c>
      <c r="E34" s="919" t="s">
        <v>64</v>
      </c>
      <c r="F34" s="901" t="s">
        <v>31</v>
      </c>
    </row>
    <row r="35" spans="4:11" ht="12.95" customHeight="1">
      <c r="D35" s="890" t="s">
        <v>1649</v>
      </c>
      <c r="E35" s="919" t="s">
        <v>64</v>
      </c>
      <c r="F35" s="901" t="s">
        <v>31</v>
      </c>
    </row>
    <row r="36" spans="4:11" ht="12.95" customHeight="1">
      <c r="D36" s="890" t="s">
        <v>1650</v>
      </c>
      <c r="E36" s="919" t="s">
        <v>64</v>
      </c>
      <c r="F36" s="901" t="s">
        <v>31</v>
      </c>
    </row>
    <row r="37" spans="4:11" ht="12.95" customHeight="1">
      <c r="D37" s="890" t="s">
        <v>1781</v>
      </c>
      <c r="E37" s="919" t="s">
        <v>64</v>
      </c>
      <c r="F37" s="901" t="s">
        <v>31</v>
      </c>
    </row>
    <row r="38" spans="4:11" ht="12.95" customHeight="1">
      <c r="D38" s="890" t="s">
        <v>1651</v>
      </c>
      <c r="E38" s="919" t="s">
        <v>64</v>
      </c>
      <c r="F38" s="901" t="s">
        <v>31</v>
      </c>
    </row>
    <row r="39" spans="4:11" ht="12.95" customHeight="1">
      <c r="D39" s="890" t="s">
        <v>1782</v>
      </c>
      <c r="E39" s="919" t="s">
        <v>64</v>
      </c>
      <c r="F39" s="901" t="s">
        <v>31</v>
      </c>
    </row>
    <row r="40" spans="4:11" ht="12.95" customHeight="1">
      <c r="D40" s="890" t="s">
        <v>1652</v>
      </c>
      <c r="E40" s="919" t="s">
        <v>64</v>
      </c>
      <c r="F40" s="901" t="s">
        <v>31</v>
      </c>
    </row>
    <row r="41" spans="4:11" ht="12.95" customHeight="1">
      <c r="D41" s="890" t="s">
        <v>1653</v>
      </c>
      <c r="E41" s="919" t="s">
        <v>64</v>
      </c>
      <c r="F41" s="901" t="s">
        <v>31</v>
      </c>
    </row>
    <row r="42" spans="4:11" ht="12.95" customHeight="1">
      <c r="D42" s="890" t="s">
        <v>1957</v>
      </c>
      <c r="E42" s="919" t="s">
        <v>64</v>
      </c>
      <c r="F42" s="901" t="s">
        <v>31</v>
      </c>
    </row>
    <row r="43" spans="4:11" ht="12.95" customHeight="1">
      <c r="D43" s="890" t="s">
        <v>1654</v>
      </c>
      <c r="E43" s="919" t="s">
        <v>64</v>
      </c>
      <c r="F43" s="901" t="s">
        <v>31</v>
      </c>
    </row>
    <row r="44" spans="4:11" ht="12.95" customHeight="1">
      <c r="D44" s="890" t="s">
        <v>1655</v>
      </c>
      <c r="E44" s="919" t="s">
        <v>64</v>
      </c>
      <c r="F44" s="901" t="s">
        <v>31</v>
      </c>
    </row>
    <row r="45" spans="4:11" ht="12.95" customHeight="1">
      <c r="D45" s="890" t="s">
        <v>2279</v>
      </c>
      <c r="E45" s="919" t="s">
        <v>64</v>
      </c>
      <c r="F45" s="901" t="s">
        <v>31</v>
      </c>
    </row>
    <row r="46" spans="4:11" ht="12.95" customHeight="1">
      <c r="D46" s="890" t="s">
        <v>1656</v>
      </c>
      <c r="E46" s="919" t="s">
        <v>64</v>
      </c>
      <c r="F46" s="901" t="s">
        <v>31</v>
      </c>
    </row>
    <row r="47" spans="4:11" ht="12.95" customHeight="1">
      <c r="D47" s="890" t="s">
        <v>1958</v>
      </c>
      <c r="E47" s="919" t="s">
        <v>64</v>
      </c>
      <c r="F47" s="901" t="s">
        <v>31</v>
      </c>
    </row>
    <row r="48" spans="4:11" ht="12.95" customHeight="1">
      <c r="D48" s="907" t="s">
        <v>1657</v>
      </c>
      <c r="E48" s="919" t="s">
        <v>64</v>
      </c>
      <c r="F48" s="901" t="s">
        <v>31</v>
      </c>
    </row>
    <row r="49" spans="4:7" ht="13.35" customHeight="1">
      <c r="D49" s="894" t="s">
        <v>1658</v>
      </c>
      <c r="E49" s="919" t="s">
        <v>64</v>
      </c>
      <c r="F49" s="901" t="s">
        <v>31</v>
      </c>
    </row>
    <row r="50" spans="4:7" ht="12.95" customHeight="1">
      <c r="D50" s="907" t="s">
        <v>1659</v>
      </c>
      <c r="E50" s="919" t="s">
        <v>64</v>
      </c>
      <c r="F50" s="901" t="s">
        <v>31</v>
      </c>
    </row>
    <row r="51" spans="4:7" ht="13.35" customHeight="1">
      <c r="D51" s="894" t="s">
        <v>1660</v>
      </c>
      <c r="E51" s="919" t="s">
        <v>1738</v>
      </c>
      <c r="F51" s="901" t="s">
        <v>30</v>
      </c>
    </row>
    <row r="52" spans="4:7" ht="13.35" customHeight="1">
      <c r="D52" s="894" t="s">
        <v>1783</v>
      </c>
      <c r="E52" s="919" t="s">
        <v>1738</v>
      </c>
      <c r="F52" s="901" t="s">
        <v>30</v>
      </c>
    </row>
    <row r="53" spans="4:7" ht="13.35" customHeight="1">
      <c r="D53" s="894" t="s">
        <v>1661</v>
      </c>
      <c r="E53" s="919" t="s">
        <v>1736</v>
      </c>
      <c r="F53" s="901" t="s">
        <v>31</v>
      </c>
      <c r="G53" s="901" t="str">
        <f>_xlfn.XLOOKUP(D53,'[4]Operating Statement'!$B:$B,'[4]Operating Statement'!$S:$S)</f>
        <v>Expense Reimbursement</v>
      </c>
    </row>
    <row r="54" spans="4:7" ht="13.35" customHeight="1">
      <c r="D54" s="1085" t="s">
        <v>1662</v>
      </c>
      <c r="E54" s="919" t="s">
        <v>1736</v>
      </c>
      <c r="F54" s="901" t="s">
        <v>31</v>
      </c>
      <c r="G54" s="901" t="str">
        <f>_xlfn.XLOOKUP(D54,'[4]Operating Statement'!$B:$B,'[4]Operating Statement'!$S:$S)</f>
        <v>Expense Reimbursement</v>
      </c>
    </row>
    <row r="55" spans="4:7" ht="13.35" customHeight="1">
      <c r="D55" s="1085" t="s">
        <v>327</v>
      </c>
      <c r="E55" s="919"/>
    </row>
    <row r="56" spans="4:7" ht="13.35" customHeight="1">
      <c r="D56" s="1085" t="s">
        <v>1663</v>
      </c>
      <c r="E56" s="919"/>
    </row>
    <row r="57" spans="4:7" ht="13.35" customHeight="1">
      <c r="D57" s="1085" t="s">
        <v>327</v>
      </c>
      <c r="E57" s="919"/>
    </row>
    <row r="58" spans="4:7" ht="13.35" customHeight="1">
      <c r="D58" s="1085" t="s">
        <v>1664</v>
      </c>
      <c r="E58" s="919"/>
    </row>
    <row r="59" spans="4:7" ht="13.35" customHeight="1">
      <c r="D59" s="1085" t="s">
        <v>327</v>
      </c>
      <c r="E59" s="919"/>
    </row>
    <row r="60" spans="4:7" ht="13.35" customHeight="1">
      <c r="D60" s="1085" t="s">
        <v>1665</v>
      </c>
      <c r="E60" s="919"/>
    </row>
    <row r="61" spans="4:7" ht="13.35" customHeight="1">
      <c r="D61" s="1085" t="s">
        <v>327</v>
      </c>
      <c r="E61" s="919"/>
    </row>
    <row r="62" spans="4:7" ht="13.35" customHeight="1">
      <c r="D62" s="1085" t="s">
        <v>1666</v>
      </c>
      <c r="E62" s="919"/>
    </row>
    <row r="63" spans="4:7" ht="13.35" customHeight="1">
      <c r="D63" s="1085" t="s">
        <v>1784</v>
      </c>
      <c r="E63" s="919"/>
      <c r="F63" s="901" t="s">
        <v>41</v>
      </c>
      <c r="G63" s="901" t="str">
        <f>_xlfn.XLOOKUP(D63,'[4]Operating Statement'!$B:$B,'[4]Operating Statement'!$S:$S)</f>
        <v>Advertising &amp; Marketing</v>
      </c>
    </row>
    <row r="64" spans="4:7" ht="13.35" customHeight="1">
      <c r="D64" s="1085" t="s">
        <v>2280</v>
      </c>
      <c r="E64" s="919"/>
      <c r="F64" s="901" t="s">
        <v>41</v>
      </c>
      <c r="G64" s="901" t="e">
        <f>_xlfn.XLOOKUP(D64,'[4]Operating Statement'!$B:$B,'[4]Operating Statement'!$S:$S)</f>
        <v>#N/A</v>
      </c>
    </row>
    <row r="65" spans="4:7" ht="13.35" customHeight="1">
      <c r="D65" s="1085" t="s">
        <v>1785</v>
      </c>
      <c r="E65" s="919"/>
      <c r="F65" s="901" t="s">
        <v>41</v>
      </c>
      <c r="G65" s="901" t="str">
        <f>_xlfn.XLOOKUP(D65,'[4]Operating Statement'!$B:$B,'[4]Operating Statement'!$S:$S)</f>
        <v>Advertising &amp; Marketing</v>
      </c>
    </row>
    <row r="66" spans="4:7" ht="13.35" customHeight="1">
      <c r="D66" s="1085" t="s">
        <v>1786</v>
      </c>
      <c r="E66" s="919"/>
      <c r="F66" s="901" t="s">
        <v>41</v>
      </c>
      <c r="G66" s="901" t="str">
        <f>_xlfn.XLOOKUP(D66,'[4]Operating Statement'!$B:$B,'[4]Operating Statement'!$S:$S)</f>
        <v>Advertising &amp; Marketing</v>
      </c>
    </row>
    <row r="67" spans="4:7" ht="13.35" customHeight="1">
      <c r="D67" s="1085" t="s">
        <v>1667</v>
      </c>
      <c r="E67" s="919"/>
      <c r="F67" s="901" t="s">
        <v>41</v>
      </c>
      <c r="G67" s="901" t="str">
        <f>_xlfn.XLOOKUP(D67,'[4]Operating Statement'!$B:$B,'[4]Operating Statement'!$S:$S)</f>
        <v>Advertising &amp; Marketing</v>
      </c>
    </row>
    <row r="68" spans="4:7" ht="13.35" customHeight="1">
      <c r="D68" s="1085" t="s">
        <v>1959</v>
      </c>
      <c r="E68" s="919"/>
      <c r="F68" s="901" t="s">
        <v>41</v>
      </c>
      <c r="G68" s="901" t="str">
        <f>_xlfn.XLOOKUP(D68,'[4]Operating Statement'!$B:$B,'[4]Operating Statement'!$S:$S)</f>
        <v>Advertising &amp; Marketing</v>
      </c>
    </row>
    <row r="69" spans="4:7" ht="13.35" customHeight="1">
      <c r="D69" s="1085" t="s">
        <v>1668</v>
      </c>
      <c r="E69" s="919"/>
      <c r="F69" s="901" t="s">
        <v>41</v>
      </c>
      <c r="G69" s="901" t="str">
        <f>_xlfn.XLOOKUP(D69,'[4]Operating Statement'!$B:$B,'[4]Operating Statement'!$S:$S)</f>
        <v>Advertising &amp; Marketing</v>
      </c>
    </row>
    <row r="70" spans="4:7" ht="13.35" customHeight="1">
      <c r="D70" s="1085" t="s">
        <v>1787</v>
      </c>
      <c r="E70" s="919"/>
      <c r="F70" s="901" t="s">
        <v>41</v>
      </c>
      <c r="G70" s="901" t="str">
        <f>_xlfn.XLOOKUP(D70,'[4]Operating Statement'!$B:$B,'[4]Operating Statement'!$S:$S)</f>
        <v>Advertising &amp; Marketing</v>
      </c>
    </row>
    <row r="71" spans="4:7" ht="13.35" customHeight="1">
      <c r="D71" s="1089" t="s">
        <v>327</v>
      </c>
      <c r="E71" s="919"/>
      <c r="G71" s="901" t="str">
        <f>_xlfn.XLOOKUP(D71,'[4]Operating Statement'!$B:$B,'[4]Operating Statement'!$S:$S)</f>
        <v/>
      </c>
    </row>
    <row r="72" spans="4:7" ht="13.35" customHeight="1">
      <c r="D72" s="1085" t="s">
        <v>1669</v>
      </c>
      <c r="E72" s="919"/>
    </row>
    <row r="73" spans="4:7" ht="13.35" customHeight="1">
      <c r="D73" s="1089" t="s">
        <v>327</v>
      </c>
      <c r="E73" s="919"/>
      <c r="G73" s="901" t="str">
        <f>_xlfn.XLOOKUP(D73,'[4]Operating Statement'!$B:$B,'[4]Operating Statement'!$S:$S)</f>
        <v/>
      </c>
    </row>
    <row r="74" spans="4:7" ht="13.35" customHeight="1">
      <c r="D74" s="1085" t="s">
        <v>1670</v>
      </c>
      <c r="E74" s="919"/>
    </row>
    <row r="75" spans="4:7" ht="13.35" customHeight="1">
      <c r="D75" s="1085" t="s">
        <v>1788</v>
      </c>
      <c r="E75" s="919"/>
      <c r="F75" s="901" t="s">
        <v>43</v>
      </c>
      <c r="G75" s="901" t="str">
        <f>_xlfn.XLOOKUP(D75,'[4]Operating Statement'!$B:$B,'[4]Operating Statement'!$S:$S)</f>
        <v>General and Administrative</v>
      </c>
    </row>
    <row r="76" spans="4:7" ht="13.35" customHeight="1">
      <c r="D76" s="1085" t="s">
        <v>1960</v>
      </c>
      <c r="E76" s="919"/>
      <c r="F76" s="901" t="s">
        <v>43</v>
      </c>
      <c r="G76" s="901" t="str">
        <f>_xlfn.XLOOKUP(D76,'[4]Operating Statement'!$B:$B,'[4]Operating Statement'!$S:$S)</f>
        <v>General and Administrative</v>
      </c>
    </row>
    <row r="77" spans="4:7" ht="13.35" customHeight="1">
      <c r="D77" s="1085" t="s">
        <v>1671</v>
      </c>
      <c r="E77" s="919"/>
      <c r="F77" s="901" t="s">
        <v>43</v>
      </c>
      <c r="G77" s="901" t="str">
        <f>_xlfn.XLOOKUP(D77,'[4]Operating Statement'!$B:$B,'[4]Operating Statement'!$S:$S)</f>
        <v>General and Administrative</v>
      </c>
    </row>
    <row r="78" spans="4:7" ht="13.35" customHeight="1">
      <c r="D78" s="1089" t="s">
        <v>1789</v>
      </c>
      <c r="E78" s="919"/>
      <c r="F78" s="901" t="s">
        <v>43</v>
      </c>
      <c r="G78" s="901" t="str">
        <f>_xlfn.XLOOKUP(D78,'[4]Operating Statement'!$B:$B,'[4]Operating Statement'!$S:$S)</f>
        <v>General and Administrative</v>
      </c>
    </row>
    <row r="79" spans="4:7" ht="13.35" customHeight="1">
      <c r="D79" s="1085" t="s">
        <v>1672</v>
      </c>
      <c r="E79" s="919"/>
      <c r="F79" s="901" t="s">
        <v>43</v>
      </c>
      <c r="G79" s="901" t="str">
        <f>_xlfn.XLOOKUP(D79,'[4]Operating Statement'!$B:$B,'[4]Operating Statement'!$S:$S)</f>
        <v>General and Administrative</v>
      </c>
    </row>
    <row r="80" spans="4:7" ht="13.35" customHeight="1">
      <c r="D80" s="1089" t="s">
        <v>1790</v>
      </c>
      <c r="E80" s="919"/>
      <c r="F80" s="901" t="s">
        <v>43</v>
      </c>
      <c r="G80" s="901" t="str">
        <f>_xlfn.XLOOKUP(D80,'[4]Operating Statement'!$B:$B,'[4]Operating Statement'!$S:$S)</f>
        <v>General and Administrative</v>
      </c>
    </row>
    <row r="81" spans="4:7" ht="13.35" customHeight="1">
      <c r="D81" s="1085" t="s">
        <v>1673</v>
      </c>
      <c r="E81" s="919"/>
      <c r="F81" s="901" t="s">
        <v>43</v>
      </c>
      <c r="G81" s="901" t="str">
        <f>_xlfn.XLOOKUP(D81,'[4]Operating Statement'!$B:$B,'[4]Operating Statement'!$S:$S)</f>
        <v>General and Administrative</v>
      </c>
    </row>
    <row r="82" spans="4:7" ht="13.35" customHeight="1">
      <c r="D82" s="1085" t="s">
        <v>1674</v>
      </c>
      <c r="E82" s="919"/>
      <c r="F82" s="901" t="s">
        <v>43</v>
      </c>
      <c r="G82" s="901" t="str">
        <f>_xlfn.XLOOKUP(D82,'[4]Operating Statement'!$B:$B,'[4]Operating Statement'!$S:$S)</f>
        <v>General and Administrative</v>
      </c>
    </row>
    <row r="83" spans="4:7" ht="13.35" customHeight="1">
      <c r="D83" s="1085" t="s">
        <v>1791</v>
      </c>
      <c r="E83" s="919"/>
      <c r="F83" s="901" t="s">
        <v>43</v>
      </c>
      <c r="G83" s="901" t="str">
        <f>_xlfn.XLOOKUP(D83,'[4]Operating Statement'!$B:$B,'[4]Operating Statement'!$S:$S)</f>
        <v>General and Administrative</v>
      </c>
    </row>
    <row r="84" spans="4:7" ht="13.35" customHeight="1">
      <c r="D84" s="1085" t="s">
        <v>1792</v>
      </c>
      <c r="E84" s="919"/>
      <c r="F84" s="901" t="s">
        <v>43</v>
      </c>
      <c r="G84" s="901" t="str">
        <f>_xlfn.XLOOKUP(D84,'[4]Operating Statement'!$B:$B,'[4]Operating Statement'!$S:$S)</f>
        <v>General and Administrative</v>
      </c>
    </row>
    <row r="85" spans="4:7" ht="13.35" customHeight="1">
      <c r="D85" s="1085" t="s">
        <v>1793</v>
      </c>
      <c r="E85" s="919"/>
      <c r="F85" s="901" t="s">
        <v>43</v>
      </c>
      <c r="G85" s="901" t="str">
        <f>_xlfn.XLOOKUP(D85,'[4]Operating Statement'!$B:$B,'[4]Operating Statement'!$S:$S)</f>
        <v>General and Administrative</v>
      </c>
    </row>
    <row r="86" spans="4:7" ht="13.35" customHeight="1">
      <c r="D86" s="1089" t="s">
        <v>1675</v>
      </c>
      <c r="E86" s="919"/>
      <c r="F86" s="901" t="s">
        <v>43</v>
      </c>
      <c r="G86" s="901" t="str">
        <f>_xlfn.XLOOKUP(D86,'[4]Operating Statement'!$B:$B,'[4]Operating Statement'!$S:$S)</f>
        <v>General and Administrative</v>
      </c>
    </row>
    <row r="87" spans="4:7" ht="13.35" customHeight="1">
      <c r="D87" s="1089" t="s">
        <v>1794</v>
      </c>
      <c r="E87" s="919"/>
      <c r="F87" s="901" t="s">
        <v>43</v>
      </c>
      <c r="G87" s="901" t="str">
        <f>_xlfn.XLOOKUP(D87,'[4]Operating Statement'!$B:$B,'[4]Operating Statement'!$S:$S)</f>
        <v>General and Administrative</v>
      </c>
    </row>
    <row r="88" spans="4:7" ht="13.35" customHeight="1">
      <c r="D88" s="1085" t="s">
        <v>1795</v>
      </c>
      <c r="E88" s="919"/>
      <c r="F88" s="901" t="s">
        <v>43</v>
      </c>
      <c r="G88" s="901" t="str">
        <f>_xlfn.XLOOKUP(D88,'[4]Operating Statement'!$B:$B,'[4]Operating Statement'!$S:$S)</f>
        <v>General and Administrative</v>
      </c>
    </row>
    <row r="89" spans="4:7" ht="13.35" customHeight="1">
      <c r="D89" s="1085" t="s">
        <v>1676</v>
      </c>
      <c r="E89" s="919"/>
      <c r="F89" s="901" t="s">
        <v>43</v>
      </c>
      <c r="G89" s="901" t="str">
        <f>_xlfn.XLOOKUP(D89,'[4]Operating Statement'!$B:$B,'[4]Operating Statement'!$S:$S)</f>
        <v>General and Administrative</v>
      </c>
    </row>
    <row r="90" spans="4:7" ht="13.35" customHeight="1">
      <c r="D90" s="1085" t="s">
        <v>1796</v>
      </c>
      <c r="E90" s="919"/>
      <c r="F90" s="901" t="s">
        <v>43</v>
      </c>
      <c r="G90" s="901" t="str">
        <f>_xlfn.XLOOKUP(D90,'[4]Operating Statement'!$B:$B,'[4]Operating Statement'!$S:$S)</f>
        <v>General and Administrative</v>
      </c>
    </row>
    <row r="91" spans="4:7" ht="13.35" customHeight="1">
      <c r="D91" s="1089" t="s">
        <v>1797</v>
      </c>
      <c r="E91" s="919"/>
      <c r="F91" s="901" t="s">
        <v>43</v>
      </c>
      <c r="G91" s="901" t="str">
        <f>_xlfn.XLOOKUP(D91,'[4]Operating Statement'!$B:$B,'[4]Operating Statement'!$S:$S)</f>
        <v>General and Administrative</v>
      </c>
    </row>
    <row r="92" spans="4:7" ht="13.35" customHeight="1">
      <c r="D92" s="1085" t="s">
        <v>1798</v>
      </c>
      <c r="E92" s="919"/>
      <c r="F92" s="901" t="s">
        <v>43</v>
      </c>
      <c r="G92" s="901" t="str">
        <f>_xlfn.XLOOKUP(D92,'[4]Operating Statement'!$B:$B,'[4]Operating Statement'!$S:$S)</f>
        <v>General and Administrative</v>
      </c>
    </row>
    <row r="93" spans="4:7" ht="13.35" customHeight="1">
      <c r="D93" s="1089" t="s">
        <v>327</v>
      </c>
      <c r="E93" s="919"/>
    </row>
    <row r="94" spans="4:7" ht="13.35" customHeight="1">
      <c r="D94" s="1085" t="s">
        <v>1677</v>
      </c>
      <c r="E94" s="919"/>
    </row>
    <row r="95" spans="4:7" ht="13.35" customHeight="1">
      <c r="D95" s="1085" t="s">
        <v>327</v>
      </c>
      <c r="E95" s="919"/>
    </row>
    <row r="96" spans="4:7" ht="13.35" customHeight="1">
      <c r="D96" s="1089" t="s">
        <v>1678</v>
      </c>
      <c r="E96" s="919"/>
    </row>
    <row r="97" spans="4:7" ht="13.35" customHeight="1">
      <c r="D97" s="1085" t="s">
        <v>1799</v>
      </c>
      <c r="E97" s="919"/>
      <c r="F97" s="901" t="s">
        <v>38</v>
      </c>
      <c r="G97" s="901" t="str">
        <f>_xlfn.XLOOKUP(D97,'[4]Operating Statement'!$B:$B,'[4]Operating Statement'!$S:$S)</f>
        <v>Repairs and Maintenance</v>
      </c>
    </row>
    <row r="98" spans="4:7" ht="13.35" customHeight="1">
      <c r="D98" s="1085" t="s">
        <v>1800</v>
      </c>
      <c r="E98" s="919"/>
      <c r="F98" s="901" t="s">
        <v>38</v>
      </c>
      <c r="G98" s="901" t="str">
        <f>_xlfn.XLOOKUP(D98,'[4]Operating Statement'!$B:$B,'[4]Operating Statement'!$S:$S)</f>
        <v>Repairs and Maintenance</v>
      </c>
    </row>
    <row r="99" spans="4:7" ht="13.35" customHeight="1">
      <c r="D99" s="1089" t="s">
        <v>2281</v>
      </c>
      <c r="E99" s="919"/>
      <c r="F99" s="901" t="s">
        <v>38</v>
      </c>
      <c r="G99" s="901" t="e">
        <f>_xlfn.XLOOKUP(D99,'[4]Operating Statement'!$B:$B,'[4]Operating Statement'!$S:$S)</f>
        <v>#N/A</v>
      </c>
    </row>
    <row r="100" spans="4:7" ht="13.35" customHeight="1">
      <c r="D100" s="1085" t="s">
        <v>1679</v>
      </c>
      <c r="E100" s="919"/>
      <c r="F100" s="901" t="s">
        <v>38</v>
      </c>
      <c r="G100" s="901" t="str">
        <f>_xlfn.XLOOKUP(D100,'[4]Operating Statement'!$B:$B,'[4]Operating Statement'!$S:$S)</f>
        <v>Repairs and Maintenance</v>
      </c>
    </row>
    <row r="101" spans="4:7" ht="13.35" customHeight="1">
      <c r="D101" s="1085" t="s">
        <v>1680</v>
      </c>
      <c r="E101" s="919"/>
      <c r="F101" s="901" t="s">
        <v>38</v>
      </c>
      <c r="G101" s="901" t="str">
        <f>_xlfn.XLOOKUP(D101,'[4]Operating Statement'!$B:$B,'[4]Operating Statement'!$S:$S)</f>
        <v>Repairs and Maintenance</v>
      </c>
    </row>
    <row r="102" spans="4:7" ht="13.35" customHeight="1">
      <c r="D102" s="1085" t="s">
        <v>1961</v>
      </c>
      <c r="E102" s="919"/>
      <c r="F102" s="901" t="s">
        <v>38</v>
      </c>
      <c r="G102" s="901" t="str">
        <f>_xlfn.XLOOKUP(D102,'[4]Operating Statement'!$B:$B,'[4]Operating Statement'!$S:$S)</f>
        <v>Repairs and Maintenance</v>
      </c>
    </row>
    <row r="103" spans="4:7" ht="13.35" customHeight="1">
      <c r="D103" s="1085" t="s">
        <v>1681</v>
      </c>
      <c r="E103" s="919"/>
      <c r="F103" s="901" t="s">
        <v>38</v>
      </c>
      <c r="G103" s="901" t="str">
        <f>_xlfn.XLOOKUP(D103,'[4]Operating Statement'!$B:$B,'[4]Operating Statement'!$S:$S)</f>
        <v>Repairs and Maintenance</v>
      </c>
    </row>
    <row r="104" spans="4:7" ht="13.35" customHeight="1">
      <c r="D104" s="1085" t="s">
        <v>1962</v>
      </c>
      <c r="E104" s="919"/>
      <c r="F104" s="901" t="s">
        <v>38</v>
      </c>
      <c r="G104" s="901" t="str">
        <f>_xlfn.XLOOKUP(D104,'[4]Operating Statement'!$B:$B,'[4]Operating Statement'!$S:$S)</f>
        <v>Repairs and Maintenance</v>
      </c>
    </row>
    <row r="105" spans="4:7" ht="13.35" customHeight="1">
      <c r="D105" s="1251" t="s">
        <v>1682</v>
      </c>
      <c r="E105" s="919"/>
      <c r="F105" s="901" t="s">
        <v>38</v>
      </c>
      <c r="G105" s="901" t="str">
        <f>_xlfn.XLOOKUP(D105,'[4]Operating Statement'!$B:$B,'[4]Operating Statement'!$S:$S)</f>
        <v>Repairs and Maintenance</v>
      </c>
    </row>
    <row r="106" spans="4:7" ht="13.35" customHeight="1">
      <c r="D106" s="1251" t="s">
        <v>1683</v>
      </c>
      <c r="E106" s="919"/>
      <c r="F106" s="901" t="s">
        <v>38</v>
      </c>
      <c r="G106" s="901" t="str">
        <f>_xlfn.XLOOKUP(D106,'[4]Operating Statement'!$B:$B,'[4]Operating Statement'!$S:$S)</f>
        <v>Repairs and Maintenance</v>
      </c>
    </row>
    <row r="107" spans="4:7" ht="12.95" customHeight="1">
      <c r="D107" s="1252" t="s">
        <v>1963</v>
      </c>
      <c r="E107" s="919"/>
      <c r="F107" s="901" t="s">
        <v>38</v>
      </c>
      <c r="G107" s="901" t="str">
        <f>_xlfn.XLOOKUP(D107,'[4]Operating Statement'!$B:$B,'[4]Operating Statement'!$S:$S)</f>
        <v>Repairs and Maintenance</v>
      </c>
    </row>
    <row r="108" spans="4:7" ht="13.35" customHeight="1">
      <c r="D108" s="1251" t="s">
        <v>1801</v>
      </c>
      <c r="E108" s="919"/>
      <c r="F108" s="901" t="s">
        <v>38</v>
      </c>
      <c r="G108" s="901" t="str">
        <f>_xlfn.XLOOKUP(D108,'[4]Operating Statement'!$B:$B,'[4]Operating Statement'!$S:$S)</f>
        <v>Repairs and Maintenance</v>
      </c>
    </row>
    <row r="109" spans="4:7" ht="12.95" customHeight="1">
      <c r="D109" s="1252" t="s">
        <v>1964</v>
      </c>
      <c r="E109" s="919"/>
      <c r="F109" s="901" t="s">
        <v>38</v>
      </c>
      <c r="G109" s="901" t="str">
        <f>_xlfn.XLOOKUP(D109,'[4]Operating Statement'!$B:$B,'[4]Operating Statement'!$S:$S)</f>
        <v>Repairs and Maintenance</v>
      </c>
    </row>
    <row r="110" spans="4:7" ht="13.35" customHeight="1">
      <c r="D110" s="1251" t="s">
        <v>1684</v>
      </c>
      <c r="E110" s="919"/>
      <c r="F110" s="901" t="s">
        <v>38</v>
      </c>
      <c r="G110" s="901" t="str">
        <f>_xlfn.XLOOKUP(D110,'[4]Operating Statement'!$B:$B,'[4]Operating Statement'!$S:$S)</f>
        <v>Repairs and Maintenance</v>
      </c>
    </row>
    <row r="111" spans="4:7" ht="12.95" customHeight="1">
      <c r="D111" s="890" t="s">
        <v>1802</v>
      </c>
      <c r="E111" s="919"/>
      <c r="F111" s="901" t="s">
        <v>38</v>
      </c>
      <c r="G111" s="901" t="str">
        <f>_xlfn.XLOOKUP(D111,'[4]Operating Statement'!$B:$B,'[4]Operating Statement'!$S:$S)</f>
        <v>Repairs and Maintenance</v>
      </c>
    </row>
    <row r="112" spans="4:7" ht="12.95" customHeight="1">
      <c r="D112" s="890" t="s">
        <v>1803</v>
      </c>
      <c r="E112" s="919"/>
      <c r="F112" s="901" t="s">
        <v>38</v>
      </c>
      <c r="G112" s="901" t="str">
        <f>_xlfn.XLOOKUP(D112,'[4]Operating Statement'!$B:$B,'[4]Operating Statement'!$S:$S)</f>
        <v>Repairs and Maintenance</v>
      </c>
    </row>
    <row r="113" spans="4:7" ht="12.95" customHeight="1">
      <c r="D113" s="907" t="s">
        <v>1804</v>
      </c>
      <c r="E113" s="919"/>
      <c r="F113" s="901" t="s">
        <v>38</v>
      </c>
      <c r="G113" s="901" t="str">
        <f>_xlfn.XLOOKUP(D113,'[4]Operating Statement'!$B:$B,'[4]Operating Statement'!$S:$S)</f>
        <v>Repairs and Maintenance</v>
      </c>
    </row>
    <row r="114" spans="4:7" ht="13.35" customHeight="1">
      <c r="D114" s="894" t="s">
        <v>327</v>
      </c>
      <c r="E114" s="919"/>
    </row>
    <row r="115" spans="4:7" ht="12.95" customHeight="1">
      <c r="D115" s="907" t="s">
        <v>1685</v>
      </c>
      <c r="E115" s="919"/>
    </row>
    <row r="116" spans="4:7" ht="13.35" customHeight="1">
      <c r="D116" s="894" t="s">
        <v>327</v>
      </c>
      <c r="E116" s="919"/>
    </row>
    <row r="117" spans="4:7" ht="12.95" customHeight="1">
      <c r="D117" s="890" t="s">
        <v>1686</v>
      </c>
      <c r="E117" s="919"/>
    </row>
    <row r="118" spans="4:7" ht="12.95" customHeight="1">
      <c r="D118" s="890" t="s">
        <v>1687</v>
      </c>
      <c r="E118" s="919"/>
      <c r="F118" s="901" t="s">
        <v>38</v>
      </c>
      <c r="G118" s="901" t="str">
        <f>_xlfn.XLOOKUP(D118,'[4]Operating Statement'!$B:$B,'[4]Operating Statement'!$S:$S)</f>
        <v>Repairs and Maintenance</v>
      </c>
    </row>
    <row r="119" spans="4:7" ht="12.95" customHeight="1">
      <c r="D119" s="890" t="s">
        <v>1965</v>
      </c>
      <c r="E119" s="919"/>
      <c r="F119" s="901" t="s">
        <v>38</v>
      </c>
      <c r="G119" s="901" t="str">
        <f>_xlfn.XLOOKUP(D119,'[4]Operating Statement'!$B:$B,'[4]Operating Statement'!$S:$S)</f>
        <v>Repairs and Maintenance</v>
      </c>
    </row>
    <row r="120" spans="4:7" ht="12.95" customHeight="1">
      <c r="D120" s="890" t="s">
        <v>1805</v>
      </c>
      <c r="E120" s="919"/>
      <c r="F120" s="901" t="s">
        <v>38</v>
      </c>
      <c r="G120" s="901" t="str">
        <f>_xlfn.XLOOKUP(D120,'[4]Operating Statement'!$B:$B,'[4]Operating Statement'!$S:$S)</f>
        <v>Repairs and Maintenance</v>
      </c>
    </row>
    <row r="121" spans="4:7" ht="12.95" customHeight="1">
      <c r="D121" s="890" t="s">
        <v>1688</v>
      </c>
      <c r="E121" s="919"/>
      <c r="F121" s="901" t="s">
        <v>38</v>
      </c>
      <c r="G121" s="901" t="str">
        <f>_xlfn.XLOOKUP(D121,'[4]Operating Statement'!$B:$B,'[4]Operating Statement'!$S:$S)</f>
        <v>Repairs and Maintenance</v>
      </c>
    </row>
    <row r="122" spans="4:7" ht="12.95" customHeight="1">
      <c r="D122" s="890" t="s">
        <v>1806</v>
      </c>
      <c r="E122" s="919"/>
      <c r="F122" s="901" t="s">
        <v>38</v>
      </c>
      <c r="G122" s="901" t="str">
        <f>_xlfn.XLOOKUP(D122,'[4]Operating Statement'!$B:$B,'[4]Operating Statement'!$S:$S)</f>
        <v>Repairs and Maintenance</v>
      </c>
    </row>
    <row r="123" spans="4:7" ht="12.95" customHeight="1">
      <c r="D123" s="907" t="s">
        <v>1689</v>
      </c>
      <c r="E123" s="919"/>
      <c r="F123" s="901" t="s">
        <v>38</v>
      </c>
      <c r="G123" s="901" t="str">
        <f>_xlfn.XLOOKUP(D123,'[4]Operating Statement'!$B:$B,'[4]Operating Statement'!$S:$S)</f>
        <v>Repairs and Maintenance</v>
      </c>
    </row>
    <row r="124" spans="4:7" ht="13.35" customHeight="1">
      <c r="D124" s="894" t="s">
        <v>1966</v>
      </c>
      <c r="E124" s="919"/>
      <c r="F124" s="901" t="s">
        <v>38</v>
      </c>
      <c r="G124" s="901" t="str">
        <f>_xlfn.XLOOKUP(D124,'[4]Operating Statement'!$B:$B,'[4]Operating Statement'!$S:$S)</f>
        <v>Repairs and Maintenance</v>
      </c>
    </row>
    <row r="125" spans="4:7" ht="12.95" customHeight="1">
      <c r="D125" s="907" t="s">
        <v>1807</v>
      </c>
      <c r="E125" s="919"/>
      <c r="F125" s="901" t="s">
        <v>38</v>
      </c>
      <c r="G125" s="901" t="str">
        <f>_xlfn.XLOOKUP(D125,'[4]Operating Statement'!$B:$B,'[4]Operating Statement'!$S:$S)</f>
        <v>Repairs and Maintenance</v>
      </c>
    </row>
    <row r="126" spans="4:7" ht="13.35" customHeight="1">
      <c r="D126" s="894" t="s">
        <v>1808</v>
      </c>
      <c r="E126" s="919"/>
      <c r="F126" s="901" t="s">
        <v>38</v>
      </c>
      <c r="G126" s="901" t="str">
        <f>_xlfn.XLOOKUP(D126,'[4]Operating Statement'!$B:$B,'[4]Operating Statement'!$S:$S)</f>
        <v>Repairs and Maintenance</v>
      </c>
    </row>
    <row r="127" spans="4:7" ht="12.95" customHeight="1">
      <c r="D127" s="890" t="s">
        <v>1967</v>
      </c>
      <c r="E127" s="919"/>
      <c r="F127" s="901" t="s">
        <v>38</v>
      </c>
      <c r="G127" s="901" t="str">
        <f>_xlfn.XLOOKUP(D127,'[4]Operating Statement'!$B:$B,'[4]Operating Statement'!$S:$S)</f>
        <v>Repairs and Maintenance</v>
      </c>
    </row>
    <row r="128" spans="4:7" ht="12.95" customHeight="1">
      <c r="D128" s="890" t="s">
        <v>1690</v>
      </c>
      <c r="E128" s="919"/>
      <c r="F128" s="901" t="s">
        <v>38</v>
      </c>
      <c r="G128" s="901" t="str">
        <f>_xlfn.XLOOKUP(D128,'[4]Operating Statement'!$B:$B,'[4]Operating Statement'!$S:$S)</f>
        <v>Repairs and Maintenance</v>
      </c>
    </row>
    <row r="129" spans="4:7" ht="12.95" customHeight="1">
      <c r="D129" s="890" t="s">
        <v>2282</v>
      </c>
      <c r="E129" s="919"/>
      <c r="F129" s="901" t="s">
        <v>38</v>
      </c>
      <c r="G129" s="901" t="e">
        <f>_xlfn.XLOOKUP(D129,'[4]Operating Statement'!$B:$B,'[4]Operating Statement'!$S:$S)</f>
        <v>#N/A</v>
      </c>
    </row>
    <row r="130" spans="4:7" ht="12.95" customHeight="1">
      <c r="D130" s="890" t="s">
        <v>1691</v>
      </c>
      <c r="E130" s="919"/>
      <c r="F130" s="901" t="s">
        <v>38</v>
      </c>
      <c r="G130" s="901" t="str">
        <f>_xlfn.XLOOKUP(D130,'[4]Operating Statement'!$B:$B,'[4]Operating Statement'!$S:$S)</f>
        <v>Repairs and Maintenance</v>
      </c>
    </row>
    <row r="131" spans="4:7" ht="12.95" customHeight="1">
      <c r="D131" s="890" t="s">
        <v>1968</v>
      </c>
      <c r="E131" s="919"/>
      <c r="F131" s="901" t="s">
        <v>38</v>
      </c>
      <c r="G131" s="901" t="str">
        <f>_xlfn.XLOOKUP(D131,'[4]Operating Statement'!$B:$B,'[4]Operating Statement'!$S:$S)</f>
        <v>Repairs and Maintenance</v>
      </c>
    </row>
    <row r="132" spans="4:7" ht="12.95" customHeight="1">
      <c r="D132" s="890" t="s">
        <v>1969</v>
      </c>
      <c r="E132" s="919"/>
      <c r="F132" s="901" t="s">
        <v>38</v>
      </c>
      <c r="G132" s="901" t="str">
        <f>_xlfn.XLOOKUP(D132,'[4]Operating Statement'!$B:$B,'[4]Operating Statement'!$S:$S)</f>
        <v>Repairs and Maintenance</v>
      </c>
    </row>
    <row r="133" spans="4:7" ht="12.95" customHeight="1">
      <c r="D133" s="907" t="s">
        <v>1970</v>
      </c>
      <c r="E133" s="919"/>
      <c r="F133" s="901" t="s">
        <v>38</v>
      </c>
      <c r="G133" s="901" t="str">
        <f>_xlfn.XLOOKUP(D133,'[4]Operating Statement'!$B:$B,'[4]Operating Statement'!$S:$S)</f>
        <v>Repairs and Maintenance</v>
      </c>
    </row>
    <row r="134" spans="4:7" ht="13.35" customHeight="1">
      <c r="D134" s="894" t="s">
        <v>1809</v>
      </c>
      <c r="E134" s="919"/>
      <c r="F134" s="901" t="s">
        <v>38</v>
      </c>
      <c r="G134" s="901" t="str">
        <f>_xlfn.XLOOKUP(D134,'[4]Operating Statement'!$B:$B,'[4]Operating Statement'!$S:$S)</f>
        <v>Repairs and Maintenance</v>
      </c>
    </row>
    <row r="135" spans="4:7" ht="12.95" customHeight="1">
      <c r="D135" s="907" t="s">
        <v>1692</v>
      </c>
      <c r="E135" s="919"/>
      <c r="F135" s="901" t="s">
        <v>38</v>
      </c>
      <c r="G135" s="901" t="str">
        <f>_xlfn.XLOOKUP(D135,'[4]Operating Statement'!$B:$B,'[4]Operating Statement'!$S:$S)</f>
        <v>Repairs and Maintenance</v>
      </c>
    </row>
    <row r="136" spans="4:7" ht="13.35" customHeight="1">
      <c r="D136" s="894" t="s">
        <v>327</v>
      </c>
      <c r="E136" s="919"/>
    </row>
    <row r="137" spans="4:7" ht="12.95" customHeight="1">
      <c r="D137" s="890" t="s">
        <v>1693</v>
      </c>
      <c r="E137" s="919"/>
    </row>
    <row r="138" spans="4:7" ht="12.95" customHeight="1">
      <c r="D138" s="890" t="s">
        <v>327</v>
      </c>
      <c r="E138" s="919"/>
    </row>
    <row r="139" spans="4:7" ht="12.95" customHeight="1">
      <c r="D139" s="890" t="s">
        <v>1694</v>
      </c>
      <c r="E139" s="919"/>
    </row>
    <row r="140" spans="4:7" ht="12.95" customHeight="1">
      <c r="D140" s="890" t="s">
        <v>1695</v>
      </c>
      <c r="E140" s="919"/>
      <c r="F140" s="901" t="s">
        <v>38</v>
      </c>
      <c r="G140" s="901" t="str">
        <f>_xlfn.XLOOKUP(D140,'[4]Operating Statement'!$B:$B,'[4]Operating Statement'!$S:$S)</f>
        <v>Repairs and Maintenance</v>
      </c>
    </row>
    <row r="141" spans="4:7" ht="12.95" customHeight="1">
      <c r="D141" s="890" t="s">
        <v>1971</v>
      </c>
      <c r="E141" s="919"/>
      <c r="F141" s="901" t="s">
        <v>38</v>
      </c>
      <c r="G141" s="901" t="str">
        <f>_xlfn.XLOOKUP(D141,'[4]Operating Statement'!$B:$B,'[4]Operating Statement'!$S:$S)</f>
        <v>Repairs and Maintenance</v>
      </c>
    </row>
    <row r="142" spans="4:7" ht="12.95" customHeight="1">
      <c r="D142" s="890" t="s">
        <v>1696</v>
      </c>
      <c r="E142" s="919"/>
      <c r="F142" s="901" t="s">
        <v>38</v>
      </c>
      <c r="G142" s="901" t="str">
        <f>_xlfn.XLOOKUP(D142,'[4]Operating Statement'!$B:$B,'[4]Operating Statement'!$S:$S)</f>
        <v>Repairs and Maintenance</v>
      </c>
    </row>
    <row r="143" spans="4:7" ht="12.95" customHeight="1">
      <c r="D143" s="907" t="s">
        <v>1697</v>
      </c>
      <c r="E143" s="919"/>
      <c r="F143" s="901" t="s">
        <v>38</v>
      </c>
      <c r="G143" s="901" t="str">
        <f>_xlfn.XLOOKUP(D143,'[4]Operating Statement'!$B:$B,'[4]Operating Statement'!$S:$S)</f>
        <v>Repairs and Maintenance</v>
      </c>
    </row>
    <row r="144" spans="4:7" ht="13.35" customHeight="1">
      <c r="D144" s="894" t="s">
        <v>1698</v>
      </c>
      <c r="E144" s="919"/>
      <c r="F144" s="901" t="s">
        <v>38</v>
      </c>
      <c r="G144" s="901" t="str">
        <f>_xlfn.XLOOKUP(D144,'[4]Operating Statement'!$B:$B,'[4]Operating Statement'!$S:$S)</f>
        <v>Repairs and Maintenance</v>
      </c>
    </row>
    <row r="145" spans="4:7" ht="12.95" customHeight="1">
      <c r="D145" s="907" t="s">
        <v>1972</v>
      </c>
      <c r="E145" s="919"/>
      <c r="F145" s="901" t="s">
        <v>38</v>
      </c>
      <c r="G145" s="901" t="str">
        <f>_xlfn.XLOOKUP(D145,'[4]Operating Statement'!$B:$B,'[4]Operating Statement'!$S:$S)</f>
        <v>Repairs and Maintenance</v>
      </c>
    </row>
    <row r="146" spans="4:7" ht="13.35" customHeight="1">
      <c r="D146" s="894" t="s">
        <v>1973</v>
      </c>
      <c r="E146" s="919"/>
      <c r="F146" s="901" t="s">
        <v>38</v>
      </c>
      <c r="G146" s="901" t="str">
        <f>_xlfn.XLOOKUP(D146,'[4]Operating Statement'!$B:$B,'[4]Operating Statement'!$S:$S)</f>
        <v>Repairs and Maintenance</v>
      </c>
    </row>
    <row r="147" spans="4:7" ht="12.95" customHeight="1">
      <c r="D147" s="890" t="s">
        <v>327</v>
      </c>
      <c r="E147" s="919"/>
    </row>
    <row r="148" spans="4:7" ht="12.95" customHeight="1">
      <c r="D148" s="890" t="s">
        <v>1699</v>
      </c>
      <c r="E148" s="919"/>
    </row>
    <row r="149" spans="4:7" ht="12.95" customHeight="1">
      <c r="D149" s="890" t="s">
        <v>327</v>
      </c>
      <c r="E149" s="919"/>
    </row>
    <row r="150" spans="4:7" ht="12.95" customHeight="1">
      <c r="D150" s="890" t="s">
        <v>1700</v>
      </c>
      <c r="E150" s="919"/>
    </row>
    <row r="151" spans="4:7" ht="12.95" customHeight="1">
      <c r="D151" s="907" t="s">
        <v>1701</v>
      </c>
      <c r="E151" s="919"/>
      <c r="F151" s="901" t="s">
        <v>40</v>
      </c>
      <c r="G151" s="901" t="str">
        <f>_xlfn.XLOOKUP(D151,'[4]Operating Statement'!$B:$B,'[4]Operating Statement'!$S:$S)</f>
        <v xml:space="preserve">Payroll &amp; Benefits </v>
      </c>
    </row>
    <row r="152" spans="4:7" ht="13.35" customHeight="1">
      <c r="D152" s="894" t="s">
        <v>1702</v>
      </c>
      <c r="E152" s="919"/>
      <c r="F152" s="901" t="s">
        <v>40</v>
      </c>
      <c r="G152" s="901" t="str">
        <f>_xlfn.XLOOKUP(D152,'[4]Operating Statement'!$B:$B,'[4]Operating Statement'!$S:$S)</f>
        <v xml:space="preserve">Payroll &amp; Benefits </v>
      </c>
    </row>
    <row r="153" spans="4:7" ht="12.95" customHeight="1">
      <c r="D153" s="907" t="s">
        <v>1703</v>
      </c>
      <c r="E153" s="919"/>
      <c r="F153" s="901" t="s">
        <v>40</v>
      </c>
      <c r="G153" s="901" t="str">
        <f>_xlfn.XLOOKUP(D153,'[4]Operating Statement'!$B:$B,'[4]Operating Statement'!$S:$S)</f>
        <v xml:space="preserve">Payroll &amp; Benefits </v>
      </c>
    </row>
    <row r="154" spans="4:7" ht="13.35" customHeight="1">
      <c r="D154" s="894" t="s">
        <v>1974</v>
      </c>
      <c r="E154" s="919"/>
      <c r="F154" s="901" t="s">
        <v>40</v>
      </c>
      <c r="G154" s="901" t="str">
        <f>_xlfn.XLOOKUP(D154,'[4]Operating Statement'!$B:$B,'[4]Operating Statement'!$S:$S)</f>
        <v xml:space="preserve">Payroll &amp; Benefits </v>
      </c>
    </row>
    <row r="155" spans="4:7" ht="12.95" customHeight="1">
      <c r="D155" s="890" t="s">
        <v>1810</v>
      </c>
      <c r="E155" s="919"/>
      <c r="F155" s="901" t="s">
        <v>40</v>
      </c>
      <c r="G155" s="901" t="str">
        <f>_xlfn.XLOOKUP(D155,'[4]Operating Statement'!$B:$B,'[4]Operating Statement'!$S:$S)</f>
        <v xml:space="preserve">Payroll &amp; Benefits </v>
      </c>
    </row>
    <row r="156" spans="4:7" ht="12.95" customHeight="1">
      <c r="D156" s="890" t="s">
        <v>1811</v>
      </c>
      <c r="E156" s="919"/>
      <c r="F156" s="901" t="s">
        <v>40</v>
      </c>
      <c r="G156" s="901" t="str">
        <f>_xlfn.XLOOKUP(D156,'[4]Operating Statement'!$B:$B,'[4]Operating Statement'!$S:$S)</f>
        <v xml:space="preserve">Payroll &amp; Benefits </v>
      </c>
    </row>
    <row r="157" spans="4:7" ht="12.95" customHeight="1">
      <c r="D157" s="890" t="s">
        <v>1704</v>
      </c>
      <c r="E157" s="919"/>
      <c r="F157" s="901" t="s">
        <v>40</v>
      </c>
      <c r="G157" s="901" t="str">
        <f>_xlfn.XLOOKUP(D157,'[4]Operating Statement'!$B:$B,'[4]Operating Statement'!$S:$S)</f>
        <v xml:space="preserve">Payroll &amp; Benefits </v>
      </c>
    </row>
    <row r="158" spans="4:7" ht="12.95" customHeight="1">
      <c r="D158" s="890" t="s">
        <v>1705</v>
      </c>
      <c r="E158" s="919"/>
      <c r="F158" s="901" t="s">
        <v>40</v>
      </c>
      <c r="G158" s="901" t="str">
        <f>_xlfn.XLOOKUP(D158,'[4]Operating Statement'!$B:$B,'[4]Operating Statement'!$S:$S)</f>
        <v xml:space="preserve">Payroll &amp; Benefits </v>
      </c>
    </row>
    <row r="159" spans="4:7" ht="12.95" customHeight="1">
      <c r="D159" s="890" t="s">
        <v>1706</v>
      </c>
      <c r="E159" s="919"/>
      <c r="F159" s="901" t="s">
        <v>40</v>
      </c>
      <c r="G159" s="901" t="str">
        <f>_xlfn.XLOOKUP(D159,'[4]Operating Statement'!$B:$B,'[4]Operating Statement'!$S:$S)</f>
        <v xml:space="preserve">Payroll &amp; Benefits </v>
      </c>
    </row>
    <row r="160" spans="4:7" ht="12.95" customHeight="1">
      <c r="D160" s="890" t="s">
        <v>2283</v>
      </c>
      <c r="E160" s="919"/>
      <c r="F160" s="901" t="s">
        <v>40</v>
      </c>
      <c r="G160" s="901" t="e">
        <f>_xlfn.XLOOKUP(D160,'[4]Operating Statement'!$B:$B,'[4]Operating Statement'!$S:$S)</f>
        <v>#N/A</v>
      </c>
    </row>
    <row r="161" spans="4:7" ht="12.95" customHeight="1">
      <c r="D161" s="907" t="s">
        <v>2284</v>
      </c>
      <c r="E161" s="919"/>
      <c r="F161" s="901" t="s">
        <v>40</v>
      </c>
      <c r="G161" s="901" t="e">
        <f>_xlfn.XLOOKUP(D161,'[4]Operating Statement'!$B:$B,'[4]Operating Statement'!$S:$S)</f>
        <v>#N/A</v>
      </c>
    </row>
    <row r="162" spans="4:7" ht="13.35" customHeight="1">
      <c r="D162" s="894" t="s">
        <v>327</v>
      </c>
      <c r="E162" s="919"/>
    </row>
    <row r="163" spans="4:7" ht="12.95" customHeight="1">
      <c r="D163" s="907" t="s">
        <v>1707</v>
      </c>
      <c r="E163" s="919"/>
    </row>
    <row r="164" spans="4:7" ht="13.35" customHeight="1">
      <c r="D164" s="894" t="s">
        <v>327</v>
      </c>
      <c r="E164" s="919"/>
    </row>
    <row r="165" spans="4:7" ht="12.95" customHeight="1">
      <c r="D165" s="890" t="s">
        <v>1708</v>
      </c>
      <c r="E165" s="919"/>
    </row>
    <row r="166" spans="4:7" ht="12.95" customHeight="1">
      <c r="D166" s="890" t="s">
        <v>1812</v>
      </c>
      <c r="E166" s="919"/>
      <c r="F166" s="901" t="s">
        <v>37</v>
      </c>
      <c r="G166" s="901" t="str">
        <f>_xlfn.XLOOKUP(D166,'[4]Operating Statement'!$B:$B,'[4]Operating Statement'!$S:$S)</f>
        <v xml:space="preserve">Utilities </v>
      </c>
    </row>
    <row r="167" spans="4:7" ht="12.95" customHeight="1">
      <c r="D167" s="890" t="s">
        <v>1709</v>
      </c>
      <c r="E167" s="919"/>
      <c r="F167" s="901" t="s">
        <v>37</v>
      </c>
      <c r="G167" s="901" t="str">
        <f>_xlfn.XLOOKUP(D167,'[4]Operating Statement'!$B:$B,'[4]Operating Statement'!$S:$S)</f>
        <v xml:space="preserve">Utilities </v>
      </c>
    </row>
    <row r="168" spans="4:7" ht="12.95" customHeight="1">
      <c r="D168" s="890" t="s">
        <v>1710</v>
      </c>
      <c r="E168" s="919"/>
      <c r="F168" s="901" t="s">
        <v>37</v>
      </c>
      <c r="G168" s="901" t="str">
        <f>_xlfn.XLOOKUP(D168,'[4]Operating Statement'!$B:$B,'[4]Operating Statement'!$S:$S)</f>
        <v xml:space="preserve">Utilities </v>
      </c>
    </row>
    <row r="169" spans="4:7" ht="12.95" customHeight="1">
      <c r="D169" s="907" t="s">
        <v>1711</v>
      </c>
      <c r="E169" s="919"/>
      <c r="F169" s="901" t="s">
        <v>37</v>
      </c>
      <c r="G169" s="901" t="str">
        <f>_xlfn.XLOOKUP(D169,'[4]Operating Statement'!$B:$B,'[4]Operating Statement'!$S:$S)</f>
        <v xml:space="preserve">Utilities </v>
      </c>
    </row>
    <row r="170" spans="4:7" ht="13.35" customHeight="1">
      <c r="D170" s="894" t="s">
        <v>1712</v>
      </c>
      <c r="E170" s="919"/>
      <c r="F170" s="901" t="s">
        <v>37</v>
      </c>
      <c r="G170" s="901" t="str">
        <f>_xlfn.XLOOKUP(D170,'[4]Operating Statement'!$B:$B,'[4]Operating Statement'!$S:$S)</f>
        <v xml:space="preserve">Utilities </v>
      </c>
    </row>
    <row r="171" spans="4:7" ht="12.95" customHeight="1">
      <c r="D171" s="907" t="s">
        <v>1813</v>
      </c>
      <c r="E171" s="919"/>
      <c r="F171" s="901" t="s">
        <v>37</v>
      </c>
      <c r="G171" s="901" t="str">
        <f>_xlfn.XLOOKUP(D171,'[4]Operating Statement'!$B:$B,'[4]Operating Statement'!$S:$S)</f>
        <v xml:space="preserve">Utilities </v>
      </c>
    </row>
    <row r="172" spans="4:7" ht="13.35" customHeight="1">
      <c r="D172" s="894" t="s">
        <v>327</v>
      </c>
      <c r="E172" s="919"/>
    </row>
    <row r="173" spans="4:7" ht="12.95" customHeight="1">
      <c r="D173" s="890" t="s">
        <v>1713</v>
      </c>
      <c r="E173" s="919"/>
    </row>
    <row r="174" spans="4:7" ht="12.95" customHeight="1">
      <c r="D174" s="890" t="s">
        <v>327</v>
      </c>
      <c r="E174" s="919"/>
    </row>
    <row r="175" spans="4:7" ht="12.95" customHeight="1">
      <c r="D175" s="890" t="s">
        <v>1714</v>
      </c>
      <c r="E175" s="919"/>
    </row>
    <row r="176" spans="4:7" ht="12.95" customHeight="1">
      <c r="D176" s="907" t="s">
        <v>1715</v>
      </c>
      <c r="E176" s="919"/>
      <c r="F176" s="901" t="s">
        <v>35</v>
      </c>
      <c r="G176" s="901" t="str">
        <f>_xlfn.XLOOKUP(D176,'[4]Operating Statement'!$B:$B,'[4]Operating Statement'!$S:$S)</f>
        <v>Real Estate Taxes</v>
      </c>
    </row>
    <row r="177" spans="4:7" ht="13.35" customHeight="1">
      <c r="D177" s="894" t="s">
        <v>1975</v>
      </c>
      <c r="E177" s="919"/>
      <c r="F177" s="901" t="s">
        <v>36</v>
      </c>
      <c r="G177" s="901" t="str">
        <f>_xlfn.XLOOKUP(D177,'[4]Operating Statement'!$B:$B,'[4]Operating Statement'!$S:$S)</f>
        <v>Property Insurance</v>
      </c>
    </row>
    <row r="178" spans="4:7" ht="12.95" customHeight="1">
      <c r="D178" s="907" t="s">
        <v>1716</v>
      </c>
      <c r="E178" s="919"/>
      <c r="F178" s="901" t="s">
        <v>36</v>
      </c>
      <c r="G178" s="901" t="str">
        <f>_xlfn.XLOOKUP(D178,'[4]Operating Statement'!$B:$B,'[4]Operating Statement'!$S:$S)</f>
        <v>Property Insurance</v>
      </c>
    </row>
    <row r="179" spans="4:7" ht="13.35" customHeight="1">
      <c r="D179" s="894" t="s">
        <v>1717</v>
      </c>
      <c r="E179" s="919"/>
      <c r="F179" s="901" t="s">
        <v>36</v>
      </c>
      <c r="G179" s="901" t="str">
        <f>_xlfn.XLOOKUP(D179,'[4]Operating Statement'!$B:$B,'[4]Operating Statement'!$S:$S)</f>
        <v>Property Insurance</v>
      </c>
    </row>
    <row r="180" spans="4:7" ht="12.95" customHeight="1">
      <c r="D180" s="890" t="s">
        <v>327</v>
      </c>
      <c r="E180" s="919"/>
    </row>
    <row r="181" spans="4:7" ht="12.95" customHeight="1">
      <c r="D181" s="890" t="s">
        <v>1718</v>
      </c>
      <c r="E181" s="919"/>
    </row>
    <row r="182" spans="4:7" ht="12.95" customHeight="1">
      <c r="D182" s="907" t="s">
        <v>327</v>
      </c>
      <c r="E182" s="919"/>
    </row>
    <row r="183" spans="4:7" ht="13.35" customHeight="1">
      <c r="D183" s="894" t="s">
        <v>1719</v>
      </c>
      <c r="E183" s="919"/>
    </row>
    <row r="184" spans="4:7" ht="12.95" customHeight="1">
      <c r="D184" s="907" t="s">
        <v>1720</v>
      </c>
      <c r="E184" s="919"/>
      <c r="F184" s="901" t="s">
        <v>39</v>
      </c>
      <c r="G184" s="901" t="str">
        <f>_xlfn.XLOOKUP(D184,'[4]Operating Statement'!$B:$B,'[4]Operating Statement'!$S:$S)</f>
        <v>Management Fees</v>
      </c>
    </row>
    <row r="185" spans="4:7" ht="13.35" customHeight="1">
      <c r="D185" s="894" t="s">
        <v>1721</v>
      </c>
      <c r="E185" s="919"/>
      <c r="F185" s="901" t="s">
        <v>42</v>
      </c>
      <c r="G185" s="901" t="str">
        <f>_xlfn.XLOOKUP(D185,'[4]Operating Statement'!$B:$B,'[4]Operating Statement'!$S:$S)</f>
        <v>Professional Fees</v>
      </c>
    </row>
    <row r="186" spans="4:7" ht="12.95" customHeight="1">
      <c r="D186" s="907" t="s">
        <v>327</v>
      </c>
      <c r="E186" s="919"/>
    </row>
    <row r="187" spans="4:7" ht="13.35" customHeight="1">
      <c r="D187" s="894" t="s">
        <v>1722</v>
      </c>
      <c r="E187" s="919"/>
    </row>
    <row r="188" spans="4:7" ht="12.95" customHeight="1">
      <c r="D188" s="907" t="s">
        <v>327</v>
      </c>
      <c r="E188" s="919"/>
    </row>
    <row r="189" spans="4:7" ht="12.95" customHeight="1">
      <c r="D189" s="907" t="s">
        <v>1723</v>
      </c>
      <c r="E189" s="919"/>
    </row>
    <row r="190" spans="4:7" ht="13.35" customHeight="1">
      <c r="D190" s="894" t="s">
        <v>327</v>
      </c>
      <c r="E190" s="919"/>
    </row>
    <row r="191" spans="4:7" ht="12.95" customHeight="1">
      <c r="D191" s="890" t="s">
        <v>1724</v>
      </c>
      <c r="E191" s="919"/>
    </row>
    <row r="192" spans="4:7" ht="12.95" customHeight="1">
      <c r="D192" s="890" t="s">
        <v>327</v>
      </c>
      <c r="E192" s="919"/>
    </row>
    <row r="193" spans="4:7" ht="12.95" customHeight="1">
      <c r="D193" s="907" t="s">
        <v>327</v>
      </c>
      <c r="E193" s="919"/>
    </row>
    <row r="194" spans="4:7" ht="13.35" customHeight="1">
      <c r="D194" s="1089" t="s">
        <v>1725</v>
      </c>
      <c r="E194" s="919"/>
    </row>
    <row r="195" spans="4:7" ht="13.35" customHeight="1">
      <c r="D195" s="894" t="s">
        <v>1726</v>
      </c>
      <c r="E195" s="919"/>
      <c r="F195" s="901" t="s">
        <v>1762</v>
      </c>
      <c r="G195" s="901" t="str">
        <f>_xlfn.XLOOKUP(D195,'[4]Operating Statement'!$B:$B,'[4]Operating Statement'!$S:$S)</f>
        <v>Debt Service - A Note</v>
      </c>
    </row>
    <row r="196" spans="4:7" ht="12.95" customHeight="1">
      <c r="D196" s="907" t="s">
        <v>2285</v>
      </c>
      <c r="E196" s="919"/>
    </row>
    <row r="197" spans="4:7" ht="13.35" customHeight="1">
      <c r="D197" s="894" t="s">
        <v>1727</v>
      </c>
      <c r="E197" s="919"/>
    </row>
    <row r="198" spans="4:7" ht="12.95" customHeight="1">
      <c r="D198" s="907" t="s">
        <v>1976</v>
      </c>
      <c r="E198" s="919"/>
    </row>
    <row r="199" spans="4:7" ht="13.35" customHeight="1">
      <c r="D199" s="894" t="s">
        <v>327</v>
      </c>
      <c r="E199" s="919"/>
    </row>
    <row r="200" spans="4:7" ht="12.95" customHeight="1">
      <c r="D200" s="907" t="s">
        <v>1728</v>
      </c>
      <c r="E200" s="1146"/>
    </row>
    <row r="201" spans="4:7" ht="13.35" customHeight="1">
      <c r="D201" s="894" t="s">
        <v>327</v>
      </c>
      <c r="E201" s="1146"/>
    </row>
    <row r="202" spans="4:7" ht="12.95" customHeight="1">
      <c r="D202" s="901" t="s">
        <v>1729</v>
      </c>
      <c r="E202" s="1146"/>
    </row>
    <row r="203" spans="4:7" ht="12.95" customHeight="1">
      <c r="D203" s="901" t="s">
        <v>327</v>
      </c>
      <c r="E203" s="1146"/>
    </row>
    <row r="204" spans="4:7" ht="12.95" customHeight="1">
      <c r="D204" s="901" t="s">
        <v>1814</v>
      </c>
      <c r="E204" s="1146"/>
    </row>
    <row r="205" spans="4:7" ht="12.95" customHeight="1">
      <c r="D205" s="901" t="s">
        <v>1815</v>
      </c>
      <c r="E205" s="1146"/>
    </row>
    <row r="206" spans="4:7" ht="12.95" customHeight="1">
      <c r="D206" s="901" t="s">
        <v>1816</v>
      </c>
      <c r="E206" s="1146"/>
    </row>
    <row r="207" spans="4:7" ht="12.95" customHeight="1">
      <c r="D207" s="901" t="s">
        <v>1977</v>
      </c>
      <c r="E207" s="1146"/>
    </row>
    <row r="208" spans="4:7" ht="12.95" customHeight="1">
      <c r="D208" s="901" t="s">
        <v>2286</v>
      </c>
      <c r="E208" s="1146"/>
    </row>
    <row r="209" spans="4:5" ht="12.95" customHeight="1">
      <c r="D209" s="901" t="s">
        <v>1978</v>
      </c>
      <c r="E209" s="1146"/>
    </row>
    <row r="210" spans="4:5" ht="12.95" customHeight="1">
      <c r="D210" s="901" t="s">
        <v>1979</v>
      </c>
      <c r="E210" s="1146"/>
    </row>
    <row r="211" spans="4:5" ht="12.95" customHeight="1">
      <c r="D211" s="901" t="s">
        <v>1980</v>
      </c>
      <c r="E211" s="1146"/>
    </row>
    <row r="212" spans="4:5" ht="12.95" customHeight="1">
      <c r="D212" s="901" t="s">
        <v>327</v>
      </c>
      <c r="E212" s="1146"/>
    </row>
    <row r="213" spans="4:5" ht="12.95" customHeight="1">
      <c r="D213" s="901" t="s">
        <v>1817</v>
      </c>
      <c r="E213" s="1146"/>
    </row>
    <row r="214" spans="4:5" ht="12.95" customHeight="1">
      <c r="D214" s="901" t="s">
        <v>327</v>
      </c>
      <c r="E214" s="1146"/>
    </row>
    <row r="215" spans="4:5" ht="12.95" customHeight="1">
      <c r="D215" s="901" t="s">
        <v>1818</v>
      </c>
      <c r="E215" s="1146"/>
    </row>
    <row r="216" spans="4:5" ht="12.95" customHeight="1">
      <c r="D216" s="901" t="s">
        <v>1981</v>
      </c>
      <c r="E216" s="1146"/>
    </row>
    <row r="217" spans="4:5" ht="12.95" customHeight="1">
      <c r="D217" s="901" t="s">
        <v>1982</v>
      </c>
      <c r="E217" s="1146"/>
    </row>
    <row r="218" spans="4:5" ht="12.95" customHeight="1">
      <c r="D218" s="901" t="s">
        <v>1983</v>
      </c>
      <c r="E218" s="1146"/>
    </row>
    <row r="219" spans="4:5" ht="12.95" customHeight="1">
      <c r="D219" s="901" t="s">
        <v>1984</v>
      </c>
      <c r="E219" s="1146"/>
    </row>
    <row r="220" spans="4:5" ht="12.95" customHeight="1">
      <c r="D220" s="901" t="s">
        <v>2287</v>
      </c>
      <c r="E220" s="1146"/>
    </row>
    <row r="221" spans="4:5" ht="12.95" customHeight="1">
      <c r="D221" s="901" t="s">
        <v>1985</v>
      </c>
      <c r="E221" s="1146"/>
    </row>
    <row r="222" spans="4:5" ht="12.95" customHeight="1">
      <c r="D222" s="901" t="s">
        <v>1986</v>
      </c>
      <c r="E222" s="1146"/>
    </row>
    <row r="223" spans="4:5" ht="12.95" customHeight="1">
      <c r="D223" s="901" t="s">
        <v>1819</v>
      </c>
      <c r="E223" s="1146"/>
    </row>
    <row r="224" spans="4:5" ht="12.95" customHeight="1">
      <c r="D224" s="901" t="s">
        <v>1987</v>
      </c>
      <c r="E224" s="1146"/>
    </row>
    <row r="225" spans="4:6" ht="12.95" customHeight="1">
      <c r="D225" s="901" t="s">
        <v>1988</v>
      </c>
      <c r="E225" s="1146"/>
    </row>
    <row r="226" spans="4:6" ht="12.95" customHeight="1">
      <c r="D226" s="901" t="s">
        <v>1820</v>
      </c>
      <c r="E226" s="1146"/>
    </row>
    <row r="227" spans="4:6" ht="12.95" customHeight="1">
      <c r="D227" s="901" t="s">
        <v>2288</v>
      </c>
      <c r="E227" s="1146"/>
    </row>
    <row r="228" spans="4:6" ht="12.95" customHeight="1">
      <c r="D228" s="901" t="s">
        <v>1989</v>
      </c>
      <c r="E228" s="1146"/>
    </row>
    <row r="229" spans="4:6" ht="12.95" customHeight="1">
      <c r="D229" s="901" t="s">
        <v>1990</v>
      </c>
      <c r="E229" s="1146"/>
    </row>
    <row r="230" spans="4:6" ht="12.95" customHeight="1">
      <c r="D230" s="901" t="s">
        <v>1991</v>
      </c>
      <c r="E230" s="1146"/>
    </row>
    <row r="231" spans="4:6" ht="12.95" customHeight="1">
      <c r="D231" s="901" t="s">
        <v>1992</v>
      </c>
      <c r="E231" s="1146"/>
    </row>
    <row r="232" spans="4:6" ht="12.95" customHeight="1">
      <c r="D232" s="901" t="s">
        <v>1993</v>
      </c>
      <c r="E232" s="1146"/>
    </row>
    <row r="233" spans="4:6" ht="12.95" customHeight="1">
      <c r="D233" s="901" t="s">
        <v>2289</v>
      </c>
      <c r="E233" s="1146"/>
    </row>
    <row r="234" spans="4:6" ht="12.95" customHeight="1">
      <c r="D234" s="901" t="s">
        <v>327</v>
      </c>
      <c r="E234" s="1146"/>
    </row>
    <row r="235" spans="4:6" ht="12.95" customHeight="1">
      <c r="D235" s="901" t="s">
        <v>1821</v>
      </c>
      <c r="E235" s="1146"/>
    </row>
    <row r="236" spans="4:6" ht="12.95" customHeight="1">
      <c r="D236" s="901" t="s">
        <v>327</v>
      </c>
      <c r="E236" s="1146"/>
    </row>
    <row r="237" spans="4:6" ht="12.95" customHeight="1">
      <c r="D237" s="901" t="s">
        <v>1822</v>
      </c>
      <c r="E237" s="1146"/>
      <c r="F237" s="901" t="s">
        <v>1903</v>
      </c>
    </row>
    <row r="238" spans="4:6" ht="12.95" customHeight="1">
      <c r="D238" s="901" t="s">
        <v>327</v>
      </c>
      <c r="E238" s="1146"/>
    </row>
    <row r="239" spans="4:6" ht="12.95" customHeight="1">
      <c r="D239" s="901" t="s">
        <v>1730</v>
      </c>
      <c r="E239" s="1146"/>
    </row>
    <row r="240" spans="4:6" ht="12.95" customHeight="1">
      <c r="D240" s="901" t="s">
        <v>327</v>
      </c>
      <c r="E240" s="1146"/>
    </row>
    <row r="241" spans="4:5" ht="12.95" customHeight="1">
      <c r="D241" s="901" t="s">
        <v>327</v>
      </c>
      <c r="E241" s="1146"/>
    </row>
    <row r="242" spans="4:5" ht="12.95" customHeight="1">
      <c r="D242" s="901" t="s">
        <v>2290</v>
      </c>
      <c r="E242" s="1146"/>
    </row>
    <row r="243" spans="4:5" ht="12.95" customHeight="1">
      <c r="D243" s="901" t="s">
        <v>2291</v>
      </c>
      <c r="E243" s="1146"/>
    </row>
    <row r="244" spans="4:5" ht="12.95" customHeight="1">
      <c r="D244" s="901" t="s">
        <v>327</v>
      </c>
      <c r="E244" s="1146"/>
    </row>
    <row r="245" spans="4:5" ht="12.95" customHeight="1">
      <c r="D245" s="901" t="s">
        <v>2292</v>
      </c>
      <c r="E245" s="1146"/>
    </row>
    <row r="246" spans="4:5" ht="12.95" customHeight="1">
      <c r="D246" s="901" t="s">
        <v>327</v>
      </c>
      <c r="E246" s="1146"/>
    </row>
    <row r="247" spans="4:5" ht="12.95" customHeight="1">
      <c r="D247" s="901" t="s">
        <v>1731</v>
      </c>
      <c r="E247" s="1146"/>
    </row>
    <row r="248" spans="4:5" ht="12.95" customHeight="1">
      <c r="D248" s="901" t="s">
        <v>327</v>
      </c>
      <c r="E248" s="1146"/>
    </row>
    <row r="249" spans="4:5" ht="12.95" customHeight="1">
      <c r="D249" s="901" t="s">
        <v>1729</v>
      </c>
      <c r="E249" s="1146"/>
    </row>
    <row r="250" spans="4:5" ht="12.95" customHeight="1">
      <c r="D250" s="901" t="s">
        <v>327</v>
      </c>
      <c r="E250" s="1146"/>
    </row>
    <row r="251" spans="4:5" ht="12.95" customHeight="1">
      <c r="D251" s="901" t="s">
        <v>1814</v>
      </c>
      <c r="E251" s="1146"/>
    </row>
    <row r="252" spans="4:5" ht="12.95" customHeight="1">
      <c r="D252" s="901" t="s">
        <v>1815</v>
      </c>
      <c r="E252" s="1146"/>
    </row>
    <row r="253" spans="4:5" ht="12.95" customHeight="1">
      <c r="D253" s="901" t="s">
        <v>1816</v>
      </c>
      <c r="E253" s="1146"/>
    </row>
    <row r="254" spans="4:5" ht="12.95" customHeight="1">
      <c r="D254" s="901" t="s">
        <v>1977</v>
      </c>
      <c r="E254" s="1146"/>
    </row>
    <row r="255" spans="4:5" ht="12.95" customHeight="1">
      <c r="D255" s="901" t="s">
        <v>1978</v>
      </c>
      <c r="E255" s="1146"/>
    </row>
    <row r="256" spans="4:5" ht="12.95" customHeight="1">
      <c r="D256" s="901" t="s">
        <v>1979</v>
      </c>
      <c r="E256" s="1146"/>
    </row>
    <row r="257" spans="4:5" ht="12.95" customHeight="1">
      <c r="D257" s="901" t="s">
        <v>1980</v>
      </c>
      <c r="E257" s="1146"/>
    </row>
    <row r="258" spans="4:5" ht="12.95" customHeight="1">
      <c r="D258" s="901" t="s">
        <v>327</v>
      </c>
      <c r="E258" s="1146"/>
    </row>
    <row r="259" spans="4:5" ht="12.95" customHeight="1">
      <c r="D259" s="901" t="s">
        <v>1817</v>
      </c>
      <c r="E259" s="1146"/>
    </row>
    <row r="260" spans="4:5" ht="12.95" customHeight="1">
      <c r="D260" s="901" t="s">
        <v>327</v>
      </c>
      <c r="E260" s="1146"/>
    </row>
    <row r="261" spans="4:5" ht="12.95" customHeight="1">
      <c r="D261" s="901" t="s">
        <v>1818</v>
      </c>
      <c r="E261" s="1146"/>
    </row>
    <row r="262" spans="4:5" ht="12.95" customHeight="1">
      <c r="D262" s="901" t="s">
        <v>1981</v>
      </c>
      <c r="E262" s="1146"/>
    </row>
    <row r="263" spans="4:5" ht="12.95" customHeight="1">
      <c r="D263" s="901" t="s">
        <v>1982</v>
      </c>
      <c r="E263" s="1146"/>
    </row>
    <row r="264" spans="4:5" ht="12.95" customHeight="1">
      <c r="D264" s="901" t="s">
        <v>1983</v>
      </c>
      <c r="E264" s="1146"/>
    </row>
    <row r="265" spans="4:5" ht="12.95" customHeight="1">
      <c r="D265" s="901" t="s">
        <v>1984</v>
      </c>
      <c r="E265" s="1146"/>
    </row>
    <row r="266" spans="4:5" ht="12.95" customHeight="1">
      <c r="D266" s="901" t="s">
        <v>1985</v>
      </c>
      <c r="E266" s="1146"/>
    </row>
    <row r="267" spans="4:5" ht="12.95" customHeight="1">
      <c r="D267" s="901" t="s">
        <v>1986</v>
      </c>
      <c r="E267" s="1146"/>
    </row>
    <row r="268" spans="4:5" ht="12.95" customHeight="1">
      <c r="D268" s="901" t="s">
        <v>1819</v>
      </c>
      <c r="E268" s="1146"/>
    </row>
    <row r="269" spans="4:5" ht="12.95" customHeight="1">
      <c r="D269" s="901" t="s">
        <v>1987</v>
      </c>
      <c r="E269" s="1146"/>
    </row>
    <row r="270" spans="4:5" ht="12.95" customHeight="1">
      <c r="D270" s="901" t="s">
        <v>1988</v>
      </c>
      <c r="E270" s="1146"/>
    </row>
    <row r="271" spans="4:5" ht="12.95" customHeight="1">
      <c r="D271" s="901" t="s">
        <v>1820</v>
      </c>
      <c r="E271" s="1146"/>
    </row>
    <row r="272" spans="4:5" ht="12.95" customHeight="1">
      <c r="D272" s="901" t="s">
        <v>1989</v>
      </c>
      <c r="E272" s="1146"/>
    </row>
    <row r="273" spans="4:5" ht="12.95" customHeight="1">
      <c r="D273" s="901" t="s">
        <v>1990</v>
      </c>
      <c r="E273" s="1146"/>
    </row>
    <row r="274" spans="4:5" ht="12.95" customHeight="1">
      <c r="D274" s="901" t="s">
        <v>1991</v>
      </c>
      <c r="E274" s="1146"/>
    </row>
    <row r="275" spans="4:5" ht="12.95" customHeight="1">
      <c r="D275" s="901" t="s">
        <v>1992</v>
      </c>
      <c r="E275" s="1146"/>
    </row>
    <row r="276" spans="4:5" ht="12.95" customHeight="1">
      <c r="D276" s="901" t="s">
        <v>1993</v>
      </c>
      <c r="E276" s="1146"/>
    </row>
    <row r="277" spans="4:5" ht="12.95" customHeight="1">
      <c r="D277" s="901" t="s">
        <v>327</v>
      </c>
      <c r="E277" s="1146"/>
    </row>
    <row r="278" spans="4:5" ht="12.95" customHeight="1">
      <c r="D278" s="901" t="s">
        <v>1821</v>
      </c>
      <c r="E278" s="1146"/>
    </row>
    <row r="279" spans="4:5" ht="12.95" customHeight="1">
      <c r="D279" s="901" t="s">
        <v>327</v>
      </c>
      <c r="E279" s="1146"/>
    </row>
    <row r="280" spans="4:5" ht="12.95" customHeight="1">
      <c r="D280" s="901" t="s">
        <v>1822</v>
      </c>
      <c r="E280" s="1146"/>
    </row>
    <row r="281" spans="4:5" ht="12.95" customHeight="1">
      <c r="D281" s="901" t="s">
        <v>327</v>
      </c>
      <c r="E281" s="1146"/>
    </row>
    <row r="282" spans="4:5" ht="12.95" customHeight="1">
      <c r="D282" s="901" t="s">
        <v>1730</v>
      </c>
      <c r="E282" s="1146"/>
    </row>
    <row r="283" spans="4:5" ht="12.95" customHeight="1">
      <c r="D283" s="901" t="s">
        <v>327</v>
      </c>
      <c r="E283" s="1146"/>
    </row>
    <row r="284" spans="4:5" ht="12.95" customHeight="1">
      <c r="D284" s="901" t="s">
        <v>1731</v>
      </c>
      <c r="E284" s="1146"/>
    </row>
  </sheetData>
  <dataValidations count="3">
    <dataValidation type="list" allowBlank="1" showInputMessage="1" showErrorMessage="1" sqref="K33 E4:E28 E193 E195:E199 K13 E31:E191" xr:uid="{1713684E-6AEB-4B09-A7AE-4D85EF34F1D7}">
      <formula1>$H$4:$H$23</formula1>
    </dataValidation>
    <dataValidation type="list" allowBlank="1" showInputMessage="1" showErrorMessage="1" sqref="E192 E194 K32 K14" xr:uid="{576D116E-E4D3-438A-AE69-FA7330C4C4CA}">
      <formula1>$H$4:$H$24</formula1>
    </dataValidation>
    <dataValidation type="list" allowBlank="1" showInputMessage="1" showErrorMessage="1" sqref="F4:F196 F237" xr:uid="{C6C69EDF-81BF-4B80-A64F-116AD739C81B}">
      <formula1>$K$4:$K$26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DFB6-32F3-4A1C-993A-1E9121C9E53F}">
  <sheetPr>
    <tabColor rgb="FFFFFF00"/>
  </sheetPr>
  <dimension ref="B2:V35"/>
  <sheetViews>
    <sheetView workbookViewId="0">
      <selection activeCell="C5" sqref="C5"/>
    </sheetView>
  </sheetViews>
  <sheetFormatPr defaultRowHeight="12.75"/>
  <cols>
    <col min="1" max="1" width="3.7109375" customWidth="1"/>
    <col min="2" max="2" width="13.140625" bestFit="1" customWidth="1"/>
    <col min="3" max="3" width="18.85546875" customWidth="1"/>
    <col min="20" max="20" width="20.42578125" customWidth="1"/>
    <col min="21" max="22" width="16.42578125" bestFit="1" customWidth="1"/>
  </cols>
  <sheetData>
    <row r="2" spans="2:3">
      <c r="B2" s="72" t="s">
        <v>355</v>
      </c>
      <c r="C2" s="175">
        <v>1425631.43</v>
      </c>
    </row>
    <row r="3" spans="2:3">
      <c r="B3" s="72" t="s">
        <v>2193</v>
      </c>
      <c r="C3" s="1263">
        <v>45976</v>
      </c>
    </row>
    <row r="4" spans="2:3">
      <c r="B4" s="72" t="s">
        <v>2194</v>
      </c>
      <c r="C4" s="1264">
        <f>+C3+365</f>
        <v>46341</v>
      </c>
    </row>
    <row r="5" spans="2:3">
      <c r="B5" s="245" t="s">
        <v>1625</v>
      </c>
    </row>
    <row r="6" spans="2:3">
      <c r="B6" s="72" t="s">
        <v>494</v>
      </c>
      <c r="C6" s="72" t="s">
        <v>1626</v>
      </c>
    </row>
    <row r="23" spans="19:22">
      <c r="V23" s="73"/>
    </row>
    <row r="24" spans="19:22">
      <c r="V24" s="878"/>
    </row>
    <row r="25" spans="19:22">
      <c r="V25" s="73"/>
    </row>
    <row r="29" spans="19:22">
      <c r="S29" s="193"/>
      <c r="T29" s="879"/>
      <c r="U29" s="879"/>
      <c r="V29" s="879"/>
    </row>
    <row r="30" spans="19:22" ht="18" customHeight="1">
      <c r="S30" s="72"/>
      <c r="T30" s="880"/>
      <c r="U30" s="880"/>
      <c r="V30" s="880"/>
    </row>
    <row r="31" spans="19:22">
      <c r="S31" s="72"/>
      <c r="T31" s="175"/>
      <c r="U31" s="175"/>
      <c r="V31" s="880"/>
    </row>
    <row r="32" spans="19:22">
      <c r="S32" s="72"/>
      <c r="T32" s="881"/>
      <c r="U32" s="881"/>
      <c r="V32" s="65"/>
    </row>
    <row r="34" spans="21:22">
      <c r="V34" s="73"/>
    </row>
    <row r="35" spans="21:22">
      <c r="U35" s="882"/>
      <c r="V35" s="88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0F78-9393-4913-B8C8-32EBEAD101FD}">
  <sheetPr>
    <tabColor rgb="FFFFFF00"/>
  </sheetPr>
  <dimension ref="B2:F5"/>
  <sheetViews>
    <sheetView workbookViewId="0">
      <selection activeCell="F4" sqref="F4"/>
    </sheetView>
  </sheetViews>
  <sheetFormatPr defaultRowHeight="12.75"/>
  <cols>
    <col min="2" max="2" width="42.85546875" customWidth="1"/>
    <col min="3" max="3" width="11.7109375" bestFit="1" customWidth="1"/>
  </cols>
  <sheetData>
    <row r="2" spans="2:6">
      <c r="B2" s="72" t="s">
        <v>1771</v>
      </c>
      <c r="C2" s="175">
        <v>52246</v>
      </c>
      <c r="E2" s="1265" t="s">
        <v>2193</v>
      </c>
      <c r="F2" s="1263">
        <v>45834</v>
      </c>
    </row>
    <row r="3" spans="2:6">
      <c r="B3" s="72" t="s">
        <v>1772</v>
      </c>
      <c r="C3" s="175">
        <v>5000</v>
      </c>
      <c r="E3" s="72" t="s">
        <v>2194</v>
      </c>
      <c r="F3" s="1264">
        <f>+F2+365</f>
        <v>46199</v>
      </c>
    </row>
    <row r="4" spans="2:6">
      <c r="B4" s="72" t="s">
        <v>1773</v>
      </c>
      <c r="C4" s="175">
        <v>24423.58</v>
      </c>
    </row>
    <row r="5" spans="2:6">
      <c r="B5" s="1044" t="s">
        <v>341</v>
      </c>
      <c r="C5" s="1045">
        <f>SUM(C2:C4)</f>
        <v>81669.58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634F5-19BD-4E63-9CBD-4987A0F8321C}">
  <dimension ref="B2:G25"/>
  <sheetViews>
    <sheetView workbookViewId="0"/>
  </sheetViews>
  <sheetFormatPr defaultColWidth="8.7109375" defaultRowHeight="12.75"/>
  <cols>
    <col min="1" max="1" width="3.7109375" style="93" customWidth="1"/>
    <col min="2" max="2" width="25" style="93" customWidth="1"/>
    <col min="3" max="3" width="6" style="93" customWidth="1"/>
    <col min="4" max="4" width="14.5703125" style="93" customWidth="1"/>
    <col min="5" max="5" width="29.85546875" style="93" bestFit="1" customWidth="1"/>
    <col min="6" max="6" width="8.7109375" style="93"/>
    <col min="7" max="7" width="14" style="93" bestFit="1" customWidth="1"/>
    <col min="8" max="16384" width="8.7109375" style="93"/>
  </cols>
  <sheetData>
    <row r="2" spans="2:7">
      <c r="B2" s="91" t="s">
        <v>196</v>
      </c>
      <c r="C2" s="91"/>
      <c r="D2" s="92"/>
    </row>
    <row r="3" spans="2:7">
      <c r="B3" s="93" t="s">
        <v>197</v>
      </c>
      <c r="D3" s="94">
        <v>0.05</v>
      </c>
      <c r="E3" s="95" t="s">
        <v>198</v>
      </c>
    </row>
    <row r="4" spans="2:7">
      <c r="D4" s="96"/>
    </row>
    <row r="5" spans="2:7">
      <c r="B5" s="93" t="s">
        <v>199</v>
      </c>
      <c r="D5" s="97">
        <f>'Old OSAR'!E6</f>
        <v>47626516</v>
      </c>
      <c r="E5" s="95" t="s">
        <v>200</v>
      </c>
    </row>
    <row r="6" spans="2:7">
      <c r="D6" s="96"/>
    </row>
    <row r="7" spans="2:7">
      <c r="B7" s="93" t="s">
        <v>201</v>
      </c>
      <c r="D7" s="97" t="e">
        <f>'Old OSAR'!K57</f>
        <v>#REF!</v>
      </c>
      <c r="E7" s="95" t="s">
        <v>202</v>
      </c>
    </row>
    <row r="8" spans="2:7">
      <c r="B8" s="93" t="s">
        <v>203</v>
      </c>
      <c r="C8" s="106" t="e">
        <f>D9/D7-1</f>
        <v>#REF!</v>
      </c>
      <c r="D8" s="98">
        <v>489000</v>
      </c>
      <c r="E8" s="95" t="s">
        <v>204</v>
      </c>
      <c r="G8" s="107"/>
    </row>
    <row r="9" spans="2:7">
      <c r="B9" s="99" t="s">
        <v>205</v>
      </c>
      <c r="C9" s="99"/>
      <c r="D9" s="100" t="e">
        <f>SUM(D7:D8)</f>
        <v>#REF!</v>
      </c>
      <c r="G9" s="106"/>
    </row>
    <row r="10" spans="2:7">
      <c r="D10" s="96"/>
    </row>
    <row r="11" spans="2:7">
      <c r="B11" s="101" t="s">
        <v>206</v>
      </c>
      <c r="C11" s="101"/>
      <c r="D11" s="102" t="e">
        <f>D9/D5</f>
        <v>#REF!</v>
      </c>
    </row>
    <row r="12" spans="2:7">
      <c r="D12" s="103" t="e">
        <f>D3=D11</f>
        <v>#REF!</v>
      </c>
    </row>
    <row r="13" spans="2:7">
      <c r="D13" s="96"/>
    </row>
    <row r="14" spans="2:7">
      <c r="D14" s="96"/>
    </row>
    <row r="15" spans="2:7">
      <c r="B15" s="91" t="s">
        <v>207</v>
      </c>
      <c r="C15" s="91"/>
      <c r="D15" s="92"/>
    </row>
    <row r="16" spans="2:7">
      <c r="B16" s="93" t="s">
        <v>208</v>
      </c>
      <c r="D16" s="104">
        <v>1</v>
      </c>
      <c r="E16" s="95" t="s">
        <v>209</v>
      </c>
    </row>
    <row r="17" spans="2:5">
      <c r="D17" s="96"/>
    </row>
    <row r="18" spans="2:5">
      <c r="B18" s="93" t="s">
        <v>159</v>
      </c>
      <c r="D18" s="97">
        <f>'Old OSAR'!K59</f>
        <v>2863478.1265611108</v>
      </c>
      <c r="E18" s="95" t="s">
        <v>210</v>
      </c>
    </row>
    <row r="19" spans="2:5">
      <c r="D19" s="96"/>
    </row>
    <row r="20" spans="2:5">
      <c r="B20" s="93" t="s">
        <v>201</v>
      </c>
      <c r="D20" s="97" t="e">
        <f>'Old OSAR'!K57</f>
        <v>#REF!</v>
      </c>
      <c r="E20" s="95" t="s">
        <v>202</v>
      </c>
    </row>
    <row r="21" spans="2:5">
      <c r="B21" s="93" t="s">
        <v>203</v>
      </c>
      <c r="C21" s="106" t="e">
        <f>D22/D20-1</f>
        <v>#REF!</v>
      </c>
      <c r="D21" s="98">
        <v>909933.43499999878</v>
      </c>
      <c r="E21" s="95" t="s">
        <v>204</v>
      </c>
    </row>
    <row r="22" spans="2:5">
      <c r="B22" s="99" t="s">
        <v>205</v>
      </c>
      <c r="C22" s="99"/>
      <c r="D22" s="100" t="e">
        <f>SUM(D20:D21)</f>
        <v>#REF!</v>
      </c>
    </row>
    <row r="23" spans="2:5">
      <c r="D23" s="96"/>
    </row>
    <row r="24" spans="2:5">
      <c r="B24" s="101" t="s">
        <v>211</v>
      </c>
      <c r="C24" s="101"/>
      <c r="D24" s="105" t="e">
        <f>D22/D18</f>
        <v>#REF!</v>
      </c>
    </row>
    <row r="25" spans="2:5">
      <c r="D25" s="103" t="e">
        <f>D16=D24</f>
        <v>#REF!</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11635-C782-4338-A4AB-1FC73086506F}">
  <sheetPr>
    <tabColor rgb="FFFFFF00"/>
  </sheetPr>
  <dimension ref="A1:FG232"/>
  <sheetViews>
    <sheetView zoomScale="90" zoomScaleNormal="90" workbookViewId="0">
      <selection activeCell="AE17" sqref="AE17"/>
    </sheetView>
  </sheetViews>
  <sheetFormatPr defaultColWidth="9.140625" defaultRowHeight="12.75"/>
  <cols>
    <col min="1" max="1" width="5.42578125" style="108" customWidth="1"/>
    <col min="2" max="2" width="37.140625" style="108" customWidth="1"/>
    <col min="3" max="3" width="15.28515625" style="108" customWidth="1"/>
    <col min="4" max="4" width="15.7109375" style="108" customWidth="1"/>
    <col min="5" max="5" width="13.140625" style="108" customWidth="1"/>
    <col min="6" max="6" width="9.42578125" style="108" customWidth="1"/>
    <col min="7" max="7" width="3" style="108" customWidth="1"/>
    <col min="8" max="8" width="16.42578125" style="108" customWidth="1"/>
    <col min="9" max="9" width="13.42578125" style="108" customWidth="1"/>
    <col min="10" max="10" width="12.42578125" style="108" customWidth="1"/>
    <col min="11" max="11" width="2.85546875" style="108" customWidth="1"/>
    <col min="12" max="12" width="8" style="108" customWidth="1"/>
    <col min="13" max="13" width="28.5703125" style="108" customWidth="1"/>
    <col min="14" max="14" width="9.5703125" style="108" bestFit="1" customWidth="1"/>
    <col min="15" max="15" width="34.140625" style="108" customWidth="1"/>
    <col min="16" max="16" width="14.140625" style="108" bestFit="1" customWidth="1"/>
    <col min="17" max="17" width="15.28515625" style="108" customWidth="1"/>
    <col min="18" max="18" width="16.140625" style="108" customWidth="1"/>
    <col min="19" max="25" width="12.140625" style="108" bestFit="1" customWidth="1"/>
    <col min="26" max="27" width="13.42578125" style="108" bestFit="1" customWidth="1"/>
    <col min="28" max="28" width="13.28515625" style="108" bestFit="1" customWidth="1"/>
    <col min="29" max="29" width="36" style="108" customWidth="1"/>
    <col min="30" max="30" width="15.42578125" style="108" customWidth="1"/>
    <col min="31" max="32" width="13.28515625" style="108" bestFit="1" customWidth="1"/>
    <col min="33" max="34" width="13.42578125" style="108" bestFit="1" customWidth="1"/>
    <col min="35" max="37" width="12.42578125" style="108" bestFit="1" customWidth="1"/>
    <col min="38" max="41" width="11.28515625" style="108" bestFit="1" customWidth="1"/>
    <col min="42" max="42" width="12.85546875" style="108" bestFit="1" customWidth="1"/>
    <col min="43" max="46" width="11.28515625" style="108" bestFit="1" customWidth="1"/>
    <col min="47" max="49" width="12.42578125" style="108" bestFit="1" customWidth="1"/>
    <col min="50" max="58" width="11.28515625" style="108" bestFit="1" customWidth="1"/>
    <col min="59" max="61" width="12.42578125" style="108" bestFit="1" customWidth="1"/>
    <col min="62" max="70" width="11.28515625" style="108" bestFit="1" customWidth="1"/>
    <col min="71" max="73" width="12.42578125" style="108" bestFit="1" customWidth="1"/>
    <col min="74" max="82" width="11.28515625" style="108" bestFit="1" customWidth="1"/>
    <col min="83" max="85" width="12.42578125" style="108" bestFit="1" customWidth="1"/>
    <col min="86" max="94" width="11.28515625" style="108" bestFit="1" customWidth="1"/>
    <col min="95" max="97" width="12.42578125" style="108" bestFit="1" customWidth="1"/>
    <col min="98" max="106" width="11.28515625" style="108" bestFit="1" customWidth="1"/>
    <col min="107" max="109" width="12.42578125" style="108" bestFit="1" customWidth="1"/>
    <col min="110" max="118" width="11.28515625" style="108" bestFit="1" customWidth="1"/>
    <col min="119" max="121" width="12.42578125" style="108" bestFit="1" customWidth="1"/>
    <col min="122" max="130" width="11.28515625" style="108" bestFit="1" customWidth="1"/>
    <col min="131" max="133" width="12.42578125" style="108" bestFit="1" customWidth="1"/>
    <col min="134" max="142" width="11.28515625" style="108" bestFit="1" customWidth="1"/>
    <col min="143" max="145" width="12.42578125" style="108" bestFit="1" customWidth="1"/>
    <col min="146" max="154" width="11.28515625" style="108" bestFit="1" customWidth="1"/>
    <col min="155" max="157" width="12.42578125" style="108" bestFit="1" customWidth="1"/>
    <col min="158" max="162" width="11.28515625" style="108" bestFit="1" customWidth="1"/>
    <col min="163" max="168" width="10.7109375" style="108" bestFit="1" customWidth="1"/>
    <col min="169" max="16384" width="9.140625" style="108"/>
  </cols>
  <sheetData>
    <row r="1" spans="1:162">
      <c r="A1"/>
      <c r="B1"/>
      <c r="C1"/>
      <c r="D1"/>
      <c r="E1"/>
      <c r="F1"/>
      <c r="G1"/>
      <c r="H1"/>
      <c r="I1"/>
      <c r="J1"/>
      <c r="K1"/>
      <c r="L1"/>
      <c r="M1"/>
    </row>
    <row r="2" spans="1:162">
      <c r="A2"/>
      <c r="B2" s="193" t="s">
        <v>580</v>
      </c>
      <c r="C2"/>
      <c r="D2"/>
      <c r="E2"/>
      <c r="F2"/>
      <c r="G2"/>
      <c r="H2"/>
      <c r="I2"/>
      <c r="J2"/>
      <c r="K2"/>
      <c r="L2"/>
      <c r="M2"/>
    </row>
    <row r="3" spans="1:162">
      <c r="A3"/>
      <c r="B3" s="333" t="s">
        <v>362</v>
      </c>
      <c r="C3" s="334" t="str">
        <f>'DSCR Calc'!H2</f>
        <v>DY 1Q 2026</v>
      </c>
      <c r="D3" s="335" t="str">
        <f>"U/W YEAR "&amp;Q3</f>
        <v>U/W YEAR 1</v>
      </c>
      <c r="E3" s="1363" t="s">
        <v>448</v>
      </c>
      <c r="F3" s="1363"/>
      <c r="G3" s="336"/>
      <c r="H3" s="335" t="s">
        <v>361</v>
      </c>
      <c r="I3" s="1363" t="s">
        <v>448</v>
      </c>
      <c r="J3" s="1363"/>
      <c r="K3" s="336"/>
      <c r="L3" s="335"/>
      <c r="M3" s="850"/>
      <c r="O3" s="421" t="s">
        <v>363</v>
      </c>
      <c r="P3" s="816" t="s">
        <v>650</v>
      </c>
      <c r="Q3" s="179">
        <v>1</v>
      </c>
      <c r="R3" s="179">
        <v>2</v>
      </c>
      <c r="S3" s="179">
        <v>3</v>
      </c>
      <c r="T3" s="179">
        <v>4</v>
      </c>
      <c r="U3" s="179">
        <v>5</v>
      </c>
      <c r="V3" s="179">
        <v>6</v>
      </c>
      <c r="W3" s="179">
        <v>7</v>
      </c>
      <c r="X3" s="179">
        <v>8</v>
      </c>
      <c r="Y3" s="179">
        <v>9</v>
      </c>
      <c r="Z3" s="179">
        <v>10</v>
      </c>
      <c r="AA3" s="180">
        <v>11</v>
      </c>
      <c r="AB3" s="177"/>
    </row>
    <row r="4" spans="1:162">
      <c r="A4"/>
      <c r="B4" s="337" t="s">
        <v>360</v>
      </c>
      <c r="C4" s="338">
        <f>'Old OSAR'!I14</f>
        <v>45930</v>
      </c>
      <c r="D4" s="339">
        <f>Q4</f>
        <v>46173</v>
      </c>
      <c r="E4" s="339"/>
      <c r="F4" s="340"/>
      <c r="G4" s="340"/>
      <c r="H4" s="338" t="s">
        <v>574</v>
      </c>
      <c r="I4" s="339"/>
      <c r="J4" s="340"/>
      <c r="K4" s="340"/>
      <c r="L4" s="339"/>
      <c r="M4" s="851"/>
      <c r="O4" s="422" t="s">
        <v>364</v>
      </c>
      <c r="P4" s="181">
        <f>P6</f>
        <v>45809</v>
      </c>
      <c r="Q4" s="181">
        <f>Q6</f>
        <v>46173</v>
      </c>
      <c r="R4" s="181">
        <f>EOMONTH(Q4,12)</f>
        <v>46538</v>
      </c>
      <c r="S4" s="181">
        <v>45657</v>
      </c>
      <c r="T4" s="423">
        <f>E4</f>
        <v>0</v>
      </c>
      <c r="U4" s="181">
        <v>46022</v>
      </c>
      <c r="V4" s="181">
        <v>46387</v>
      </c>
      <c r="W4" s="181">
        <v>46752</v>
      </c>
      <c r="X4" s="181">
        <v>47118</v>
      </c>
      <c r="Y4" s="181">
        <v>47483</v>
      </c>
      <c r="Z4" s="181">
        <v>47848</v>
      </c>
      <c r="AA4" s="182">
        <v>48213</v>
      </c>
      <c r="AB4" s="178"/>
    </row>
    <row r="5" spans="1:162">
      <c r="A5"/>
      <c r="B5" s="341"/>
      <c r="C5" s="341"/>
      <c r="D5" s="341"/>
      <c r="E5" s="341"/>
      <c r="F5" s="341"/>
      <c r="G5" s="342"/>
      <c r="H5" s="341"/>
      <c r="I5" s="341"/>
      <c r="J5" s="341"/>
      <c r="K5" s="342"/>
      <c r="L5"/>
      <c r="M5"/>
      <c r="O5" s="644" t="s">
        <v>581</v>
      </c>
      <c r="P5" s="645">
        <v>0</v>
      </c>
      <c r="Q5" s="647">
        <v>1</v>
      </c>
      <c r="R5" s="647">
        <v>2</v>
      </c>
      <c r="S5" s="647">
        <v>3</v>
      </c>
      <c r="T5" s="647">
        <v>4</v>
      </c>
      <c r="U5" s="647">
        <v>5</v>
      </c>
      <c r="V5" s="647">
        <v>6</v>
      </c>
      <c r="W5" s="647">
        <v>7</v>
      </c>
      <c r="X5" s="647">
        <v>8</v>
      </c>
      <c r="Y5" s="647">
        <v>9</v>
      </c>
      <c r="Z5" s="647">
        <v>10</v>
      </c>
      <c r="AA5" s="647">
        <v>11</v>
      </c>
      <c r="AB5" s="648"/>
      <c r="AC5" s="649" t="s">
        <v>584</v>
      </c>
      <c r="AD5" s="645">
        <v>0</v>
      </c>
      <c r="AE5" s="650">
        <v>1</v>
      </c>
      <c r="AF5" s="650">
        <v>1</v>
      </c>
      <c r="AG5" s="650">
        <v>1</v>
      </c>
      <c r="AH5" s="650">
        <v>1</v>
      </c>
      <c r="AI5" s="650">
        <v>1</v>
      </c>
      <c r="AJ5" s="650">
        <v>1</v>
      </c>
      <c r="AK5" s="650">
        <v>1</v>
      </c>
      <c r="AL5" s="650">
        <v>1</v>
      </c>
      <c r="AM5" s="650">
        <v>1</v>
      </c>
      <c r="AN5" s="650">
        <v>1</v>
      </c>
      <c r="AO5" s="650">
        <v>1</v>
      </c>
      <c r="AP5" s="650">
        <v>1</v>
      </c>
      <c r="AQ5" s="650">
        <v>2</v>
      </c>
      <c r="AR5" s="650">
        <v>2</v>
      </c>
      <c r="AS5" s="650">
        <v>2</v>
      </c>
      <c r="AT5" s="650">
        <v>2</v>
      </c>
      <c r="AU5" s="650">
        <v>2</v>
      </c>
      <c r="AV5" s="650">
        <v>2</v>
      </c>
      <c r="AW5" s="650">
        <v>2</v>
      </c>
      <c r="AX5" s="650">
        <v>2</v>
      </c>
      <c r="AY5" s="650">
        <v>2</v>
      </c>
      <c r="AZ5" s="650">
        <v>2</v>
      </c>
      <c r="BA5" s="650">
        <v>2</v>
      </c>
      <c r="BB5" s="650">
        <v>2</v>
      </c>
      <c r="BC5" s="650">
        <v>3</v>
      </c>
      <c r="BD5" s="650">
        <v>3</v>
      </c>
      <c r="BE5" s="650">
        <v>3</v>
      </c>
      <c r="BF5" s="650">
        <v>3</v>
      </c>
      <c r="BG5" s="650">
        <v>3</v>
      </c>
      <c r="BH5" s="650">
        <v>3</v>
      </c>
      <c r="BI5" s="650">
        <v>3</v>
      </c>
      <c r="BJ5" s="650">
        <v>3</v>
      </c>
      <c r="BK5" s="650">
        <v>3</v>
      </c>
      <c r="BL5" s="650">
        <v>3</v>
      </c>
      <c r="BM5" s="650">
        <v>3</v>
      </c>
      <c r="BN5" s="650">
        <v>3</v>
      </c>
      <c r="BO5" s="650">
        <v>4</v>
      </c>
      <c r="BP5" s="650">
        <v>4</v>
      </c>
      <c r="BQ5" s="650">
        <v>4</v>
      </c>
      <c r="BR5" s="650">
        <v>4</v>
      </c>
      <c r="BS5" s="650">
        <v>4</v>
      </c>
      <c r="BT5" s="650">
        <v>4</v>
      </c>
      <c r="BU5" s="650">
        <v>4</v>
      </c>
      <c r="BV5" s="650">
        <v>4</v>
      </c>
      <c r="BW5" s="650">
        <v>4</v>
      </c>
      <c r="BX5" s="650">
        <v>4</v>
      </c>
      <c r="BY5" s="650">
        <v>4</v>
      </c>
      <c r="BZ5" s="650">
        <v>4</v>
      </c>
      <c r="CA5" s="650">
        <v>5</v>
      </c>
      <c r="CB5" s="650">
        <v>5</v>
      </c>
      <c r="CC5" s="650">
        <v>5</v>
      </c>
      <c r="CD5" s="650">
        <v>5</v>
      </c>
      <c r="CE5" s="650">
        <v>5</v>
      </c>
      <c r="CF5" s="650">
        <v>5</v>
      </c>
      <c r="CG5" s="650">
        <v>5</v>
      </c>
      <c r="CH5" s="650">
        <v>5</v>
      </c>
      <c r="CI5" s="650">
        <v>5</v>
      </c>
      <c r="CJ5" s="650">
        <v>5</v>
      </c>
      <c r="CK5" s="650">
        <v>5</v>
      </c>
      <c r="CL5" s="650">
        <v>5</v>
      </c>
      <c r="CM5" s="650">
        <v>6</v>
      </c>
      <c r="CN5" s="650">
        <v>6</v>
      </c>
      <c r="CO5" s="650">
        <v>6</v>
      </c>
      <c r="CP5" s="650">
        <v>6</v>
      </c>
      <c r="CQ5" s="650">
        <v>6</v>
      </c>
      <c r="CR5" s="650">
        <v>6</v>
      </c>
      <c r="CS5" s="650">
        <v>6</v>
      </c>
      <c r="CT5" s="650">
        <v>6</v>
      </c>
      <c r="CU5" s="650">
        <v>6</v>
      </c>
      <c r="CV5" s="650">
        <v>6</v>
      </c>
      <c r="CW5" s="650">
        <v>6</v>
      </c>
      <c r="CX5" s="650">
        <v>6</v>
      </c>
      <c r="CY5" s="650">
        <v>7</v>
      </c>
      <c r="CZ5" s="650">
        <v>7</v>
      </c>
      <c r="DA5" s="650">
        <v>7</v>
      </c>
      <c r="DB5" s="650">
        <v>7</v>
      </c>
      <c r="DC5" s="650">
        <v>7</v>
      </c>
      <c r="DD5" s="650">
        <v>7</v>
      </c>
      <c r="DE5" s="650">
        <v>7</v>
      </c>
      <c r="DF5" s="650">
        <v>7</v>
      </c>
      <c r="DG5" s="650">
        <v>7</v>
      </c>
      <c r="DH5" s="650">
        <v>7</v>
      </c>
      <c r="DI5" s="650">
        <v>7</v>
      </c>
      <c r="DJ5" s="650">
        <v>7</v>
      </c>
      <c r="DK5" s="650">
        <v>8</v>
      </c>
      <c r="DL5" s="650">
        <v>8</v>
      </c>
      <c r="DM5" s="650">
        <v>8</v>
      </c>
      <c r="DN5" s="650">
        <v>8</v>
      </c>
      <c r="DO5" s="650">
        <v>8</v>
      </c>
      <c r="DP5" s="650">
        <v>8</v>
      </c>
      <c r="DQ5" s="650">
        <v>8</v>
      </c>
      <c r="DR5" s="650">
        <v>8</v>
      </c>
      <c r="DS5" s="650">
        <v>8</v>
      </c>
      <c r="DT5" s="650">
        <v>8</v>
      </c>
      <c r="DU5" s="650">
        <v>8</v>
      </c>
      <c r="DV5" s="650">
        <v>8</v>
      </c>
      <c r="DW5" s="650">
        <v>9</v>
      </c>
      <c r="DX5" s="650">
        <v>9</v>
      </c>
      <c r="DY5" s="650">
        <v>9</v>
      </c>
      <c r="DZ5" s="650">
        <v>9</v>
      </c>
      <c r="EA5" s="650">
        <v>9</v>
      </c>
      <c r="EB5" s="650">
        <v>9</v>
      </c>
      <c r="EC5" s="650">
        <v>9</v>
      </c>
      <c r="ED5" s="650">
        <v>9</v>
      </c>
      <c r="EE5" s="650">
        <v>9</v>
      </c>
      <c r="EF5" s="650">
        <v>9</v>
      </c>
      <c r="EG5" s="650">
        <v>9</v>
      </c>
      <c r="EH5" s="650">
        <v>9</v>
      </c>
      <c r="EI5" s="650">
        <v>10</v>
      </c>
      <c r="EJ5" s="650">
        <v>10</v>
      </c>
      <c r="EK5" s="650">
        <v>10</v>
      </c>
      <c r="EL5" s="650">
        <v>10</v>
      </c>
      <c r="EM5" s="650">
        <v>10</v>
      </c>
      <c r="EN5" s="650">
        <v>10</v>
      </c>
      <c r="EO5" s="650">
        <v>10</v>
      </c>
      <c r="EP5" s="650">
        <v>10</v>
      </c>
      <c r="EQ5" s="650">
        <v>10</v>
      </c>
      <c r="ER5" s="650">
        <v>10</v>
      </c>
      <c r="ES5" s="650">
        <v>10</v>
      </c>
      <c r="ET5" s="650">
        <v>10</v>
      </c>
      <c r="EU5" s="650">
        <v>11</v>
      </c>
      <c r="EV5" s="650">
        <v>11</v>
      </c>
      <c r="EW5" s="650">
        <v>11</v>
      </c>
      <c r="EX5" s="650">
        <v>11</v>
      </c>
      <c r="EY5" s="650">
        <v>11</v>
      </c>
      <c r="EZ5" s="650">
        <v>11</v>
      </c>
      <c r="FA5" s="650">
        <v>11</v>
      </c>
      <c r="FB5" s="650">
        <v>11</v>
      </c>
      <c r="FC5" s="650">
        <v>11</v>
      </c>
      <c r="FD5" s="650">
        <v>11</v>
      </c>
      <c r="FE5" s="650">
        <v>11</v>
      </c>
      <c r="FF5" s="650">
        <v>11</v>
      </c>
    </row>
    <row r="6" spans="1:162" ht="13.5" thickBot="1">
      <c r="A6"/>
      <c r="B6" s="72" t="s">
        <v>317</v>
      </c>
      <c r="C6" s="424">
        <f>'DSCR Calc'!H5</f>
        <v>47626516</v>
      </c>
      <c r="D6" s="425"/>
      <c r="E6" s="341"/>
      <c r="F6" s="341"/>
      <c r="G6" s="345"/>
      <c r="H6" s="424">
        <f>'2025 Budget'!U9</f>
        <v>47626516</v>
      </c>
      <c r="I6" s="346"/>
      <c r="J6" s="341"/>
      <c r="K6" s="345"/>
      <c r="L6"/>
      <c r="M6"/>
      <c r="O6" s="651" t="s">
        <v>585</v>
      </c>
      <c r="P6" s="652">
        <v>45809</v>
      </c>
      <c r="Q6" s="654">
        <v>46173</v>
      </c>
      <c r="R6" s="654">
        <v>46538</v>
      </c>
      <c r="S6" s="654">
        <v>46904</v>
      </c>
      <c r="T6" s="654">
        <v>47269</v>
      </c>
      <c r="U6" s="654">
        <v>47634</v>
      </c>
      <c r="V6" s="654">
        <v>47999</v>
      </c>
      <c r="W6" s="654">
        <v>48365</v>
      </c>
      <c r="X6" s="654">
        <v>48730</v>
      </c>
      <c r="Y6" s="654">
        <v>49095</v>
      </c>
      <c r="Z6" s="654">
        <v>49460</v>
      </c>
      <c r="AA6" s="654">
        <v>49826</v>
      </c>
      <c r="AB6" s="648"/>
      <c r="AC6" s="649" t="s">
        <v>586</v>
      </c>
      <c r="AD6" s="652">
        <v>45809</v>
      </c>
      <c r="AE6" s="655">
        <v>1</v>
      </c>
      <c r="AF6" s="655">
        <v>2</v>
      </c>
      <c r="AG6" s="655">
        <v>3</v>
      </c>
      <c r="AH6" s="655">
        <v>4</v>
      </c>
      <c r="AI6" s="655">
        <v>5</v>
      </c>
      <c r="AJ6" s="655">
        <v>6</v>
      </c>
      <c r="AK6" s="655">
        <v>7</v>
      </c>
      <c r="AL6" s="655">
        <v>8</v>
      </c>
      <c r="AM6" s="655">
        <v>9</v>
      </c>
      <c r="AN6" s="655">
        <v>10</v>
      </c>
      <c r="AO6" s="655">
        <v>11</v>
      </c>
      <c r="AP6" s="655">
        <v>12</v>
      </c>
      <c r="AQ6" s="655">
        <v>13</v>
      </c>
      <c r="AR6" s="655">
        <v>14</v>
      </c>
      <c r="AS6" s="655">
        <v>15</v>
      </c>
      <c r="AT6" s="655">
        <v>16</v>
      </c>
      <c r="AU6" s="655">
        <v>17</v>
      </c>
      <c r="AV6" s="655">
        <v>18</v>
      </c>
      <c r="AW6" s="655">
        <v>19</v>
      </c>
      <c r="AX6" s="655">
        <v>20</v>
      </c>
      <c r="AY6" s="655">
        <v>21</v>
      </c>
      <c r="AZ6" s="655">
        <v>22</v>
      </c>
      <c r="BA6" s="655">
        <v>23</v>
      </c>
      <c r="BB6" s="655">
        <v>24</v>
      </c>
      <c r="BC6" s="655">
        <v>25</v>
      </c>
      <c r="BD6" s="655">
        <v>26</v>
      </c>
      <c r="BE6" s="655">
        <v>27</v>
      </c>
      <c r="BF6" s="655">
        <v>28</v>
      </c>
      <c r="BG6" s="655">
        <v>29</v>
      </c>
      <c r="BH6" s="655">
        <v>30</v>
      </c>
      <c r="BI6" s="655">
        <v>31</v>
      </c>
      <c r="BJ6" s="655">
        <v>32</v>
      </c>
      <c r="BK6" s="655">
        <v>33</v>
      </c>
      <c r="BL6" s="655">
        <v>34</v>
      </c>
      <c r="BM6" s="655">
        <v>35</v>
      </c>
      <c r="BN6" s="655">
        <v>36</v>
      </c>
      <c r="BO6" s="655">
        <v>37</v>
      </c>
      <c r="BP6" s="655">
        <v>38</v>
      </c>
      <c r="BQ6" s="655">
        <v>39</v>
      </c>
      <c r="BR6" s="655">
        <v>40</v>
      </c>
      <c r="BS6" s="655">
        <v>41</v>
      </c>
      <c r="BT6" s="655">
        <v>42</v>
      </c>
      <c r="BU6" s="655">
        <v>43</v>
      </c>
      <c r="BV6" s="655">
        <v>44</v>
      </c>
      <c r="BW6" s="655">
        <v>45</v>
      </c>
      <c r="BX6" s="655">
        <v>46</v>
      </c>
      <c r="BY6" s="655">
        <v>47</v>
      </c>
      <c r="BZ6" s="655">
        <v>48</v>
      </c>
      <c r="CA6" s="655">
        <v>49</v>
      </c>
      <c r="CB6" s="655">
        <v>50</v>
      </c>
      <c r="CC6" s="655">
        <v>51</v>
      </c>
      <c r="CD6" s="655">
        <v>52</v>
      </c>
      <c r="CE6" s="655">
        <v>53</v>
      </c>
      <c r="CF6" s="655">
        <v>54</v>
      </c>
      <c r="CG6" s="655">
        <v>55</v>
      </c>
      <c r="CH6" s="655">
        <v>56</v>
      </c>
      <c r="CI6" s="655">
        <v>57</v>
      </c>
      <c r="CJ6" s="655">
        <v>58</v>
      </c>
      <c r="CK6" s="655">
        <v>59</v>
      </c>
      <c r="CL6" s="655">
        <v>60</v>
      </c>
      <c r="CM6" s="655">
        <v>61</v>
      </c>
      <c r="CN6" s="655">
        <v>62</v>
      </c>
      <c r="CO6" s="655">
        <v>63</v>
      </c>
      <c r="CP6" s="655">
        <v>64</v>
      </c>
      <c r="CQ6" s="655">
        <v>65</v>
      </c>
      <c r="CR6" s="655">
        <v>66</v>
      </c>
      <c r="CS6" s="655">
        <v>67</v>
      </c>
      <c r="CT6" s="655">
        <v>68</v>
      </c>
      <c r="CU6" s="655">
        <v>69</v>
      </c>
      <c r="CV6" s="655">
        <v>70</v>
      </c>
      <c r="CW6" s="655">
        <v>71</v>
      </c>
      <c r="CX6" s="655">
        <v>72</v>
      </c>
      <c r="CY6" s="655">
        <v>73</v>
      </c>
      <c r="CZ6" s="655">
        <v>74</v>
      </c>
      <c r="DA6" s="655">
        <v>75</v>
      </c>
      <c r="DB6" s="655">
        <v>76</v>
      </c>
      <c r="DC6" s="655">
        <v>77</v>
      </c>
      <c r="DD6" s="655">
        <v>78</v>
      </c>
      <c r="DE6" s="655">
        <v>79</v>
      </c>
      <c r="DF6" s="655">
        <v>80</v>
      </c>
      <c r="DG6" s="655">
        <v>81</v>
      </c>
      <c r="DH6" s="655">
        <v>82</v>
      </c>
      <c r="DI6" s="655">
        <v>83</v>
      </c>
      <c r="DJ6" s="655">
        <v>84</v>
      </c>
      <c r="DK6" s="655">
        <v>85</v>
      </c>
      <c r="DL6" s="655">
        <v>86</v>
      </c>
      <c r="DM6" s="655">
        <v>87</v>
      </c>
      <c r="DN6" s="655">
        <v>88</v>
      </c>
      <c r="DO6" s="655">
        <v>89</v>
      </c>
      <c r="DP6" s="655">
        <v>90</v>
      </c>
      <c r="DQ6" s="655">
        <v>91</v>
      </c>
      <c r="DR6" s="655">
        <v>92</v>
      </c>
      <c r="DS6" s="655">
        <v>93</v>
      </c>
      <c r="DT6" s="655">
        <v>94</v>
      </c>
      <c r="DU6" s="655">
        <v>95</v>
      </c>
      <c r="DV6" s="655">
        <v>96</v>
      </c>
      <c r="DW6" s="655">
        <v>97</v>
      </c>
      <c r="DX6" s="655">
        <v>98</v>
      </c>
      <c r="DY6" s="655">
        <v>99</v>
      </c>
      <c r="DZ6" s="655">
        <v>100</v>
      </c>
      <c r="EA6" s="655">
        <v>101</v>
      </c>
      <c r="EB6" s="655">
        <v>102</v>
      </c>
      <c r="EC6" s="655">
        <v>103</v>
      </c>
      <c r="ED6" s="655">
        <v>104</v>
      </c>
      <c r="EE6" s="655">
        <v>105</v>
      </c>
      <c r="EF6" s="655">
        <v>106</v>
      </c>
      <c r="EG6" s="655">
        <v>107</v>
      </c>
      <c r="EH6" s="655">
        <v>108</v>
      </c>
      <c r="EI6" s="655">
        <v>109</v>
      </c>
      <c r="EJ6" s="655">
        <v>110</v>
      </c>
      <c r="EK6" s="655">
        <v>111</v>
      </c>
      <c r="EL6" s="655">
        <v>112</v>
      </c>
      <c r="EM6" s="655">
        <v>113</v>
      </c>
      <c r="EN6" s="655">
        <v>114</v>
      </c>
      <c r="EO6" s="655">
        <v>115</v>
      </c>
      <c r="EP6" s="655">
        <v>116</v>
      </c>
      <c r="EQ6" s="655">
        <v>117</v>
      </c>
      <c r="ER6" s="655">
        <v>118</v>
      </c>
      <c r="ES6" s="655">
        <v>119</v>
      </c>
      <c r="ET6" s="655">
        <v>120</v>
      </c>
      <c r="EU6" s="655">
        <v>121</v>
      </c>
      <c r="EV6" s="655">
        <v>122</v>
      </c>
      <c r="EW6" s="655">
        <v>123</v>
      </c>
      <c r="EX6" s="655">
        <v>124</v>
      </c>
      <c r="EY6" s="655">
        <v>125</v>
      </c>
      <c r="EZ6" s="655">
        <v>126</v>
      </c>
      <c r="FA6" s="655">
        <v>127</v>
      </c>
      <c r="FB6" s="655">
        <v>128</v>
      </c>
      <c r="FC6" s="655">
        <v>129</v>
      </c>
      <c r="FD6" s="655">
        <v>130</v>
      </c>
      <c r="FE6" s="655">
        <v>131</v>
      </c>
      <c r="FF6" s="655">
        <v>132</v>
      </c>
    </row>
    <row r="7" spans="1:162">
      <c r="A7"/>
      <c r="B7" s="341"/>
      <c r="C7" s="341"/>
      <c r="D7" s="341"/>
      <c r="E7" s="341"/>
      <c r="F7" s="341"/>
      <c r="G7" s="342"/>
      <c r="H7" s="341"/>
      <c r="I7" s="341"/>
      <c r="J7" s="341"/>
      <c r="K7" s="342"/>
      <c r="L7"/>
      <c r="M7"/>
      <c r="O7" s="656" t="s">
        <v>587</v>
      </c>
      <c r="P7" s="657">
        <v>1883.2613793103451</v>
      </c>
      <c r="Q7" s="619">
        <v>1946.5922518090531</v>
      </c>
      <c r="R7" s="659">
        <v>2070.3822646762205</v>
      </c>
      <c r="S7" s="659">
        <v>2207.8189521490417</v>
      </c>
      <c r="T7" s="659">
        <v>2295.2978763808637</v>
      </c>
      <c r="U7" s="659">
        <v>2351.3611998944307</v>
      </c>
      <c r="V7" s="659">
        <v>2415.1875169109912</v>
      </c>
      <c r="W7" s="659">
        <v>2487.6431424183234</v>
      </c>
      <c r="X7" s="659">
        <v>2562.2724366908756</v>
      </c>
      <c r="Y7" s="659">
        <v>2639.1406097916042</v>
      </c>
      <c r="Z7" s="659">
        <v>2718.3148280853552</v>
      </c>
      <c r="AA7" s="659">
        <v>2799.8642729279195</v>
      </c>
      <c r="AB7" s="648"/>
      <c r="AC7" s="660" t="s">
        <v>188</v>
      </c>
      <c r="AD7" s="660"/>
      <c r="AE7" s="661"/>
      <c r="AF7" s="661"/>
      <c r="AG7" s="661"/>
      <c r="AH7" s="661"/>
      <c r="AI7" s="661"/>
      <c r="AJ7" s="661"/>
      <c r="AK7" s="661"/>
      <c r="AL7" s="661"/>
      <c r="AM7" s="661"/>
      <c r="AN7" s="661"/>
      <c r="AO7" s="661"/>
      <c r="AP7" s="661"/>
      <c r="AQ7" s="661"/>
      <c r="AR7" s="661"/>
      <c r="AS7" s="661"/>
      <c r="AT7" s="662"/>
      <c r="AU7" s="662"/>
      <c r="AV7" s="662"/>
      <c r="AW7" s="662"/>
      <c r="AX7" s="662"/>
      <c r="AY7" s="662"/>
      <c r="AZ7" s="662"/>
      <c r="BA7" s="662"/>
      <c r="BB7" s="662"/>
      <c r="BC7" s="662"/>
      <c r="BD7" s="662"/>
      <c r="BE7" s="662"/>
      <c r="BF7" s="662"/>
      <c r="BG7" s="662"/>
      <c r="BH7" s="662"/>
      <c r="BI7" s="662"/>
      <c r="BJ7" s="662"/>
      <c r="BK7" s="662"/>
      <c r="BL7" s="662"/>
      <c r="BM7" s="662"/>
      <c r="BN7" s="662"/>
      <c r="BO7" s="662"/>
      <c r="BP7" s="662"/>
      <c r="BQ7" s="662"/>
      <c r="BR7" s="662"/>
      <c r="BS7" s="662"/>
      <c r="BT7" s="662"/>
      <c r="BU7" s="662"/>
      <c r="BV7" s="662"/>
      <c r="BW7" s="662"/>
      <c r="BX7" s="662"/>
      <c r="BY7" s="662"/>
      <c r="BZ7" s="662"/>
      <c r="CA7" s="662"/>
      <c r="CB7" s="662"/>
      <c r="CC7" s="662"/>
      <c r="CD7" s="662"/>
      <c r="CE7" s="662"/>
      <c r="CF7" s="662"/>
      <c r="CG7" s="662"/>
      <c r="CH7" s="662"/>
      <c r="CI7" s="662"/>
      <c r="CJ7" s="662"/>
      <c r="CK7" s="662"/>
      <c r="CL7" s="662"/>
      <c r="CM7" s="662"/>
      <c r="CN7" s="662"/>
      <c r="CO7" s="662"/>
      <c r="CP7" s="662"/>
      <c r="CQ7" s="662"/>
      <c r="CR7" s="662"/>
      <c r="CS7" s="662"/>
      <c r="CT7" s="662"/>
      <c r="CU7" s="662"/>
      <c r="CV7" s="662"/>
      <c r="CW7" s="662"/>
      <c r="CX7" s="662"/>
      <c r="CY7" s="662"/>
      <c r="CZ7" s="662"/>
      <c r="DA7" s="662"/>
      <c r="DB7" s="662"/>
      <c r="DC7" s="662"/>
      <c r="DD7" s="662"/>
      <c r="DE7" s="662"/>
      <c r="DF7" s="662"/>
      <c r="DG7" s="662"/>
      <c r="DH7" s="662"/>
      <c r="DI7" s="662"/>
      <c r="DJ7" s="662"/>
      <c r="DK7" s="662"/>
      <c r="DL7" s="662"/>
      <c r="DM7" s="662"/>
      <c r="DN7" s="662"/>
      <c r="DO7" s="662"/>
      <c r="DP7" s="662"/>
      <c r="DQ7" s="662"/>
      <c r="DR7" s="662"/>
      <c r="DS7" s="662"/>
      <c r="DT7" s="662"/>
      <c r="DU7" s="662"/>
      <c r="DV7" s="662"/>
      <c r="DW7" s="662"/>
      <c r="DX7" s="662"/>
      <c r="DY7" s="662"/>
      <c r="DZ7" s="662"/>
      <c r="EA7" s="662"/>
      <c r="EB7" s="662"/>
      <c r="EC7" s="662"/>
      <c r="ED7" s="662"/>
      <c r="EE7" s="662"/>
      <c r="EF7" s="662"/>
      <c r="EG7" s="662"/>
      <c r="EH7" s="662"/>
      <c r="EI7" s="662"/>
      <c r="EJ7" s="662"/>
      <c r="EK7" s="662"/>
      <c r="EL7" s="662"/>
      <c r="EM7" s="662"/>
      <c r="EN7" s="662"/>
      <c r="EO7" s="662"/>
      <c r="EP7" s="662"/>
      <c r="EQ7" s="662"/>
      <c r="ER7" s="662"/>
      <c r="ES7" s="662"/>
      <c r="ET7" s="662"/>
      <c r="EU7" s="662"/>
      <c r="EV7" s="662"/>
      <c r="EW7" s="662"/>
      <c r="EX7" s="662"/>
      <c r="EY7" s="662"/>
      <c r="EZ7" s="662"/>
      <c r="FA7" s="662"/>
      <c r="FB7" s="662"/>
      <c r="FC7" s="662"/>
      <c r="FD7" s="662"/>
      <c r="FE7" s="662"/>
      <c r="FF7" s="662"/>
    </row>
    <row r="8" spans="1:162" ht="13.5" thickBot="1">
      <c r="A8"/>
      <c r="B8" s="72" t="s">
        <v>449</v>
      </c>
      <c r="C8" s="343">
        <f>'Old OSAR'!I15</f>
        <v>0.89610000000000001</v>
      </c>
      <c r="D8" s="344"/>
      <c r="E8" s="341"/>
      <c r="F8" s="341"/>
      <c r="G8" s="345"/>
      <c r="H8" s="343">
        <f>'2025 Budget'!U11</f>
        <v>0</v>
      </c>
      <c r="I8" s="346"/>
      <c r="J8" s="341"/>
      <c r="K8" s="345"/>
      <c r="L8"/>
      <c r="M8"/>
      <c r="O8" s="663" t="s">
        <v>588</v>
      </c>
      <c r="P8" s="664">
        <v>1.9503587874661614</v>
      </c>
      <c r="Q8" s="620">
        <v>2.0159460315166857</v>
      </c>
      <c r="R8" s="666">
        <v>2.1441464725433281</v>
      </c>
      <c r="S8" s="666">
        <v>2.2864797960414278</v>
      </c>
      <c r="T8" s="666">
        <v>2.377075445943249</v>
      </c>
      <c r="U8" s="666">
        <v>2.4351362105670558</v>
      </c>
      <c r="V8" s="666">
        <v>2.5012365509831249</v>
      </c>
      <c r="W8" s="666">
        <v>2.5762736475126213</v>
      </c>
      <c r="X8" s="666">
        <v>2.6535618569380026</v>
      </c>
      <c r="Y8" s="666">
        <v>2.7331687126461448</v>
      </c>
      <c r="Z8" s="666">
        <v>2.8151637740255322</v>
      </c>
      <c r="AA8" s="666">
        <v>2.8996186872463019</v>
      </c>
      <c r="AB8" s="648"/>
      <c r="AC8" s="667" t="s">
        <v>589</v>
      </c>
      <c r="AD8" s="667"/>
      <c r="AE8" s="668">
        <v>290</v>
      </c>
      <c r="AF8" s="668">
        <v>293</v>
      </c>
      <c r="AG8" s="668">
        <v>293</v>
      </c>
      <c r="AH8" s="668">
        <v>283</v>
      </c>
      <c r="AI8" s="668">
        <v>273</v>
      </c>
      <c r="AJ8" s="668">
        <v>273</v>
      </c>
      <c r="AK8" s="668">
        <v>273</v>
      </c>
      <c r="AL8" s="668">
        <v>273</v>
      </c>
      <c r="AM8" s="668">
        <v>273</v>
      </c>
      <c r="AN8" s="668">
        <v>273</v>
      </c>
      <c r="AO8" s="668">
        <v>273</v>
      </c>
      <c r="AP8" s="668">
        <v>273</v>
      </c>
      <c r="AQ8" s="668">
        <v>273</v>
      </c>
      <c r="AR8" s="668">
        <v>273</v>
      </c>
      <c r="AS8" s="668">
        <v>273</v>
      </c>
      <c r="AT8" s="668">
        <v>273</v>
      </c>
      <c r="AU8" s="668">
        <v>273</v>
      </c>
      <c r="AV8" s="668">
        <v>273</v>
      </c>
      <c r="AW8" s="668">
        <v>273</v>
      </c>
      <c r="AX8" s="668">
        <v>273</v>
      </c>
      <c r="AY8" s="668">
        <v>273</v>
      </c>
      <c r="AZ8" s="668">
        <v>273</v>
      </c>
      <c r="BA8" s="668">
        <v>273</v>
      </c>
      <c r="BB8" s="668">
        <v>273</v>
      </c>
      <c r="BC8" s="668">
        <v>273</v>
      </c>
      <c r="BD8" s="668">
        <v>273</v>
      </c>
      <c r="BE8" s="668">
        <v>273</v>
      </c>
      <c r="BF8" s="668">
        <v>273</v>
      </c>
      <c r="BG8" s="668">
        <v>273</v>
      </c>
      <c r="BH8" s="668">
        <v>273</v>
      </c>
      <c r="BI8" s="668">
        <v>273</v>
      </c>
      <c r="BJ8" s="668">
        <v>273</v>
      </c>
      <c r="BK8" s="668">
        <v>273</v>
      </c>
      <c r="BL8" s="668">
        <v>275</v>
      </c>
      <c r="BM8" s="668">
        <v>285</v>
      </c>
      <c r="BN8" s="668">
        <v>293</v>
      </c>
      <c r="BO8" s="668">
        <v>293</v>
      </c>
      <c r="BP8" s="668">
        <v>293</v>
      </c>
      <c r="BQ8" s="668">
        <v>293</v>
      </c>
      <c r="BR8" s="668">
        <v>293</v>
      </c>
      <c r="BS8" s="668">
        <v>293</v>
      </c>
      <c r="BT8" s="668">
        <v>293</v>
      </c>
      <c r="BU8" s="668">
        <v>293</v>
      </c>
      <c r="BV8" s="668">
        <v>293</v>
      </c>
      <c r="BW8" s="668">
        <v>293</v>
      </c>
      <c r="BX8" s="668">
        <v>293</v>
      </c>
      <c r="BY8" s="668">
        <v>293</v>
      </c>
      <c r="BZ8" s="668">
        <v>293</v>
      </c>
      <c r="CA8" s="668">
        <v>293</v>
      </c>
      <c r="CB8" s="668">
        <v>293</v>
      </c>
      <c r="CC8" s="668">
        <v>293</v>
      </c>
      <c r="CD8" s="668">
        <v>293</v>
      </c>
      <c r="CE8" s="668">
        <v>293</v>
      </c>
      <c r="CF8" s="668">
        <v>293</v>
      </c>
      <c r="CG8" s="668">
        <v>293</v>
      </c>
      <c r="CH8" s="668">
        <v>293</v>
      </c>
      <c r="CI8" s="668">
        <v>293</v>
      </c>
      <c r="CJ8" s="668">
        <v>293</v>
      </c>
      <c r="CK8" s="668">
        <v>293</v>
      </c>
      <c r="CL8" s="668">
        <v>293</v>
      </c>
      <c r="CM8" s="668">
        <v>293</v>
      </c>
      <c r="CN8" s="668">
        <v>293</v>
      </c>
      <c r="CO8" s="668">
        <v>293</v>
      </c>
      <c r="CP8" s="668">
        <v>293</v>
      </c>
      <c r="CQ8" s="668">
        <v>293</v>
      </c>
      <c r="CR8" s="668">
        <v>293</v>
      </c>
      <c r="CS8" s="668">
        <v>293</v>
      </c>
      <c r="CT8" s="668">
        <v>293</v>
      </c>
      <c r="CU8" s="668">
        <v>293</v>
      </c>
      <c r="CV8" s="668">
        <v>293</v>
      </c>
      <c r="CW8" s="668">
        <v>293</v>
      </c>
      <c r="CX8" s="668">
        <v>293</v>
      </c>
      <c r="CY8" s="668">
        <v>293</v>
      </c>
      <c r="CZ8" s="668">
        <v>293</v>
      </c>
      <c r="DA8" s="668">
        <v>293</v>
      </c>
      <c r="DB8" s="668">
        <v>293</v>
      </c>
      <c r="DC8" s="668">
        <v>293</v>
      </c>
      <c r="DD8" s="668">
        <v>293</v>
      </c>
      <c r="DE8" s="668">
        <v>293</v>
      </c>
      <c r="DF8" s="668">
        <v>293</v>
      </c>
      <c r="DG8" s="668">
        <v>293</v>
      </c>
      <c r="DH8" s="668">
        <v>293</v>
      </c>
      <c r="DI8" s="668">
        <v>293</v>
      </c>
      <c r="DJ8" s="668">
        <v>293</v>
      </c>
      <c r="DK8" s="668">
        <v>293</v>
      </c>
      <c r="DL8" s="668">
        <v>293</v>
      </c>
      <c r="DM8" s="668">
        <v>293</v>
      </c>
      <c r="DN8" s="668">
        <v>293</v>
      </c>
      <c r="DO8" s="668">
        <v>293</v>
      </c>
      <c r="DP8" s="668">
        <v>293</v>
      </c>
      <c r="DQ8" s="668">
        <v>293</v>
      </c>
      <c r="DR8" s="668">
        <v>293</v>
      </c>
      <c r="DS8" s="668">
        <v>293</v>
      </c>
      <c r="DT8" s="668">
        <v>293</v>
      </c>
      <c r="DU8" s="668">
        <v>293</v>
      </c>
      <c r="DV8" s="668">
        <v>293</v>
      </c>
      <c r="DW8" s="668">
        <v>293</v>
      </c>
      <c r="DX8" s="668">
        <v>293</v>
      </c>
      <c r="DY8" s="668">
        <v>293</v>
      </c>
      <c r="DZ8" s="668">
        <v>293</v>
      </c>
      <c r="EA8" s="668">
        <v>293</v>
      </c>
      <c r="EB8" s="668">
        <v>293</v>
      </c>
      <c r="EC8" s="668">
        <v>293</v>
      </c>
      <c r="ED8" s="668">
        <v>293</v>
      </c>
      <c r="EE8" s="668">
        <v>293</v>
      </c>
      <c r="EF8" s="668">
        <v>293</v>
      </c>
      <c r="EG8" s="668">
        <v>293</v>
      </c>
      <c r="EH8" s="668">
        <v>293</v>
      </c>
      <c r="EI8" s="668">
        <v>293</v>
      </c>
      <c r="EJ8" s="668">
        <v>293</v>
      </c>
      <c r="EK8" s="668">
        <v>293</v>
      </c>
      <c r="EL8" s="668">
        <v>293</v>
      </c>
      <c r="EM8" s="668">
        <v>293</v>
      </c>
      <c r="EN8" s="668">
        <v>293</v>
      </c>
      <c r="EO8" s="668">
        <v>293</v>
      </c>
      <c r="EP8" s="668">
        <v>293</v>
      </c>
      <c r="EQ8" s="668">
        <v>293</v>
      </c>
      <c r="ER8" s="668">
        <v>293</v>
      </c>
      <c r="ES8" s="668">
        <v>293</v>
      </c>
      <c r="ET8" s="668">
        <v>293</v>
      </c>
      <c r="EU8" s="668">
        <v>293</v>
      </c>
      <c r="EV8" s="668">
        <v>293</v>
      </c>
      <c r="EW8" s="668">
        <v>293</v>
      </c>
      <c r="EX8" s="668">
        <v>293</v>
      </c>
      <c r="EY8" s="668">
        <v>293</v>
      </c>
      <c r="EZ8" s="668">
        <v>293</v>
      </c>
      <c r="FA8" s="668">
        <v>293</v>
      </c>
      <c r="FB8" s="668">
        <v>293</v>
      </c>
      <c r="FC8" s="668">
        <v>293</v>
      </c>
      <c r="FD8" s="668">
        <v>293</v>
      </c>
      <c r="FE8" s="668">
        <v>293</v>
      </c>
      <c r="FF8" s="668">
        <v>293</v>
      </c>
    </row>
    <row r="9" spans="1:162">
      <c r="A9"/>
      <c r="B9" s="34" t="s">
        <v>21</v>
      </c>
      <c r="C9" s="347"/>
      <c r="D9" s="348"/>
      <c r="E9" s="348"/>
      <c r="F9" s="348"/>
      <c r="G9" s="349"/>
      <c r="H9" s="350"/>
      <c r="I9" s="350"/>
      <c r="J9" s="348"/>
      <c r="K9" s="349"/>
      <c r="L9" s="351"/>
      <c r="M9" s="351"/>
      <c r="O9" s="669"/>
      <c r="P9" s="670"/>
      <c r="Q9" s="672"/>
      <c r="R9" s="672"/>
      <c r="S9" s="672"/>
      <c r="T9" s="672"/>
      <c r="U9" s="672"/>
      <c r="V9" s="672"/>
      <c r="W9" s="672"/>
      <c r="X9" s="673"/>
      <c r="Y9" s="674"/>
      <c r="Z9" s="669"/>
      <c r="AA9" s="669"/>
      <c r="AB9" s="662"/>
      <c r="AC9" s="675" t="s">
        <v>590</v>
      </c>
      <c r="AD9" s="675"/>
      <c r="AE9" s="676">
        <v>3</v>
      </c>
      <c r="AF9" s="676">
        <v>0</v>
      </c>
      <c r="AG9" s="676">
        <v>0</v>
      </c>
      <c r="AH9" s="676">
        <v>0</v>
      </c>
      <c r="AI9" s="676">
        <v>0</v>
      </c>
      <c r="AJ9" s="676">
        <v>0</v>
      </c>
      <c r="AK9" s="676">
        <v>0</v>
      </c>
      <c r="AL9" s="676">
        <v>0</v>
      </c>
      <c r="AM9" s="676">
        <v>0</v>
      </c>
      <c r="AN9" s="676">
        <v>0</v>
      </c>
      <c r="AO9" s="676">
        <v>0</v>
      </c>
      <c r="AP9" s="676">
        <v>0</v>
      </c>
      <c r="AQ9" s="676">
        <v>0</v>
      </c>
      <c r="AR9" s="676">
        <v>0</v>
      </c>
      <c r="AS9" s="676">
        <v>0</v>
      </c>
      <c r="AT9" s="676">
        <v>0</v>
      </c>
      <c r="AU9" s="676">
        <v>0</v>
      </c>
      <c r="AV9" s="676">
        <v>0</v>
      </c>
      <c r="AW9" s="676">
        <v>0</v>
      </c>
      <c r="AX9" s="676">
        <v>0</v>
      </c>
      <c r="AY9" s="676">
        <v>0</v>
      </c>
      <c r="AZ9" s="676">
        <v>0</v>
      </c>
      <c r="BA9" s="676">
        <v>0</v>
      </c>
      <c r="BB9" s="676">
        <v>0</v>
      </c>
      <c r="BC9" s="676">
        <v>0</v>
      </c>
      <c r="BD9" s="676">
        <v>0</v>
      </c>
      <c r="BE9" s="676">
        <v>0</v>
      </c>
      <c r="BF9" s="676">
        <v>0</v>
      </c>
      <c r="BG9" s="676">
        <v>0</v>
      </c>
      <c r="BH9" s="676">
        <v>0</v>
      </c>
      <c r="BI9" s="676">
        <v>0</v>
      </c>
      <c r="BJ9" s="676">
        <v>0</v>
      </c>
      <c r="BK9" s="676">
        <v>0</v>
      </c>
      <c r="BL9" s="676">
        <v>0</v>
      </c>
      <c r="BM9" s="676">
        <v>0</v>
      </c>
      <c r="BN9" s="676">
        <v>0</v>
      </c>
      <c r="BO9" s="676">
        <v>0</v>
      </c>
      <c r="BP9" s="676">
        <v>0</v>
      </c>
      <c r="BQ9" s="676">
        <v>0</v>
      </c>
      <c r="BR9" s="676">
        <v>0</v>
      </c>
      <c r="BS9" s="676">
        <v>0</v>
      </c>
      <c r="BT9" s="676">
        <v>0</v>
      </c>
      <c r="BU9" s="676">
        <v>0</v>
      </c>
      <c r="BV9" s="676">
        <v>0</v>
      </c>
      <c r="BW9" s="676">
        <v>0</v>
      </c>
      <c r="BX9" s="676">
        <v>0</v>
      </c>
      <c r="BY9" s="676">
        <v>0</v>
      </c>
      <c r="BZ9" s="676">
        <v>0</v>
      </c>
      <c r="CA9" s="676">
        <v>0</v>
      </c>
      <c r="CB9" s="676">
        <v>0</v>
      </c>
      <c r="CC9" s="676">
        <v>0</v>
      </c>
      <c r="CD9" s="676">
        <v>0</v>
      </c>
      <c r="CE9" s="676">
        <v>0</v>
      </c>
      <c r="CF9" s="676">
        <v>0</v>
      </c>
      <c r="CG9" s="676">
        <v>0</v>
      </c>
      <c r="CH9" s="676">
        <v>0</v>
      </c>
      <c r="CI9" s="676">
        <v>0</v>
      </c>
      <c r="CJ9" s="676">
        <v>0</v>
      </c>
      <c r="CK9" s="676">
        <v>0</v>
      </c>
      <c r="CL9" s="676">
        <v>0</v>
      </c>
      <c r="CM9" s="676">
        <v>0</v>
      </c>
      <c r="CN9" s="676">
        <v>0</v>
      </c>
      <c r="CO9" s="676">
        <v>0</v>
      </c>
      <c r="CP9" s="676">
        <v>0</v>
      </c>
      <c r="CQ9" s="676">
        <v>0</v>
      </c>
      <c r="CR9" s="676">
        <v>0</v>
      </c>
      <c r="CS9" s="676">
        <v>0</v>
      </c>
      <c r="CT9" s="676">
        <v>0</v>
      </c>
      <c r="CU9" s="676">
        <v>0</v>
      </c>
      <c r="CV9" s="676">
        <v>0</v>
      </c>
      <c r="CW9" s="676">
        <v>0</v>
      </c>
      <c r="CX9" s="676">
        <v>0</v>
      </c>
      <c r="CY9" s="676">
        <v>0</v>
      </c>
      <c r="CZ9" s="676">
        <v>0</v>
      </c>
      <c r="DA9" s="676">
        <v>0</v>
      </c>
      <c r="DB9" s="676">
        <v>0</v>
      </c>
      <c r="DC9" s="676">
        <v>0</v>
      </c>
      <c r="DD9" s="676">
        <v>0</v>
      </c>
      <c r="DE9" s="676">
        <v>0</v>
      </c>
      <c r="DF9" s="676">
        <v>0</v>
      </c>
      <c r="DG9" s="676">
        <v>0</v>
      </c>
      <c r="DH9" s="676">
        <v>0</v>
      </c>
      <c r="DI9" s="676">
        <v>0</v>
      </c>
      <c r="DJ9" s="676">
        <v>0</v>
      </c>
      <c r="DK9" s="676">
        <v>0</v>
      </c>
      <c r="DL9" s="676">
        <v>0</v>
      </c>
      <c r="DM9" s="676">
        <v>0</v>
      </c>
      <c r="DN9" s="676">
        <v>0</v>
      </c>
      <c r="DO9" s="676">
        <v>0</v>
      </c>
      <c r="DP9" s="676">
        <v>0</v>
      </c>
      <c r="DQ9" s="676">
        <v>0</v>
      </c>
      <c r="DR9" s="676">
        <v>0</v>
      </c>
      <c r="DS9" s="676">
        <v>0</v>
      </c>
      <c r="DT9" s="676">
        <v>0</v>
      </c>
      <c r="DU9" s="676">
        <v>0</v>
      </c>
      <c r="DV9" s="676">
        <v>0</v>
      </c>
      <c r="DW9" s="676">
        <v>0</v>
      </c>
      <c r="DX9" s="676">
        <v>0</v>
      </c>
      <c r="DY9" s="676">
        <v>0</v>
      </c>
      <c r="DZ9" s="676">
        <v>0</v>
      </c>
      <c r="EA9" s="676">
        <v>0</v>
      </c>
      <c r="EB9" s="676">
        <v>0</v>
      </c>
      <c r="EC9" s="676">
        <v>0</v>
      </c>
      <c r="ED9" s="676">
        <v>0</v>
      </c>
      <c r="EE9" s="676">
        <v>0</v>
      </c>
      <c r="EF9" s="676">
        <v>0</v>
      </c>
      <c r="EG9" s="676">
        <v>0</v>
      </c>
      <c r="EH9" s="676">
        <v>0</v>
      </c>
      <c r="EI9" s="676">
        <v>0</v>
      </c>
      <c r="EJ9" s="676">
        <v>0</v>
      </c>
      <c r="EK9" s="676">
        <v>0</v>
      </c>
      <c r="EL9" s="676">
        <v>0</v>
      </c>
      <c r="EM9" s="676">
        <v>0</v>
      </c>
      <c r="EN9" s="676">
        <v>0</v>
      </c>
      <c r="EO9" s="676">
        <v>0</v>
      </c>
      <c r="EP9" s="676">
        <v>0</v>
      </c>
      <c r="EQ9" s="676">
        <v>0</v>
      </c>
      <c r="ER9" s="676">
        <v>0</v>
      </c>
      <c r="ES9" s="676">
        <v>0</v>
      </c>
      <c r="ET9" s="676">
        <v>0</v>
      </c>
      <c r="EU9" s="676">
        <v>0</v>
      </c>
      <c r="EV9" s="676">
        <v>0</v>
      </c>
      <c r="EW9" s="676">
        <v>0</v>
      </c>
      <c r="EX9" s="676">
        <v>0</v>
      </c>
      <c r="EY9" s="676">
        <v>0</v>
      </c>
      <c r="EZ9" s="676">
        <v>0</v>
      </c>
      <c r="FA9" s="676">
        <v>0</v>
      </c>
      <c r="FB9" s="676">
        <v>0</v>
      </c>
      <c r="FC9" s="676">
        <v>0</v>
      </c>
      <c r="FD9" s="676">
        <v>0</v>
      </c>
      <c r="FE9" s="676">
        <v>0</v>
      </c>
      <c r="FF9" s="676">
        <v>0</v>
      </c>
    </row>
    <row r="10" spans="1:162">
      <c r="A10"/>
      <c r="B10" s="37" t="s">
        <v>22</v>
      </c>
      <c r="C10" s="341"/>
      <c r="D10" s="352"/>
      <c r="E10" s="353"/>
      <c r="F10" s="353"/>
      <c r="G10" s="354"/>
      <c r="H10" s="355"/>
      <c r="I10" s="355"/>
      <c r="J10" s="356"/>
      <c r="K10" s="354"/>
      <c r="L10" s="357"/>
      <c r="M10" s="357"/>
      <c r="O10" s="644" t="s">
        <v>581</v>
      </c>
      <c r="P10" s="677" t="s">
        <v>591</v>
      </c>
      <c r="Q10" s="647">
        <v>1</v>
      </c>
      <c r="R10" s="647">
        <v>2</v>
      </c>
      <c r="S10" s="647">
        <v>3</v>
      </c>
      <c r="T10" s="647">
        <v>4</v>
      </c>
      <c r="U10" s="647">
        <v>5</v>
      </c>
      <c r="V10" s="647">
        <v>6</v>
      </c>
      <c r="W10" s="647">
        <v>7</v>
      </c>
      <c r="X10" s="647">
        <v>8</v>
      </c>
      <c r="Y10" s="647">
        <v>9</v>
      </c>
      <c r="Z10" s="647">
        <v>10</v>
      </c>
      <c r="AA10" s="647">
        <v>11</v>
      </c>
      <c r="AB10" s="662"/>
      <c r="AC10" s="621" t="s">
        <v>592</v>
      </c>
      <c r="AD10" s="621"/>
      <c r="AE10" s="678">
        <v>0</v>
      </c>
      <c r="AF10" s="678">
        <v>0</v>
      </c>
      <c r="AG10" s="678">
        <v>-10</v>
      </c>
      <c r="AH10" s="678">
        <v>-10</v>
      </c>
      <c r="AI10" s="678">
        <v>0</v>
      </c>
      <c r="AJ10" s="678">
        <v>0</v>
      </c>
      <c r="AK10" s="678">
        <v>0</v>
      </c>
      <c r="AL10" s="678">
        <v>0</v>
      </c>
      <c r="AM10" s="678">
        <v>0</v>
      </c>
      <c r="AN10" s="678">
        <v>0</v>
      </c>
      <c r="AO10" s="678">
        <v>0</v>
      </c>
      <c r="AP10" s="678">
        <v>0</v>
      </c>
      <c r="AQ10" s="678">
        <v>0</v>
      </c>
      <c r="AR10" s="678">
        <v>0</v>
      </c>
      <c r="AS10" s="678">
        <v>0</v>
      </c>
      <c r="AT10" s="678">
        <v>0</v>
      </c>
      <c r="AU10" s="678">
        <v>0</v>
      </c>
      <c r="AV10" s="678">
        <v>0</v>
      </c>
      <c r="AW10" s="678">
        <v>0</v>
      </c>
      <c r="AX10" s="678">
        <v>0</v>
      </c>
      <c r="AY10" s="678">
        <v>0</v>
      </c>
      <c r="AZ10" s="678">
        <v>0</v>
      </c>
      <c r="BA10" s="678">
        <v>0</v>
      </c>
      <c r="BB10" s="678">
        <v>0</v>
      </c>
      <c r="BC10" s="678">
        <v>0</v>
      </c>
      <c r="BD10" s="678">
        <v>0</v>
      </c>
      <c r="BE10" s="678">
        <v>0</v>
      </c>
      <c r="BF10" s="678">
        <v>0</v>
      </c>
      <c r="BG10" s="678">
        <v>0</v>
      </c>
      <c r="BH10" s="678">
        <v>0</v>
      </c>
      <c r="BI10" s="678">
        <v>0</v>
      </c>
      <c r="BJ10" s="678">
        <v>0</v>
      </c>
      <c r="BK10" s="678">
        <v>2</v>
      </c>
      <c r="BL10" s="678">
        <v>10</v>
      </c>
      <c r="BM10" s="678">
        <v>8</v>
      </c>
      <c r="BN10" s="678">
        <v>0</v>
      </c>
      <c r="BO10" s="678">
        <v>0</v>
      </c>
      <c r="BP10" s="678">
        <v>0</v>
      </c>
      <c r="BQ10" s="678">
        <v>0</v>
      </c>
      <c r="BR10" s="678">
        <v>0</v>
      </c>
      <c r="BS10" s="678">
        <v>0</v>
      </c>
      <c r="BT10" s="678">
        <v>0</v>
      </c>
      <c r="BU10" s="678">
        <v>0</v>
      </c>
      <c r="BV10" s="678">
        <v>0</v>
      </c>
      <c r="BW10" s="678">
        <v>0</v>
      </c>
      <c r="BX10" s="678">
        <v>0</v>
      </c>
      <c r="BY10" s="678">
        <v>0</v>
      </c>
      <c r="BZ10" s="678">
        <v>0</v>
      </c>
      <c r="CA10" s="678">
        <v>0</v>
      </c>
      <c r="CB10" s="678">
        <v>0</v>
      </c>
      <c r="CC10" s="678">
        <v>0</v>
      </c>
      <c r="CD10" s="678">
        <v>0</v>
      </c>
      <c r="CE10" s="678">
        <v>0</v>
      </c>
      <c r="CF10" s="678">
        <v>0</v>
      </c>
      <c r="CG10" s="678">
        <v>0</v>
      </c>
      <c r="CH10" s="678">
        <v>0</v>
      </c>
      <c r="CI10" s="678">
        <v>0</v>
      </c>
      <c r="CJ10" s="678">
        <v>0</v>
      </c>
      <c r="CK10" s="678">
        <v>0</v>
      </c>
      <c r="CL10" s="678">
        <v>0</v>
      </c>
      <c r="CM10" s="678">
        <v>0</v>
      </c>
      <c r="CN10" s="678">
        <v>0</v>
      </c>
      <c r="CO10" s="678">
        <v>0</v>
      </c>
      <c r="CP10" s="678">
        <v>0</v>
      </c>
      <c r="CQ10" s="678">
        <v>0</v>
      </c>
      <c r="CR10" s="678">
        <v>0</v>
      </c>
      <c r="CS10" s="678">
        <v>0</v>
      </c>
      <c r="CT10" s="678">
        <v>0</v>
      </c>
      <c r="CU10" s="678">
        <v>0</v>
      </c>
      <c r="CV10" s="678">
        <v>0</v>
      </c>
      <c r="CW10" s="678">
        <v>0</v>
      </c>
      <c r="CX10" s="678">
        <v>0</v>
      </c>
      <c r="CY10" s="678">
        <v>0</v>
      </c>
      <c r="CZ10" s="678">
        <v>0</v>
      </c>
      <c r="DA10" s="678">
        <v>0</v>
      </c>
      <c r="DB10" s="678">
        <v>0</v>
      </c>
      <c r="DC10" s="678">
        <v>0</v>
      </c>
      <c r="DD10" s="678">
        <v>0</v>
      </c>
      <c r="DE10" s="678">
        <v>0</v>
      </c>
      <c r="DF10" s="678">
        <v>0</v>
      </c>
      <c r="DG10" s="678">
        <v>0</v>
      </c>
      <c r="DH10" s="678">
        <v>0</v>
      </c>
      <c r="DI10" s="678">
        <v>0</v>
      </c>
      <c r="DJ10" s="678">
        <v>0</v>
      </c>
      <c r="DK10" s="678">
        <v>0</v>
      </c>
      <c r="DL10" s="678">
        <v>0</v>
      </c>
      <c r="DM10" s="678">
        <v>0</v>
      </c>
      <c r="DN10" s="678">
        <v>0</v>
      </c>
      <c r="DO10" s="678">
        <v>0</v>
      </c>
      <c r="DP10" s="678">
        <v>0</v>
      </c>
      <c r="DQ10" s="678">
        <v>0</v>
      </c>
      <c r="DR10" s="678">
        <v>0</v>
      </c>
      <c r="DS10" s="678">
        <v>0</v>
      </c>
      <c r="DT10" s="678">
        <v>0</v>
      </c>
      <c r="DU10" s="678">
        <v>0</v>
      </c>
      <c r="DV10" s="678">
        <v>0</v>
      </c>
      <c r="DW10" s="678">
        <v>0</v>
      </c>
      <c r="DX10" s="678">
        <v>0</v>
      </c>
      <c r="DY10" s="678">
        <v>0</v>
      </c>
      <c r="DZ10" s="678">
        <v>0</v>
      </c>
      <c r="EA10" s="678">
        <v>0</v>
      </c>
      <c r="EB10" s="678">
        <v>0</v>
      </c>
      <c r="EC10" s="678">
        <v>0</v>
      </c>
      <c r="ED10" s="678">
        <v>0</v>
      </c>
      <c r="EE10" s="678">
        <v>0</v>
      </c>
      <c r="EF10" s="678">
        <v>0</v>
      </c>
      <c r="EG10" s="678">
        <v>0</v>
      </c>
      <c r="EH10" s="678">
        <v>0</v>
      </c>
      <c r="EI10" s="678">
        <v>0</v>
      </c>
      <c r="EJ10" s="678">
        <v>0</v>
      </c>
      <c r="EK10" s="678">
        <v>0</v>
      </c>
      <c r="EL10" s="678">
        <v>0</v>
      </c>
      <c r="EM10" s="678">
        <v>0</v>
      </c>
      <c r="EN10" s="678">
        <v>0</v>
      </c>
      <c r="EO10" s="678">
        <v>0</v>
      </c>
      <c r="EP10" s="678">
        <v>0</v>
      </c>
      <c r="EQ10" s="678">
        <v>0</v>
      </c>
      <c r="ER10" s="678">
        <v>0</v>
      </c>
      <c r="ES10" s="678">
        <v>0</v>
      </c>
      <c r="ET10" s="678">
        <v>0</v>
      </c>
      <c r="EU10" s="678">
        <v>0</v>
      </c>
      <c r="EV10" s="678">
        <v>0</v>
      </c>
      <c r="EW10" s="678">
        <v>0</v>
      </c>
      <c r="EX10" s="678">
        <v>0</v>
      </c>
      <c r="EY10" s="678">
        <v>0</v>
      </c>
      <c r="EZ10" s="678">
        <v>0</v>
      </c>
      <c r="FA10" s="678">
        <v>0</v>
      </c>
      <c r="FB10" s="678">
        <v>0</v>
      </c>
      <c r="FC10" s="678">
        <v>0</v>
      </c>
      <c r="FD10" s="678">
        <v>0</v>
      </c>
      <c r="FE10" s="678">
        <v>0</v>
      </c>
      <c r="FF10" s="678">
        <v>0</v>
      </c>
    </row>
    <row r="11" spans="1:162" ht="13.5" thickBot="1">
      <c r="A11"/>
      <c r="B11" s="37" t="s">
        <v>23</v>
      </c>
      <c r="C11" s="40" t="str">
        <f>'Old OSAR'!K21</f>
        <v>DY 4Q 2025</v>
      </c>
      <c r="D11" s="40" t="str">
        <f>"U/W Year "&amp;Q3</f>
        <v>U/W Year 1</v>
      </c>
      <c r="E11" s="341"/>
      <c r="F11" s="341"/>
      <c r="G11" s="358"/>
      <c r="H11" s="40" t="str">
        <f>'2025 Budget'!U14</f>
        <v>Budget</v>
      </c>
      <c r="I11" s="359"/>
      <c r="J11" s="360"/>
      <c r="K11" s="358"/>
      <c r="L11" s="361"/>
      <c r="M11" s="361"/>
      <c r="O11" s="651" t="s">
        <v>593</v>
      </c>
      <c r="P11" s="679">
        <v>45809</v>
      </c>
      <c r="Q11" s="654">
        <v>46173</v>
      </c>
      <c r="R11" s="654">
        <v>46538</v>
      </c>
      <c r="S11" s="654">
        <v>46904</v>
      </c>
      <c r="T11" s="654">
        <v>47269</v>
      </c>
      <c r="U11" s="654">
        <v>47634</v>
      </c>
      <c r="V11" s="654">
        <v>47999</v>
      </c>
      <c r="W11" s="654">
        <v>48365</v>
      </c>
      <c r="X11" s="654">
        <v>48730</v>
      </c>
      <c r="Y11" s="654">
        <v>49095</v>
      </c>
      <c r="Z11" s="654">
        <v>49460</v>
      </c>
      <c r="AA11" s="654">
        <v>49826</v>
      </c>
      <c r="AB11" s="662"/>
      <c r="AC11" s="680" t="s">
        <v>594</v>
      </c>
      <c r="AD11" s="680"/>
      <c r="AE11" s="681">
        <v>293</v>
      </c>
      <c r="AF11" s="681">
        <v>293</v>
      </c>
      <c r="AG11" s="681">
        <v>283</v>
      </c>
      <c r="AH11" s="681">
        <v>273</v>
      </c>
      <c r="AI11" s="681">
        <v>273</v>
      </c>
      <c r="AJ11" s="681">
        <v>273</v>
      </c>
      <c r="AK11" s="681">
        <v>273</v>
      </c>
      <c r="AL11" s="681">
        <v>273</v>
      </c>
      <c r="AM11" s="681">
        <v>273</v>
      </c>
      <c r="AN11" s="681">
        <v>273</v>
      </c>
      <c r="AO11" s="681">
        <v>273</v>
      </c>
      <c r="AP11" s="681">
        <v>273</v>
      </c>
      <c r="AQ11" s="681">
        <v>273</v>
      </c>
      <c r="AR11" s="681">
        <v>273</v>
      </c>
      <c r="AS11" s="681">
        <v>273</v>
      </c>
      <c r="AT11" s="681">
        <v>273</v>
      </c>
      <c r="AU11" s="681">
        <v>273</v>
      </c>
      <c r="AV11" s="681">
        <v>273</v>
      </c>
      <c r="AW11" s="681">
        <v>273</v>
      </c>
      <c r="AX11" s="681">
        <v>273</v>
      </c>
      <c r="AY11" s="681">
        <v>273</v>
      </c>
      <c r="AZ11" s="681">
        <v>273</v>
      </c>
      <c r="BA11" s="681">
        <v>273</v>
      </c>
      <c r="BB11" s="681">
        <v>273</v>
      </c>
      <c r="BC11" s="681">
        <v>273</v>
      </c>
      <c r="BD11" s="681">
        <v>273</v>
      </c>
      <c r="BE11" s="681">
        <v>273</v>
      </c>
      <c r="BF11" s="681">
        <v>273</v>
      </c>
      <c r="BG11" s="681">
        <v>273</v>
      </c>
      <c r="BH11" s="681">
        <v>273</v>
      </c>
      <c r="BI11" s="681">
        <v>273</v>
      </c>
      <c r="BJ11" s="681">
        <v>273</v>
      </c>
      <c r="BK11" s="681">
        <v>275</v>
      </c>
      <c r="BL11" s="681">
        <v>285</v>
      </c>
      <c r="BM11" s="681">
        <v>293</v>
      </c>
      <c r="BN11" s="681">
        <v>293</v>
      </c>
      <c r="BO11" s="681">
        <v>293</v>
      </c>
      <c r="BP11" s="681">
        <v>293</v>
      </c>
      <c r="BQ11" s="681">
        <v>293</v>
      </c>
      <c r="BR11" s="681">
        <v>293</v>
      </c>
      <c r="BS11" s="681">
        <v>293</v>
      </c>
      <c r="BT11" s="681">
        <v>293</v>
      </c>
      <c r="BU11" s="681">
        <v>293</v>
      </c>
      <c r="BV11" s="681">
        <v>293</v>
      </c>
      <c r="BW11" s="681">
        <v>293</v>
      </c>
      <c r="BX11" s="681">
        <v>293</v>
      </c>
      <c r="BY11" s="681">
        <v>293</v>
      </c>
      <c r="BZ11" s="681">
        <v>293</v>
      </c>
      <c r="CA11" s="681">
        <v>293</v>
      </c>
      <c r="CB11" s="681">
        <v>293</v>
      </c>
      <c r="CC11" s="681">
        <v>293</v>
      </c>
      <c r="CD11" s="681">
        <v>293</v>
      </c>
      <c r="CE11" s="681">
        <v>293</v>
      </c>
      <c r="CF11" s="681">
        <v>293</v>
      </c>
      <c r="CG11" s="681">
        <v>293</v>
      </c>
      <c r="CH11" s="681">
        <v>293</v>
      </c>
      <c r="CI11" s="681">
        <v>293</v>
      </c>
      <c r="CJ11" s="681">
        <v>293</v>
      </c>
      <c r="CK11" s="681">
        <v>293</v>
      </c>
      <c r="CL11" s="681">
        <v>293</v>
      </c>
      <c r="CM11" s="681">
        <v>293</v>
      </c>
      <c r="CN11" s="681">
        <v>293</v>
      </c>
      <c r="CO11" s="681">
        <v>293</v>
      </c>
      <c r="CP11" s="681">
        <v>293</v>
      </c>
      <c r="CQ11" s="681">
        <v>293</v>
      </c>
      <c r="CR11" s="681">
        <v>293</v>
      </c>
      <c r="CS11" s="681">
        <v>293</v>
      </c>
      <c r="CT11" s="681">
        <v>293</v>
      </c>
      <c r="CU11" s="681">
        <v>293</v>
      </c>
      <c r="CV11" s="681">
        <v>293</v>
      </c>
      <c r="CW11" s="681">
        <v>293</v>
      </c>
      <c r="CX11" s="681">
        <v>293</v>
      </c>
      <c r="CY11" s="681">
        <v>293</v>
      </c>
      <c r="CZ11" s="681">
        <v>293</v>
      </c>
      <c r="DA11" s="681">
        <v>293</v>
      </c>
      <c r="DB11" s="681">
        <v>293</v>
      </c>
      <c r="DC11" s="681">
        <v>293</v>
      </c>
      <c r="DD11" s="681">
        <v>293</v>
      </c>
      <c r="DE11" s="681">
        <v>293</v>
      </c>
      <c r="DF11" s="681">
        <v>293</v>
      </c>
      <c r="DG11" s="681">
        <v>293</v>
      </c>
      <c r="DH11" s="681">
        <v>293</v>
      </c>
      <c r="DI11" s="681">
        <v>293</v>
      </c>
      <c r="DJ11" s="681">
        <v>293</v>
      </c>
      <c r="DK11" s="681">
        <v>293</v>
      </c>
      <c r="DL11" s="681">
        <v>293</v>
      </c>
      <c r="DM11" s="681">
        <v>293</v>
      </c>
      <c r="DN11" s="681">
        <v>293</v>
      </c>
      <c r="DO11" s="681">
        <v>293</v>
      </c>
      <c r="DP11" s="681">
        <v>293</v>
      </c>
      <c r="DQ11" s="681">
        <v>293</v>
      </c>
      <c r="DR11" s="681">
        <v>293</v>
      </c>
      <c r="DS11" s="681">
        <v>293</v>
      </c>
      <c r="DT11" s="681">
        <v>293</v>
      </c>
      <c r="DU11" s="681">
        <v>293</v>
      </c>
      <c r="DV11" s="681">
        <v>293</v>
      </c>
      <c r="DW11" s="681">
        <v>293</v>
      </c>
      <c r="DX11" s="681">
        <v>293</v>
      </c>
      <c r="DY11" s="681">
        <v>293</v>
      </c>
      <c r="DZ11" s="681">
        <v>293</v>
      </c>
      <c r="EA11" s="681">
        <v>293</v>
      </c>
      <c r="EB11" s="681">
        <v>293</v>
      </c>
      <c r="EC11" s="681">
        <v>293</v>
      </c>
      <c r="ED11" s="681">
        <v>293</v>
      </c>
      <c r="EE11" s="681">
        <v>293</v>
      </c>
      <c r="EF11" s="681">
        <v>293</v>
      </c>
      <c r="EG11" s="681">
        <v>293</v>
      </c>
      <c r="EH11" s="681">
        <v>293</v>
      </c>
      <c r="EI11" s="681">
        <v>293</v>
      </c>
      <c r="EJ11" s="681">
        <v>293</v>
      </c>
      <c r="EK11" s="681">
        <v>293</v>
      </c>
      <c r="EL11" s="681">
        <v>293</v>
      </c>
      <c r="EM11" s="681">
        <v>293</v>
      </c>
      <c r="EN11" s="681">
        <v>293</v>
      </c>
      <c r="EO11" s="681">
        <v>293</v>
      </c>
      <c r="EP11" s="681">
        <v>293</v>
      </c>
      <c r="EQ11" s="681">
        <v>293</v>
      </c>
      <c r="ER11" s="681">
        <v>293</v>
      </c>
      <c r="ES11" s="681">
        <v>293</v>
      </c>
      <c r="ET11" s="681">
        <v>293</v>
      </c>
      <c r="EU11" s="681">
        <v>293</v>
      </c>
      <c r="EV11" s="681">
        <v>293</v>
      </c>
      <c r="EW11" s="681">
        <v>293</v>
      </c>
      <c r="EX11" s="681">
        <v>293</v>
      </c>
      <c r="EY11" s="681">
        <v>293</v>
      </c>
      <c r="EZ11" s="681">
        <v>293</v>
      </c>
      <c r="FA11" s="681">
        <v>293</v>
      </c>
      <c r="FB11" s="681">
        <v>293</v>
      </c>
      <c r="FC11" s="681">
        <v>293</v>
      </c>
      <c r="FD11" s="681">
        <v>293</v>
      </c>
      <c r="FE11" s="681">
        <v>293</v>
      </c>
      <c r="FF11" s="681">
        <v>293</v>
      </c>
    </row>
    <row r="12" spans="1:162">
      <c r="A12"/>
      <c r="B12" s="37" t="s">
        <v>17</v>
      </c>
      <c r="C12" s="362">
        <f>'Old OSAR'!K22</f>
        <v>46022</v>
      </c>
      <c r="D12" s="1120">
        <f>Q4</f>
        <v>46173</v>
      </c>
      <c r="E12" s="341"/>
      <c r="F12" s="341"/>
      <c r="G12" s="342"/>
      <c r="H12" s="362">
        <f>'2025 Budget'!U15</f>
        <v>46022</v>
      </c>
      <c r="I12" s="350"/>
      <c r="J12" s="348"/>
      <c r="K12" s="342"/>
      <c r="L12" s="351"/>
      <c r="M12" s="351"/>
      <c r="O12" s="682" t="s">
        <v>595</v>
      </c>
      <c r="P12" s="683">
        <v>6960534.0579310348</v>
      </c>
      <c r="Q12" s="619">
        <v>6960534.0579310348</v>
      </c>
      <c r="R12" s="619">
        <v>6960534.0579310348</v>
      </c>
      <c r="S12" s="619">
        <v>6960534.0579310348</v>
      </c>
      <c r="T12" s="619">
        <v>6960534.0579310348</v>
      </c>
      <c r="U12" s="619">
        <v>6960534.0579310348</v>
      </c>
      <c r="V12" s="619">
        <v>6960534.0579310348</v>
      </c>
      <c r="W12" s="619">
        <v>6960534.0579310348</v>
      </c>
      <c r="X12" s="619">
        <v>6960534.0579310348</v>
      </c>
      <c r="Y12" s="619">
        <v>6960534.0579310348</v>
      </c>
      <c r="Z12" s="619">
        <v>6960534.0579310348</v>
      </c>
      <c r="AA12" s="619">
        <v>6960534.0579310348</v>
      </c>
      <c r="AB12" s="662"/>
      <c r="AC12" s="684" t="s">
        <v>596</v>
      </c>
      <c r="AD12" s="684"/>
      <c r="AE12" s="685">
        <v>0.9464285714285714</v>
      </c>
      <c r="AF12" s="685">
        <v>0.95129870129870131</v>
      </c>
      <c r="AG12" s="685">
        <v>0.93506493506493504</v>
      </c>
      <c r="AH12" s="685">
        <v>0.90259740259740262</v>
      </c>
      <c r="AI12" s="685">
        <v>0.88636363636363635</v>
      </c>
      <c r="AJ12" s="685">
        <v>0.88636363636363635</v>
      </c>
      <c r="AK12" s="685">
        <v>0.88636363636363635</v>
      </c>
      <c r="AL12" s="685">
        <v>0.88636363636363635</v>
      </c>
      <c r="AM12" s="685">
        <v>0.88636363636363635</v>
      </c>
      <c r="AN12" s="685">
        <v>0.88636363636363635</v>
      </c>
      <c r="AO12" s="685">
        <v>0.88636363636363635</v>
      </c>
      <c r="AP12" s="685">
        <v>0.88636363636363635</v>
      </c>
      <c r="AQ12" s="685">
        <v>0.88636363636363635</v>
      </c>
      <c r="AR12" s="685">
        <v>0.88636363636363635</v>
      </c>
      <c r="AS12" s="685">
        <v>0.88636363636363635</v>
      </c>
      <c r="AT12" s="685">
        <v>0.88636363636363635</v>
      </c>
      <c r="AU12" s="685">
        <v>0.88636363636363635</v>
      </c>
      <c r="AV12" s="685">
        <v>0.88636363636363635</v>
      </c>
      <c r="AW12" s="685">
        <v>0.88636363636363635</v>
      </c>
      <c r="AX12" s="685">
        <v>0.88636363636363635</v>
      </c>
      <c r="AY12" s="685">
        <v>0.88636363636363635</v>
      </c>
      <c r="AZ12" s="685">
        <v>0.88636363636363635</v>
      </c>
      <c r="BA12" s="685">
        <v>0.88636363636363635</v>
      </c>
      <c r="BB12" s="685">
        <v>0.88636363636363635</v>
      </c>
      <c r="BC12" s="685">
        <v>0.88636363636363635</v>
      </c>
      <c r="BD12" s="685">
        <v>0.88636363636363635</v>
      </c>
      <c r="BE12" s="685">
        <v>0.88636363636363635</v>
      </c>
      <c r="BF12" s="685">
        <v>0.88636363636363635</v>
      </c>
      <c r="BG12" s="685">
        <v>0.88636363636363635</v>
      </c>
      <c r="BH12" s="685">
        <v>0.88636363636363635</v>
      </c>
      <c r="BI12" s="685">
        <v>0.88636363636363635</v>
      </c>
      <c r="BJ12" s="685">
        <v>0.88636363636363635</v>
      </c>
      <c r="BK12" s="685">
        <v>0.88961038961038963</v>
      </c>
      <c r="BL12" s="685">
        <v>0.90909090909090906</v>
      </c>
      <c r="BM12" s="685">
        <v>0.93831168831168832</v>
      </c>
      <c r="BN12" s="685">
        <v>0.95129870129870131</v>
      </c>
      <c r="BO12" s="685">
        <v>0.95129870129870131</v>
      </c>
      <c r="BP12" s="685">
        <v>0.95129870129870131</v>
      </c>
      <c r="BQ12" s="685">
        <v>0.95129870129870131</v>
      </c>
      <c r="BR12" s="685">
        <v>0.95129870129870131</v>
      </c>
      <c r="BS12" s="685">
        <v>0.95129870129870131</v>
      </c>
      <c r="BT12" s="685">
        <v>0.95129870129870131</v>
      </c>
      <c r="BU12" s="685">
        <v>0.95129870129870131</v>
      </c>
      <c r="BV12" s="685">
        <v>0.95129870129870131</v>
      </c>
      <c r="BW12" s="685">
        <v>0.95129870129870131</v>
      </c>
      <c r="BX12" s="685">
        <v>0.95129870129870131</v>
      </c>
      <c r="BY12" s="685">
        <v>0.95129870129870131</v>
      </c>
      <c r="BZ12" s="685">
        <v>0.95129870129870131</v>
      </c>
      <c r="CA12" s="685">
        <v>0.95129870129870131</v>
      </c>
      <c r="CB12" s="685">
        <v>0.95129870129870131</v>
      </c>
      <c r="CC12" s="685">
        <v>0.95129870129870131</v>
      </c>
      <c r="CD12" s="685">
        <v>0.95129870129870131</v>
      </c>
      <c r="CE12" s="685">
        <v>0.95129870129870131</v>
      </c>
      <c r="CF12" s="685">
        <v>0.95129870129870131</v>
      </c>
      <c r="CG12" s="685">
        <v>0.95129870129870131</v>
      </c>
      <c r="CH12" s="685">
        <v>0.95129870129870131</v>
      </c>
      <c r="CI12" s="685">
        <v>0.95129870129870131</v>
      </c>
      <c r="CJ12" s="685">
        <v>0.95129870129870131</v>
      </c>
      <c r="CK12" s="685">
        <v>0.95129870129870131</v>
      </c>
      <c r="CL12" s="685">
        <v>0.95129870129870131</v>
      </c>
      <c r="CM12" s="685">
        <v>0.95129870129870131</v>
      </c>
      <c r="CN12" s="685">
        <v>0.95129870129870131</v>
      </c>
      <c r="CO12" s="685">
        <v>0.95129870129870131</v>
      </c>
      <c r="CP12" s="685">
        <v>0.95129870129870131</v>
      </c>
      <c r="CQ12" s="685">
        <v>0.95129870129870131</v>
      </c>
      <c r="CR12" s="685">
        <v>0.95129870129870131</v>
      </c>
      <c r="CS12" s="685">
        <v>0.95129870129870131</v>
      </c>
      <c r="CT12" s="685">
        <v>0.95129870129870131</v>
      </c>
      <c r="CU12" s="685">
        <v>0.95129870129870131</v>
      </c>
      <c r="CV12" s="685">
        <v>0.95129870129870131</v>
      </c>
      <c r="CW12" s="685">
        <v>0.95129870129870131</v>
      </c>
      <c r="CX12" s="685">
        <v>0.95129870129870131</v>
      </c>
      <c r="CY12" s="685">
        <v>0.95129870129870131</v>
      </c>
      <c r="CZ12" s="685">
        <v>0.95129870129870131</v>
      </c>
      <c r="DA12" s="685">
        <v>0.95129870129870131</v>
      </c>
      <c r="DB12" s="685">
        <v>0.95129870129870131</v>
      </c>
      <c r="DC12" s="685">
        <v>0.95129870129870131</v>
      </c>
      <c r="DD12" s="685">
        <v>0.95129870129870131</v>
      </c>
      <c r="DE12" s="685">
        <v>0.95129870129870131</v>
      </c>
      <c r="DF12" s="685">
        <v>0.95129870129870131</v>
      </c>
      <c r="DG12" s="685">
        <v>0.95129870129870131</v>
      </c>
      <c r="DH12" s="685">
        <v>0.95129870129870131</v>
      </c>
      <c r="DI12" s="685">
        <v>0.95129870129870131</v>
      </c>
      <c r="DJ12" s="685">
        <v>0.95129870129870131</v>
      </c>
      <c r="DK12" s="685">
        <v>0.95129870129870131</v>
      </c>
      <c r="DL12" s="685">
        <v>0.95129870129870131</v>
      </c>
      <c r="DM12" s="685">
        <v>0.95129870129870131</v>
      </c>
      <c r="DN12" s="685">
        <v>0.95129870129870131</v>
      </c>
      <c r="DO12" s="685">
        <v>0.95129870129870131</v>
      </c>
      <c r="DP12" s="685">
        <v>0.95129870129870131</v>
      </c>
      <c r="DQ12" s="685">
        <v>0.95129870129870131</v>
      </c>
      <c r="DR12" s="685">
        <v>0.95129870129870131</v>
      </c>
      <c r="DS12" s="685">
        <v>0.95129870129870131</v>
      </c>
      <c r="DT12" s="685">
        <v>0.95129870129870131</v>
      </c>
      <c r="DU12" s="685">
        <v>0.95129870129870131</v>
      </c>
      <c r="DV12" s="685">
        <v>0.95129870129870131</v>
      </c>
      <c r="DW12" s="685">
        <v>0.95129870129870131</v>
      </c>
      <c r="DX12" s="685">
        <v>0.95129870129870131</v>
      </c>
      <c r="DY12" s="685">
        <v>0.95129870129870131</v>
      </c>
      <c r="DZ12" s="685">
        <v>0.95129870129870131</v>
      </c>
      <c r="EA12" s="685">
        <v>0.95129870129870131</v>
      </c>
      <c r="EB12" s="685">
        <v>0.95129870129870131</v>
      </c>
      <c r="EC12" s="685">
        <v>0.95129870129870131</v>
      </c>
      <c r="ED12" s="685">
        <v>0.95129870129870131</v>
      </c>
      <c r="EE12" s="685">
        <v>0.95129870129870131</v>
      </c>
      <c r="EF12" s="685">
        <v>0.95129870129870131</v>
      </c>
      <c r="EG12" s="685">
        <v>0.95129870129870131</v>
      </c>
      <c r="EH12" s="685">
        <v>0.95129870129870131</v>
      </c>
      <c r="EI12" s="685">
        <v>0.95129870129870131</v>
      </c>
      <c r="EJ12" s="685">
        <v>0.95129870129870131</v>
      </c>
      <c r="EK12" s="685">
        <v>0.95129870129870131</v>
      </c>
      <c r="EL12" s="685">
        <v>0.95129870129870131</v>
      </c>
      <c r="EM12" s="685">
        <v>0.95129870129870131</v>
      </c>
      <c r="EN12" s="685">
        <v>0.95129870129870131</v>
      </c>
      <c r="EO12" s="685">
        <v>0.95129870129870131</v>
      </c>
      <c r="EP12" s="685">
        <v>0.95129870129870131</v>
      </c>
      <c r="EQ12" s="685">
        <v>0.95129870129870131</v>
      </c>
      <c r="ER12" s="685">
        <v>0.95129870129870131</v>
      </c>
      <c r="ES12" s="685">
        <v>0.95129870129870131</v>
      </c>
      <c r="ET12" s="685">
        <v>0.95129870129870131</v>
      </c>
      <c r="EU12" s="685">
        <v>0.95129870129870131</v>
      </c>
      <c r="EV12" s="685">
        <v>0.95129870129870131</v>
      </c>
      <c r="EW12" s="685">
        <v>0.95129870129870131</v>
      </c>
      <c r="EX12" s="685">
        <v>0.95129870129870131</v>
      </c>
      <c r="EY12" s="685">
        <v>0.95129870129870131</v>
      </c>
      <c r="EZ12" s="685">
        <v>0.95129870129870131</v>
      </c>
      <c r="FA12" s="685">
        <v>0.95129870129870131</v>
      </c>
      <c r="FB12" s="685">
        <v>0.95129870129870131</v>
      </c>
      <c r="FC12" s="685">
        <v>0.95129870129870131</v>
      </c>
      <c r="FD12" s="685">
        <v>0.95129870129870131</v>
      </c>
      <c r="FE12" s="685">
        <v>0.95129870129870131</v>
      </c>
      <c r="FF12" s="685">
        <v>0.95129870129870131</v>
      </c>
    </row>
    <row r="13" spans="1:162">
      <c r="A13"/>
      <c r="B13" s="37" t="s">
        <v>26</v>
      </c>
      <c r="C13" s="136">
        <f>'Old OSAR'!K23</f>
        <v>-327351.30000000005</v>
      </c>
      <c r="D13" s="1121">
        <f>SUMIFS($AH:$AH,$M:$M,$B13)*12</f>
        <v>7023252.6379368734</v>
      </c>
      <c r="E13" s="350"/>
      <c r="F13" s="348"/>
      <c r="G13" s="342"/>
      <c r="H13" s="364">
        <f>'2025 Budget'!U16</f>
        <v>0</v>
      </c>
      <c r="I13" s="350"/>
      <c r="J13" s="348"/>
      <c r="K13" s="342"/>
      <c r="L13" s="365"/>
      <c r="M13" s="365"/>
      <c r="O13" s="656" t="s">
        <v>597</v>
      </c>
      <c r="P13" s="686"/>
      <c r="Q13" s="619">
        <v>87125.942068964738</v>
      </c>
      <c r="R13" s="619">
        <v>87125.942068964738</v>
      </c>
      <c r="S13" s="619">
        <v>87125.942068964738</v>
      </c>
      <c r="T13" s="619">
        <v>87125.942068964738</v>
      </c>
      <c r="U13" s="619">
        <v>87125.942068964738</v>
      </c>
      <c r="V13" s="619">
        <v>87125.942068964738</v>
      </c>
      <c r="W13" s="619">
        <v>87125.942068964738</v>
      </c>
      <c r="X13" s="619">
        <v>87125.942068964738</v>
      </c>
      <c r="Y13" s="619">
        <v>87125.942068964738</v>
      </c>
      <c r="Z13" s="619">
        <v>87125.942068964738</v>
      </c>
      <c r="AA13" s="619">
        <v>87125.942068964738</v>
      </c>
      <c r="AB13" s="662"/>
      <c r="AC13" s="687"/>
      <c r="AD13" s="687"/>
      <c r="AE13" s="688"/>
      <c r="AF13" s="688"/>
      <c r="AG13" s="688"/>
      <c r="AH13" s="688"/>
      <c r="AI13" s="688"/>
      <c r="AJ13" s="688"/>
      <c r="AK13" s="688"/>
      <c r="AL13" s="688"/>
      <c r="AM13" s="688"/>
      <c r="AN13" s="688"/>
      <c r="AO13" s="688"/>
      <c r="AP13" s="688"/>
      <c r="AQ13" s="688"/>
      <c r="AR13" s="688"/>
      <c r="AS13" s="688"/>
      <c r="AT13" s="688"/>
      <c r="AU13" s="688"/>
      <c r="AV13" s="688"/>
      <c r="AW13" s="688"/>
      <c r="AX13" s="688"/>
      <c r="AY13" s="688"/>
      <c r="AZ13" s="688"/>
      <c r="BA13" s="688"/>
      <c r="BB13" s="688"/>
      <c r="BC13" s="688"/>
      <c r="BD13" s="688"/>
      <c r="BE13" s="688"/>
      <c r="BF13" s="688"/>
      <c r="BG13" s="688"/>
      <c r="BH13" s="688"/>
      <c r="BI13" s="688"/>
      <c r="BJ13" s="688"/>
      <c r="BK13" s="688"/>
      <c r="BL13" s="688"/>
      <c r="BM13" s="688"/>
      <c r="BN13" s="688"/>
      <c r="BO13" s="688"/>
      <c r="BP13" s="688"/>
      <c r="BQ13" s="688"/>
      <c r="BR13" s="688"/>
      <c r="BS13" s="688"/>
      <c r="BT13" s="688"/>
      <c r="BU13" s="688"/>
      <c r="BV13" s="688"/>
      <c r="BW13" s="688"/>
      <c r="BX13" s="688"/>
      <c r="BY13" s="688"/>
      <c r="BZ13" s="688"/>
      <c r="CA13" s="688"/>
      <c r="CB13" s="688"/>
      <c r="CC13" s="688"/>
      <c r="CD13" s="688"/>
      <c r="CE13" s="688"/>
      <c r="CF13" s="688"/>
      <c r="CG13" s="688"/>
      <c r="CH13" s="688"/>
      <c r="CI13" s="688"/>
      <c r="CJ13" s="688"/>
      <c r="CK13" s="688"/>
      <c r="CL13" s="688"/>
      <c r="CM13" s="688"/>
      <c r="CN13" s="688"/>
      <c r="CO13" s="688"/>
      <c r="CP13" s="688"/>
      <c r="CQ13" s="688"/>
      <c r="CR13" s="688"/>
      <c r="CS13" s="688"/>
      <c r="CT13" s="688"/>
      <c r="CU13" s="688"/>
      <c r="CV13" s="688"/>
      <c r="CW13" s="688"/>
      <c r="CX13" s="688"/>
      <c r="CY13" s="688"/>
      <c r="CZ13" s="688"/>
      <c r="DA13" s="688"/>
      <c r="DB13" s="688"/>
      <c r="DC13" s="688"/>
      <c r="DD13" s="688"/>
      <c r="DE13" s="688"/>
      <c r="DF13" s="688"/>
      <c r="DG13" s="688"/>
      <c r="DH13" s="688"/>
      <c r="DI13" s="688"/>
      <c r="DJ13" s="688"/>
      <c r="DK13" s="688"/>
      <c r="DL13" s="688"/>
      <c r="DM13" s="688"/>
      <c r="DN13" s="688"/>
      <c r="DO13" s="688"/>
      <c r="DP13" s="688"/>
      <c r="DQ13" s="688"/>
      <c r="DR13" s="688"/>
      <c r="DS13" s="688"/>
      <c r="DT13" s="688"/>
      <c r="DU13" s="688"/>
      <c r="DV13" s="688"/>
      <c r="DW13" s="688"/>
      <c r="DX13" s="688"/>
      <c r="DY13" s="688"/>
      <c r="DZ13" s="688"/>
      <c r="EA13" s="688"/>
      <c r="EB13" s="688"/>
      <c r="EC13" s="688"/>
      <c r="ED13" s="688"/>
      <c r="EE13" s="688"/>
      <c r="EF13" s="688"/>
      <c r="EG13" s="688"/>
      <c r="EH13" s="688"/>
      <c r="EI13" s="688"/>
      <c r="EJ13" s="688"/>
      <c r="EK13" s="688"/>
      <c r="EL13" s="688"/>
      <c r="EM13" s="688"/>
      <c r="EN13" s="688"/>
      <c r="EO13" s="688"/>
      <c r="EP13" s="688"/>
      <c r="EQ13" s="688"/>
      <c r="ER13" s="688"/>
      <c r="ES13" s="688"/>
      <c r="ET13" s="688"/>
      <c r="EU13" s="688"/>
      <c r="EV13" s="688"/>
      <c r="EW13" s="688"/>
      <c r="EX13" s="688"/>
      <c r="EY13" s="688"/>
      <c r="EZ13" s="688"/>
      <c r="FA13" s="688"/>
      <c r="FB13" s="688"/>
      <c r="FC13" s="688"/>
      <c r="FD13" s="688"/>
      <c r="FE13" s="688"/>
      <c r="FF13" s="688"/>
    </row>
    <row r="14" spans="1:162">
      <c r="A14"/>
      <c r="B14" s="43" t="s">
        <v>27</v>
      </c>
      <c r="C14" s="125"/>
      <c r="D14" s="1121">
        <f>SUMIFS($AH:$AH,$M:$M,$B14)*12</f>
        <v>-684083.04914969532</v>
      </c>
      <c r="E14" s="360"/>
      <c r="F14" s="366"/>
      <c r="G14" s="342"/>
      <c r="H14" s="364">
        <f>'2025 Budget'!U17</f>
        <v>0</v>
      </c>
      <c r="I14" s="360"/>
      <c r="J14" s="366"/>
      <c r="K14" s="342"/>
      <c r="L14" s="365"/>
      <c r="M14" s="365"/>
      <c r="O14" s="656" t="s">
        <v>598</v>
      </c>
      <c r="P14" s="686"/>
      <c r="Q14" s="619">
        <v>195710.22342400003</v>
      </c>
      <c r="R14" s="659">
        <v>497328.42324658006</v>
      </c>
      <c r="S14" s="659">
        <v>775921.84374020365</v>
      </c>
      <c r="T14" s="659">
        <v>775921.84374020365</v>
      </c>
      <c r="U14" s="659">
        <v>775921.84374020365</v>
      </c>
      <c r="V14" s="659">
        <v>775921.84374020365</v>
      </c>
      <c r="W14" s="659">
        <v>775921.84374020365</v>
      </c>
      <c r="X14" s="659">
        <v>775921.84374020365</v>
      </c>
      <c r="Y14" s="659">
        <v>775921.84374020365</v>
      </c>
      <c r="Z14" s="659">
        <v>775921.84374020365</v>
      </c>
      <c r="AA14" s="659">
        <v>775921.84374020365</v>
      </c>
      <c r="AB14" s="662"/>
      <c r="AC14" s="687"/>
      <c r="AD14" s="687"/>
      <c r="AE14" s="689"/>
      <c r="AF14" s="688"/>
      <c r="AG14" s="688"/>
      <c r="AH14" s="688"/>
      <c r="AI14" s="688"/>
      <c r="AJ14" s="688"/>
      <c r="AK14" s="688"/>
      <c r="AL14" s="688"/>
      <c r="AM14" s="688"/>
      <c r="AN14" s="688"/>
      <c r="AO14" s="688"/>
      <c r="AP14" s="688"/>
      <c r="AQ14" s="688"/>
      <c r="AR14" s="688"/>
      <c r="AS14" s="688"/>
      <c r="AT14" s="688"/>
      <c r="AU14" s="688"/>
      <c r="AV14" s="688"/>
      <c r="AW14" s="688"/>
      <c r="AX14" s="688"/>
      <c r="AY14" s="688"/>
      <c r="AZ14" s="688"/>
      <c r="BA14" s="688"/>
      <c r="BB14" s="688"/>
      <c r="BC14" s="688"/>
      <c r="BD14" s="688"/>
      <c r="BE14" s="688"/>
      <c r="BF14" s="688"/>
      <c r="BG14" s="688"/>
      <c r="BH14" s="688"/>
      <c r="BI14" s="688"/>
      <c r="BJ14" s="688"/>
      <c r="BK14" s="688"/>
      <c r="BL14" s="688"/>
      <c r="BM14" s="688"/>
      <c r="BN14" s="688"/>
      <c r="BO14" s="688"/>
      <c r="BP14" s="688"/>
      <c r="BQ14" s="688"/>
      <c r="BR14" s="688"/>
      <c r="BS14" s="688"/>
      <c r="BT14" s="688"/>
      <c r="BU14" s="688"/>
      <c r="BV14" s="688"/>
      <c r="BW14" s="688"/>
      <c r="BX14" s="688"/>
      <c r="BY14" s="688"/>
      <c r="BZ14" s="688"/>
      <c r="CA14" s="688"/>
      <c r="CB14" s="688"/>
      <c r="CC14" s="688"/>
      <c r="CD14" s="688"/>
      <c r="CE14" s="688"/>
      <c r="CF14" s="688"/>
      <c r="CG14" s="688"/>
      <c r="CH14" s="688"/>
      <c r="CI14" s="688"/>
      <c r="CJ14" s="688"/>
      <c r="CK14" s="688"/>
      <c r="CL14" s="688"/>
      <c r="CM14" s="688"/>
      <c r="CN14" s="688"/>
      <c r="CO14" s="688"/>
      <c r="CP14" s="688"/>
      <c r="CQ14" s="688"/>
      <c r="CR14" s="688"/>
      <c r="CS14" s="688"/>
      <c r="CT14" s="688"/>
      <c r="CU14" s="688"/>
      <c r="CV14" s="688"/>
      <c r="CW14" s="688"/>
      <c r="CX14" s="688"/>
      <c r="CY14" s="688"/>
      <c r="CZ14" s="688"/>
      <c r="DA14" s="688"/>
      <c r="DB14" s="688"/>
      <c r="DC14" s="688"/>
      <c r="DD14" s="688"/>
      <c r="DE14" s="688"/>
      <c r="DF14" s="688"/>
      <c r="DG14" s="688"/>
      <c r="DH14" s="688"/>
      <c r="DI14" s="688"/>
      <c r="DJ14" s="688"/>
      <c r="DK14" s="688"/>
      <c r="DL14" s="688"/>
      <c r="DM14" s="688"/>
      <c r="DN14" s="688"/>
      <c r="DO14" s="688"/>
      <c r="DP14" s="688"/>
      <c r="DQ14" s="688"/>
      <c r="DR14" s="688"/>
      <c r="DS14" s="688"/>
      <c r="DT14" s="688"/>
      <c r="DU14" s="688"/>
      <c r="DV14" s="688"/>
      <c r="DW14" s="688"/>
      <c r="DX14" s="688"/>
      <c r="DY14" s="688"/>
      <c r="DZ14" s="688"/>
      <c r="EA14" s="688"/>
      <c r="EB14" s="688"/>
      <c r="EC14" s="688"/>
      <c r="ED14" s="688"/>
      <c r="EE14" s="688"/>
      <c r="EF14" s="688"/>
      <c r="EG14" s="688"/>
      <c r="EH14" s="688"/>
      <c r="EI14" s="688"/>
      <c r="EJ14" s="688"/>
      <c r="EK14" s="688"/>
      <c r="EL14" s="688"/>
      <c r="EM14" s="688"/>
      <c r="EN14" s="688"/>
      <c r="EO14" s="688"/>
      <c r="EP14" s="688"/>
      <c r="EQ14" s="688"/>
      <c r="ER14" s="688"/>
      <c r="ES14" s="688"/>
      <c r="ET14" s="688"/>
      <c r="EU14" s="688"/>
      <c r="EV14" s="688"/>
      <c r="EW14" s="688"/>
      <c r="EX14" s="688"/>
      <c r="EY14" s="688"/>
      <c r="EZ14" s="688"/>
      <c r="FA14" s="688"/>
      <c r="FB14" s="688"/>
      <c r="FC14" s="688"/>
      <c r="FD14" s="688"/>
      <c r="FE14" s="688"/>
      <c r="FF14" s="688"/>
    </row>
    <row r="15" spans="1:162">
      <c r="A15"/>
      <c r="B15" s="44" t="s">
        <v>28</v>
      </c>
      <c r="C15" s="367"/>
      <c r="D15" s="367"/>
      <c r="E15" s="367"/>
      <c r="F15" s="367"/>
      <c r="G15" s="342"/>
      <c r="H15" s="367"/>
      <c r="I15" s="367"/>
      <c r="J15" s="367"/>
      <c r="K15" s="342"/>
      <c r="L15" s="365"/>
      <c r="M15" s="365"/>
      <c r="O15" s="690" t="s">
        <v>599</v>
      </c>
      <c r="P15" s="691"/>
      <c r="Q15" s="692">
        <v>-48765.260737739358</v>
      </c>
      <c r="R15" s="693">
        <v>107144.42699673175</v>
      </c>
      <c r="S15" s="693">
        <v>336517.00340265431</v>
      </c>
      <c r="T15" s="693">
        <v>659839.1073634692</v>
      </c>
      <c r="U15" s="693">
        <v>867049.15106961248</v>
      </c>
      <c r="V15" s="693">
        <v>1102951.2187628199</v>
      </c>
      <c r="W15" s="693">
        <v>1370747.2106379189</v>
      </c>
      <c r="X15" s="693">
        <v>1646577.082269273</v>
      </c>
      <c r="Y15" s="693">
        <v>1930681.8500495658</v>
      </c>
      <c r="Z15" s="693">
        <v>2223309.7608632701</v>
      </c>
      <c r="AA15" s="693">
        <v>2524716.5090013868</v>
      </c>
      <c r="AB15" s="662"/>
      <c r="AC15" s="687"/>
      <c r="AD15" s="687"/>
      <c r="AE15" s="689"/>
      <c r="AF15" s="688"/>
      <c r="AG15" s="688"/>
      <c r="AH15" s="688"/>
      <c r="AI15" s="688"/>
      <c r="AJ15" s="688"/>
      <c r="AK15" s="688"/>
      <c r="AL15" s="688"/>
      <c r="AM15" s="688"/>
      <c r="AN15" s="688"/>
      <c r="AO15" s="688"/>
      <c r="AP15" s="688"/>
      <c r="AQ15" s="688"/>
      <c r="AR15" s="688"/>
      <c r="AS15" s="688"/>
      <c r="AT15" s="688"/>
      <c r="AU15" s="688"/>
      <c r="AV15" s="688"/>
      <c r="AW15" s="688"/>
      <c r="AX15" s="688"/>
      <c r="AY15" s="688"/>
      <c r="AZ15" s="688"/>
      <c r="BA15" s="688"/>
      <c r="BB15" s="688"/>
      <c r="BC15" s="688"/>
      <c r="BD15" s="688"/>
      <c r="BE15" s="688"/>
      <c r="BF15" s="688"/>
      <c r="BG15" s="688"/>
      <c r="BH15" s="688"/>
      <c r="BI15" s="688"/>
      <c r="BJ15" s="688"/>
      <c r="BK15" s="688"/>
      <c r="BL15" s="688"/>
      <c r="BM15" s="688"/>
      <c r="BN15" s="688"/>
      <c r="BO15" s="688"/>
      <c r="BP15" s="688"/>
      <c r="BQ15" s="688"/>
      <c r="BR15" s="688"/>
      <c r="BS15" s="688"/>
      <c r="BT15" s="688"/>
      <c r="BU15" s="688"/>
      <c r="BV15" s="688"/>
      <c r="BW15" s="688"/>
      <c r="BX15" s="688"/>
      <c r="BY15" s="688"/>
      <c r="BZ15" s="688"/>
      <c r="CA15" s="688"/>
      <c r="CB15" s="688"/>
      <c r="CC15" s="688"/>
      <c r="CD15" s="688"/>
      <c r="CE15" s="688"/>
      <c r="CF15" s="688"/>
      <c r="CG15" s="688"/>
      <c r="CH15" s="688"/>
      <c r="CI15" s="688"/>
      <c r="CJ15" s="688"/>
      <c r="CK15" s="688"/>
      <c r="CL15" s="688"/>
      <c r="CM15" s="688"/>
      <c r="CN15" s="688"/>
      <c r="CO15" s="688"/>
      <c r="CP15" s="688"/>
      <c r="CQ15" s="688"/>
      <c r="CR15" s="688"/>
      <c r="CS15" s="688"/>
      <c r="CT15" s="688"/>
      <c r="CU15" s="688"/>
      <c r="CV15" s="688"/>
      <c r="CW15" s="688"/>
      <c r="CX15" s="688"/>
      <c r="CY15" s="688"/>
      <c r="CZ15" s="688"/>
      <c r="DA15" s="688"/>
      <c r="DB15" s="688"/>
      <c r="DC15" s="688"/>
      <c r="DD15" s="688"/>
      <c r="DE15" s="688"/>
      <c r="DF15" s="688"/>
      <c r="DG15" s="688"/>
      <c r="DH15" s="688"/>
      <c r="DI15" s="688"/>
      <c r="DJ15" s="688"/>
      <c r="DK15" s="688"/>
      <c r="DL15" s="688"/>
      <c r="DM15" s="688"/>
      <c r="DN15" s="688"/>
      <c r="DO15" s="688"/>
      <c r="DP15" s="688"/>
      <c r="DQ15" s="688"/>
      <c r="DR15" s="688"/>
      <c r="DS15" s="688"/>
      <c r="DT15" s="688"/>
      <c r="DU15" s="688"/>
      <c r="DV15" s="688"/>
      <c r="DW15" s="688"/>
      <c r="DX15" s="688"/>
      <c r="DY15" s="688"/>
      <c r="DZ15" s="688"/>
      <c r="EA15" s="688"/>
      <c r="EB15" s="688"/>
      <c r="EC15" s="688"/>
      <c r="ED15" s="688"/>
      <c r="EE15" s="688"/>
      <c r="EF15" s="688"/>
      <c r="EG15" s="688"/>
      <c r="EH15" s="688"/>
      <c r="EI15" s="688"/>
      <c r="EJ15" s="688"/>
      <c r="EK15" s="688"/>
      <c r="EL15" s="688"/>
      <c r="EM15" s="688"/>
      <c r="EN15" s="688"/>
      <c r="EO15" s="688"/>
      <c r="EP15" s="688"/>
      <c r="EQ15" s="688"/>
      <c r="ER15" s="688"/>
      <c r="ES15" s="688"/>
      <c r="ET15" s="688"/>
      <c r="EU15" s="688"/>
      <c r="EV15" s="688"/>
      <c r="EW15" s="688"/>
      <c r="EX15" s="688"/>
      <c r="EY15" s="688"/>
      <c r="EZ15" s="688"/>
      <c r="FA15" s="688"/>
      <c r="FB15" s="688"/>
      <c r="FC15" s="688"/>
      <c r="FD15" s="688"/>
      <c r="FE15" s="688"/>
      <c r="FF15" s="688"/>
    </row>
    <row r="16" spans="1:162" ht="13.5" thickBot="1">
      <c r="A16"/>
      <c r="B16" s="37" t="s">
        <v>450</v>
      </c>
      <c r="C16" s="125"/>
      <c r="D16" s="125"/>
      <c r="E16" s="360"/>
      <c r="F16" s="366"/>
      <c r="G16" s="342"/>
      <c r="H16" s="125"/>
      <c r="I16" s="360"/>
      <c r="J16" s="366"/>
      <c r="K16" s="342"/>
      <c r="L16" s="365"/>
      <c r="M16" s="365"/>
      <c r="O16" s="694" t="s">
        <v>600</v>
      </c>
      <c r="P16" s="695">
        <v>6960534.0579310348</v>
      </c>
      <c r="Q16" s="697">
        <v>7194604.9626862602</v>
      </c>
      <c r="R16" s="697">
        <v>7652132.8502433123</v>
      </c>
      <c r="S16" s="697">
        <v>8160098.8471428575</v>
      </c>
      <c r="T16" s="697">
        <v>8483420.9511036724</v>
      </c>
      <c r="U16" s="697">
        <v>8690630.9948098157</v>
      </c>
      <c r="V16" s="697">
        <v>8926533.0625030231</v>
      </c>
      <c r="W16" s="697">
        <v>9194329.0543781221</v>
      </c>
      <c r="X16" s="697">
        <v>9470158.9260094762</v>
      </c>
      <c r="Y16" s="697">
        <v>9754263.693789769</v>
      </c>
      <c r="Z16" s="697">
        <v>10046891.604603473</v>
      </c>
      <c r="AA16" s="697">
        <v>10348298.35274159</v>
      </c>
      <c r="AB16" s="662"/>
      <c r="AC16" s="687"/>
      <c r="AD16" s="687"/>
      <c r="AE16" s="1157">
        <f>(AE23+AE24)/AE11</f>
        <v>1881.3889030854427</v>
      </c>
      <c r="AF16" s="1157">
        <f t="shared" ref="AF16:AP16" si="0">(AF23+AF24)/AF11</f>
        <v>1894.1187947583126</v>
      </c>
      <c r="AG16" s="1157">
        <f t="shared" si="0"/>
        <v>1930.6912516764041</v>
      </c>
      <c r="AH16" s="1157">
        <f t="shared" si="0"/>
        <v>1935.0334520107378</v>
      </c>
      <c r="AI16" s="1157">
        <f t="shared" si="0"/>
        <v>1909.9129473164085</v>
      </c>
      <c r="AJ16" s="1157">
        <f t="shared" si="0"/>
        <v>1919.6000922947517</v>
      </c>
      <c r="AK16" s="1157">
        <f t="shared" si="0"/>
        <v>1929.2921348227774</v>
      </c>
      <c r="AL16" s="1157">
        <f t="shared" si="0"/>
        <v>1938.9890827182041</v>
      </c>
      <c r="AM16" s="1157">
        <f t="shared" si="0"/>
        <v>1948.6909438112305</v>
      </c>
      <c r="AN16" s="1157">
        <f t="shared" si="0"/>
        <v>1958.3977259445523</v>
      </c>
      <c r="AO16" s="1157">
        <f t="shared" si="0"/>
        <v>1968.1094369733869</v>
      </c>
      <c r="AP16" s="1157">
        <f t="shared" si="0"/>
        <v>1977.8260847654888</v>
      </c>
      <c r="AQ16" s="698"/>
      <c r="AR16" s="688"/>
      <c r="AS16" s="688"/>
      <c r="AT16" s="688"/>
      <c r="AU16" s="688"/>
      <c r="AV16" s="688"/>
      <c r="AW16" s="688"/>
      <c r="AX16" s="688"/>
      <c r="AY16" s="688"/>
      <c r="AZ16" s="688"/>
      <c r="BA16" s="688"/>
      <c r="BB16" s="688"/>
      <c r="BC16" s="688"/>
      <c r="BD16" s="688"/>
      <c r="BE16" s="688"/>
      <c r="BF16" s="688"/>
      <c r="BG16" s="688"/>
      <c r="BH16" s="688"/>
      <c r="BI16" s="688"/>
      <c r="BJ16" s="688"/>
      <c r="BK16" s="688"/>
      <c r="BL16" s="688"/>
      <c r="BM16" s="688"/>
      <c r="BN16" s="688"/>
      <c r="BO16" s="688"/>
      <c r="BP16" s="688"/>
      <c r="BQ16" s="688"/>
      <c r="BR16" s="688"/>
      <c r="BS16" s="688"/>
      <c r="BT16" s="688"/>
      <c r="BU16" s="688"/>
      <c r="BV16" s="688"/>
      <c r="BW16" s="688"/>
      <c r="BX16" s="688"/>
      <c r="BY16" s="688"/>
      <c r="BZ16" s="688"/>
      <c r="CA16" s="688"/>
      <c r="CB16" s="688"/>
      <c r="CC16" s="688"/>
      <c r="CD16" s="688"/>
      <c r="CE16" s="688"/>
      <c r="CF16" s="688"/>
      <c r="CG16" s="688"/>
      <c r="CH16" s="688"/>
      <c r="CI16" s="688"/>
      <c r="CJ16" s="688"/>
      <c r="CK16" s="688"/>
      <c r="CL16" s="688"/>
      <c r="CM16" s="688"/>
      <c r="CN16" s="688"/>
      <c r="CO16" s="688"/>
      <c r="CP16" s="688"/>
      <c r="CQ16" s="688"/>
      <c r="CR16" s="688"/>
      <c r="CS16" s="688"/>
      <c r="CT16" s="688"/>
      <c r="CU16" s="688"/>
      <c r="CV16" s="688"/>
      <c r="CW16" s="688"/>
      <c r="CX16" s="688"/>
      <c r="CY16" s="688"/>
      <c r="CZ16" s="688"/>
      <c r="DA16" s="688"/>
      <c r="DB16" s="688"/>
      <c r="DC16" s="688"/>
      <c r="DD16" s="688"/>
      <c r="DE16" s="688"/>
      <c r="DF16" s="688"/>
      <c r="DG16" s="688"/>
      <c r="DH16" s="688"/>
      <c r="DI16" s="688"/>
      <c r="DJ16" s="688"/>
      <c r="DK16" s="688"/>
      <c r="DL16" s="688"/>
      <c r="DM16" s="688"/>
      <c r="DN16" s="688"/>
      <c r="DO16" s="688"/>
      <c r="DP16" s="688"/>
      <c r="DQ16" s="688"/>
      <c r="DR16" s="688"/>
      <c r="DS16" s="688"/>
      <c r="DT16" s="688"/>
      <c r="DU16" s="688"/>
      <c r="DV16" s="688"/>
      <c r="DW16" s="688"/>
      <c r="DX16" s="688"/>
      <c r="DY16" s="688"/>
      <c r="DZ16" s="688"/>
      <c r="EA16" s="688"/>
      <c r="EB16" s="688"/>
      <c r="EC16" s="688"/>
      <c r="ED16" s="688"/>
      <c r="EE16" s="688"/>
      <c r="EF16" s="688"/>
      <c r="EG16" s="688"/>
      <c r="EH16" s="688"/>
      <c r="EI16" s="688"/>
      <c r="EJ16" s="688"/>
      <c r="EK16" s="688"/>
      <c r="EL16" s="688"/>
      <c r="EM16" s="688"/>
      <c r="EN16" s="688"/>
      <c r="EO16" s="688"/>
      <c r="EP16" s="688"/>
      <c r="EQ16" s="688"/>
      <c r="ER16" s="688"/>
      <c r="ES16" s="688"/>
      <c r="ET16" s="688"/>
      <c r="EU16" s="688"/>
      <c r="EV16" s="688"/>
      <c r="EW16" s="688"/>
      <c r="EX16" s="688"/>
      <c r="EY16" s="688"/>
      <c r="EZ16" s="688"/>
      <c r="FA16" s="688"/>
      <c r="FB16" s="688"/>
      <c r="FC16" s="688"/>
      <c r="FD16" s="688"/>
      <c r="FE16" s="688"/>
      <c r="FF16" s="688"/>
    </row>
    <row r="17" spans="1:162" ht="15.75" thickBot="1">
      <c r="A17"/>
      <c r="B17" s="37" t="s">
        <v>61</v>
      </c>
      <c r="C17" s="136">
        <f>'Old OSAR'!K27</f>
        <v>0</v>
      </c>
      <c r="D17" s="1121">
        <f t="shared" ref="D17:D19" si="1">SUMIFS($AH:$AH,$M:$M,$B17)*12</f>
        <v>-16911.176180453025</v>
      </c>
      <c r="E17" s="369">
        <f t="shared" ref="E17:E19" si="2">C17-D17</f>
        <v>16911.176180453025</v>
      </c>
      <c r="F17" s="183">
        <f>(C17-D17)/D17</f>
        <v>-1</v>
      </c>
      <c r="G17" s="342"/>
      <c r="H17" s="364">
        <f>'2025 Budget'!U20</f>
        <v>-113103.08</v>
      </c>
      <c r="I17" s="369">
        <f>H17-C17</f>
        <v>-113103.08</v>
      </c>
      <c r="J17" s="183">
        <v>-1</v>
      </c>
      <c r="K17" s="342"/>
      <c r="L17" s="365"/>
      <c r="M17" s="365"/>
      <c r="N17" s="121"/>
      <c r="O17" s="699"/>
      <c r="P17" s="626"/>
      <c r="Q17" s="627"/>
      <c r="R17" s="628"/>
      <c r="S17" s="628"/>
      <c r="T17" s="629"/>
      <c r="U17" s="629"/>
      <c r="V17" s="629"/>
      <c r="W17" s="629"/>
      <c r="X17" s="629"/>
      <c r="Y17" s="629"/>
      <c r="Z17" s="629"/>
      <c r="AA17" s="629"/>
      <c r="AB17" s="630"/>
      <c r="AC17" s="700" t="s">
        <v>601</v>
      </c>
      <c r="AD17" s="817"/>
      <c r="AE17" s="701"/>
      <c r="AF17" s="701"/>
      <c r="AG17" s="701"/>
      <c r="AH17" s="701"/>
      <c r="AI17" s="701"/>
      <c r="AJ17" s="701"/>
      <c r="AK17" s="701"/>
      <c r="AL17" s="701"/>
      <c r="AM17" s="701"/>
      <c r="AN17" s="701"/>
      <c r="AO17" s="701"/>
      <c r="AP17" s="701"/>
      <c r="AQ17" s="701"/>
      <c r="AR17" s="701"/>
      <c r="AS17" s="701"/>
      <c r="AT17" s="701"/>
      <c r="AU17" s="701"/>
      <c r="AV17" s="701"/>
      <c r="AW17" s="701"/>
      <c r="AX17" s="701"/>
      <c r="AY17" s="701"/>
      <c r="AZ17" s="701"/>
      <c r="BA17" s="701"/>
      <c r="BB17" s="701"/>
      <c r="BC17" s="701"/>
      <c r="BD17" s="701"/>
      <c r="BE17" s="701"/>
      <c r="BF17" s="701"/>
      <c r="BG17" s="701"/>
      <c r="BH17" s="701"/>
      <c r="BI17" s="701"/>
      <c r="BJ17" s="701"/>
      <c r="BK17" s="701"/>
      <c r="BL17" s="701"/>
      <c r="BM17" s="701"/>
      <c r="BN17" s="701"/>
      <c r="BO17" s="701"/>
      <c r="BP17" s="701"/>
      <c r="BQ17" s="701"/>
      <c r="BR17" s="701"/>
      <c r="BS17" s="701"/>
      <c r="BT17" s="701"/>
      <c r="BU17" s="701"/>
      <c r="BV17" s="701"/>
      <c r="BW17" s="701"/>
      <c r="BX17" s="701"/>
      <c r="BY17" s="701"/>
      <c r="BZ17" s="701"/>
      <c r="CA17" s="701"/>
      <c r="CB17" s="701"/>
      <c r="CC17" s="701"/>
      <c r="CD17" s="701"/>
      <c r="CE17" s="701"/>
      <c r="CF17" s="701"/>
      <c r="CG17" s="701"/>
      <c r="CH17" s="701"/>
      <c r="CI17" s="701"/>
      <c r="CJ17" s="701"/>
      <c r="CK17" s="701"/>
      <c r="CL17" s="701"/>
      <c r="CM17" s="701"/>
      <c r="CN17" s="701"/>
      <c r="CO17" s="701"/>
      <c r="CP17" s="701"/>
      <c r="CQ17" s="701"/>
      <c r="CR17" s="701"/>
      <c r="CS17" s="701"/>
      <c r="CT17" s="701"/>
      <c r="CU17" s="701"/>
      <c r="CV17" s="701"/>
      <c r="CW17" s="701"/>
      <c r="CX17" s="701"/>
      <c r="CY17" s="701"/>
      <c r="CZ17" s="701"/>
      <c r="DA17" s="701"/>
      <c r="DB17" s="701"/>
      <c r="DC17" s="701"/>
      <c r="DD17" s="701"/>
      <c r="DE17" s="701"/>
      <c r="DF17" s="701"/>
      <c r="DG17" s="701"/>
      <c r="DH17" s="701"/>
      <c r="DI17" s="701"/>
      <c r="DJ17" s="701"/>
      <c r="DK17" s="701"/>
      <c r="DL17" s="701"/>
      <c r="DM17" s="701"/>
      <c r="DN17" s="701"/>
      <c r="DO17" s="701"/>
      <c r="DP17" s="701"/>
      <c r="DQ17" s="701"/>
      <c r="DR17" s="701"/>
      <c r="DS17" s="701"/>
      <c r="DT17" s="701"/>
      <c r="DU17" s="701"/>
      <c r="DV17" s="701"/>
      <c r="DW17" s="701"/>
      <c r="DX17" s="701"/>
      <c r="DY17" s="701"/>
      <c r="DZ17" s="701"/>
      <c r="EA17" s="701"/>
      <c r="EB17" s="701"/>
      <c r="EC17" s="701"/>
      <c r="ED17" s="701"/>
      <c r="EE17" s="701"/>
      <c r="EF17" s="701"/>
      <c r="EG17" s="701"/>
      <c r="EH17" s="701"/>
      <c r="EI17" s="701"/>
      <c r="EJ17" s="701"/>
      <c r="EK17" s="701"/>
      <c r="EL17" s="701"/>
      <c r="EM17" s="701"/>
      <c r="EN17" s="701"/>
      <c r="EO17" s="701"/>
      <c r="EP17" s="701"/>
      <c r="EQ17" s="701"/>
      <c r="ER17" s="701"/>
      <c r="ES17" s="701"/>
      <c r="ET17" s="701"/>
      <c r="EU17" s="701"/>
      <c r="EV17" s="701"/>
      <c r="EW17" s="701"/>
      <c r="EX17" s="701"/>
      <c r="EY17" s="701"/>
      <c r="EZ17" s="701"/>
      <c r="FA17" s="701"/>
      <c r="FB17" s="701"/>
      <c r="FC17" s="701"/>
      <c r="FD17" s="701"/>
      <c r="FE17" s="701"/>
      <c r="FF17" s="701"/>
    </row>
    <row r="18" spans="1:162" ht="15">
      <c r="A18"/>
      <c r="B18" s="37" t="s">
        <v>30</v>
      </c>
      <c r="C18" s="136">
        <f>'Old OSAR'!K28</f>
        <v>0</v>
      </c>
      <c r="D18" s="1121">
        <f t="shared" si="1"/>
        <v>22176</v>
      </c>
      <c r="E18" s="368">
        <f t="shared" si="2"/>
        <v>-22176</v>
      </c>
      <c r="F18" s="184">
        <v>1</v>
      </c>
      <c r="G18" s="342"/>
      <c r="H18" s="364">
        <f>'2025 Budget'!U21</f>
        <v>0</v>
      </c>
      <c r="I18" s="370">
        <f>H18-C18</f>
        <v>0</v>
      </c>
      <c r="J18" s="371" t="e">
        <f t="shared" ref="J18:J19" si="3">H18/C18-1</f>
        <v>#DIV/0!</v>
      </c>
      <c r="K18" s="342"/>
      <c r="L18" s="365"/>
      <c r="O18" s="702" t="s">
        <v>581</v>
      </c>
      <c r="P18" s="677" t="s">
        <v>591</v>
      </c>
      <c r="Q18" s="647">
        <v>1</v>
      </c>
      <c r="R18" s="647">
        <v>2</v>
      </c>
      <c r="S18" s="647">
        <v>3</v>
      </c>
      <c r="T18" s="647">
        <v>4</v>
      </c>
      <c r="U18" s="647">
        <v>5</v>
      </c>
      <c r="V18" s="647">
        <v>6</v>
      </c>
      <c r="W18" s="647">
        <v>7</v>
      </c>
      <c r="X18" s="647">
        <v>8</v>
      </c>
      <c r="Y18" s="647">
        <v>9</v>
      </c>
      <c r="Z18" s="647">
        <v>10</v>
      </c>
      <c r="AA18" s="647">
        <v>11</v>
      </c>
      <c r="AB18" s="630"/>
      <c r="AC18" s="703" t="s">
        <v>584</v>
      </c>
      <c r="AD18" s="818">
        <v>0</v>
      </c>
      <c r="AE18" s="655">
        <v>1</v>
      </c>
      <c r="AF18" s="655">
        <f>AE18+1</f>
        <v>2</v>
      </c>
      <c r="AG18" s="655">
        <f t="shared" ref="AG18:CR18" si="4">AF18+1</f>
        <v>3</v>
      </c>
      <c r="AH18" s="655">
        <f t="shared" si="4"/>
        <v>4</v>
      </c>
      <c r="AI18" s="655">
        <f t="shared" si="4"/>
        <v>5</v>
      </c>
      <c r="AJ18" s="655">
        <f t="shared" si="4"/>
        <v>6</v>
      </c>
      <c r="AK18" s="655">
        <f t="shared" si="4"/>
        <v>7</v>
      </c>
      <c r="AL18" s="655">
        <f t="shared" si="4"/>
        <v>8</v>
      </c>
      <c r="AM18" s="655">
        <f t="shared" si="4"/>
        <v>9</v>
      </c>
      <c r="AN18" s="655">
        <f t="shared" si="4"/>
        <v>10</v>
      </c>
      <c r="AO18" s="655">
        <f t="shared" si="4"/>
        <v>11</v>
      </c>
      <c r="AP18" s="655">
        <f t="shared" si="4"/>
        <v>12</v>
      </c>
      <c r="AQ18" s="655">
        <f t="shared" si="4"/>
        <v>13</v>
      </c>
      <c r="AR18" s="655">
        <f t="shared" si="4"/>
        <v>14</v>
      </c>
      <c r="AS18" s="655">
        <f t="shared" si="4"/>
        <v>15</v>
      </c>
      <c r="AT18" s="655">
        <f t="shared" si="4"/>
        <v>16</v>
      </c>
      <c r="AU18" s="655">
        <f t="shared" si="4"/>
        <v>17</v>
      </c>
      <c r="AV18" s="655">
        <f t="shared" si="4"/>
        <v>18</v>
      </c>
      <c r="AW18" s="655">
        <f t="shared" si="4"/>
        <v>19</v>
      </c>
      <c r="AX18" s="655">
        <f t="shared" si="4"/>
        <v>20</v>
      </c>
      <c r="AY18" s="655">
        <f t="shared" si="4"/>
        <v>21</v>
      </c>
      <c r="AZ18" s="655">
        <f t="shared" si="4"/>
        <v>22</v>
      </c>
      <c r="BA18" s="655">
        <f t="shared" si="4"/>
        <v>23</v>
      </c>
      <c r="BB18" s="655">
        <f t="shared" si="4"/>
        <v>24</v>
      </c>
      <c r="BC18" s="655">
        <f t="shared" si="4"/>
        <v>25</v>
      </c>
      <c r="BD18" s="655">
        <f t="shared" si="4"/>
        <v>26</v>
      </c>
      <c r="BE18" s="655">
        <f t="shared" si="4"/>
        <v>27</v>
      </c>
      <c r="BF18" s="655">
        <f t="shared" si="4"/>
        <v>28</v>
      </c>
      <c r="BG18" s="655">
        <f t="shared" si="4"/>
        <v>29</v>
      </c>
      <c r="BH18" s="655">
        <f t="shared" si="4"/>
        <v>30</v>
      </c>
      <c r="BI18" s="655">
        <f t="shared" si="4"/>
        <v>31</v>
      </c>
      <c r="BJ18" s="655">
        <f t="shared" si="4"/>
        <v>32</v>
      </c>
      <c r="BK18" s="655">
        <f t="shared" si="4"/>
        <v>33</v>
      </c>
      <c r="BL18" s="655">
        <f t="shared" si="4"/>
        <v>34</v>
      </c>
      <c r="BM18" s="655">
        <f t="shared" si="4"/>
        <v>35</v>
      </c>
      <c r="BN18" s="655">
        <f t="shared" si="4"/>
        <v>36</v>
      </c>
      <c r="BO18" s="655">
        <f t="shared" si="4"/>
        <v>37</v>
      </c>
      <c r="BP18" s="655">
        <f t="shared" si="4"/>
        <v>38</v>
      </c>
      <c r="BQ18" s="655">
        <f t="shared" si="4"/>
        <v>39</v>
      </c>
      <c r="BR18" s="655">
        <f t="shared" si="4"/>
        <v>40</v>
      </c>
      <c r="BS18" s="655">
        <f t="shared" si="4"/>
        <v>41</v>
      </c>
      <c r="BT18" s="655">
        <f t="shared" si="4"/>
        <v>42</v>
      </c>
      <c r="BU18" s="655">
        <f t="shared" si="4"/>
        <v>43</v>
      </c>
      <c r="BV18" s="655">
        <f t="shared" si="4"/>
        <v>44</v>
      </c>
      <c r="BW18" s="655">
        <f t="shared" si="4"/>
        <v>45</v>
      </c>
      <c r="BX18" s="655">
        <f t="shared" si="4"/>
        <v>46</v>
      </c>
      <c r="BY18" s="655">
        <f t="shared" si="4"/>
        <v>47</v>
      </c>
      <c r="BZ18" s="655">
        <f t="shared" si="4"/>
        <v>48</v>
      </c>
      <c r="CA18" s="655">
        <f t="shared" si="4"/>
        <v>49</v>
      </c>
      <c r="CB18" s="655">
        <f t="shared" si="4"/>
        <v>50</v>
      </c>
      <c r="CC18" s="655">
        <f t="shared" si="4"/>
        <v>51</v>
      </c>
      <c r="CD18" s="655">
        <f t="shared" si="4"/>
        <v>52</v>
      </c>
      <c r="CE18" s="655">
        <f t="shared" si="4"/>
        <v>53</v>
      </c>
      <c r="CF18" s="655">
        <f t="shared" si="4"/>
        <v>54</v>
      </c>
      <c r="CG18" s="655">
        <f t="shared" si="4"/>
        <v>55</v>
      </c>
      <c r="CH18" s="655">
        <f t="shared" si="4"/>
        <v>56</v>
      </c>
      <c r="CI18" s="655">
        <f t="shared" si="4"/>
        <v>57</v>
      </c>
      <c r="CJ18" s="655">
        <f t="shared" si="4"/>
        <v>58</v>
      </c>
      <c r="CK18" s="655">
        <f t="shared" si="4"/>
        <v>59</v>
      </c>
      <c r="CL18" s="655">
        <f t="shared" si="4"/>
        <v>60</v>
      </c>
      <c r="CM18" s="655">
        <f t="shared" si="4"/>
        <v>61</v>
      </c>
      <c r="CN18" s="655">
        <f t="shared" si="4"/>
        <v>62</v>
      </c>
      <c r="CO18" s="655">
        <f t="shared" si="4"/>
        <v>63</v>
      </c>
      <c r="CP18" s="655">
        <f t="shared" si="4"/>
        <v>64</v>
      </c>
      <c r="CQ18" s="655">
        <f t="shared" si="4"/>
        <v>65</v>
      </c>
      <c r="CR18" s="655">
        <f t="shared" si="4"/>
        <v>66</v>
      </c>
      <c r="CS18" s="655">
        <f t="shared" ref="CS18:FD18" si="5">CR18+1</f>
        <v>67</v>
      </c>
      <c r="CT18" s="655">
        <f t="shared" si="5"/>
        <v>68</v>
      </c>
      <c r="CU18" s="655">
        <f t="shared" si="5"/>
        <v>69</v>
      </c>
      <c r="CV18" s="655">
        <f t="shared" si="5"/>
        <v>70</v>
      </c>
      <c r="CW18" s="655">
        <f t="shared" si="5"/>
        <v>71</v>
      </c>
      <c r="CX18" s="655">
        <f t="shared" si="5"/>
        <v>72</v>
      </c>
      <c r="CY18" s="655">
        <f t="shared" si="5"/>
        <v>73</v>
      </c>
      <c r="CZ18" s="655">
        <f t="shared" si="5"/>
        <v>74</v>
      </c>
      <c r="DA18" s="655">
        <f t="shared" si="5"/>
        <v>75</v>
      </c>
      <c r="DB18" s="655">
        <f t="shared" si="5"/>
        <v>76</v>
      </c>
      <c r="DC18" s="655">
        <f t="shared" si="5"/>
        <v>77</v>
      </c>
      <c r="DD18" s="655">
        <f t="shared" si="5"/>
        <v>78</v>
      </c>
      <c r="DE18" s="655">
        <f t="shared" si="5"/>
        <v>79</v>
      </c>
      <c r="DF18" s="655">
        <f t="shared" si="5"/>
        <v>80</v>
      </c>
      <c r="DG18" s="655">
        <f t="shared" si="5"/>
        <v>81</v>
      </c>
      <c r="DH18" s="655">
        <f t="shared" si="5"/>
        <v>82</v>
      </c>
      <c r="DI18" s="655">
        <f t="shared" si="5"/>
        <v>83</v>
      </c>
      <c r="DJ18" s="655">
        <f t="shared" si="5"/>
        <v>84</v>
      </c>
      <c r="DK18" s="655">
        <f t="shared" si="5"/>
        <v>85</v>
      </c>
      <c r="DL18" s="655">
        <f t="shared" si="5"/>
        <v>86</v>
      </c>
      <c r="DM18" s="655">
        <f t="shared" si="5"/>
        <v>87</v>
      </c>
      <c r="DN18" s="655">
        <f t="shared" si="5"/>
        <v>88</v>
      </c>
      <c r="DO18" s="655">
        <f t="shared" si="5"/>
        <v>89</v>
      </c>
      <c r="DP18" s="655">
        <f t="shared" si="5"/>
        <v>90</v>
      </c>
      <c r="DQ18" s="655">
        <f t="shared" si="5"/>
        <v>91</v>
      </c>
      <c r="DR18" s="655">
        <f t="shared" si="5"/>
        <v>92</v>
      </c>
      <c r="DS18" s="655">
        <f t="shared" si="5"/>
        <v>93</v>
      </c>
      <c r="DT18" s="655">
        <f t="shared" si="5"/>
        <v>94</v>
      </c>
      <c r="DU18" s="655">
        <f t="shared" si="5"/>
        <v>95</v>
      </c>
      <c r="DV18" s="655">
        <f t="shared" si="5"/>
        <v>96</v>
      </c>
      <c r="DW18" s="655">
        <f t="shared" si="5"/>
        <v>97</v>
      </c>
      <c r="DX18" s="655">
        <f t="shared" si="5"/>
        <v>98</v>
      </c>
      <c r="DY18" s="655">
        <f t="shared" si="5"/>
        <v>99</v>
      </c>
      <c r="DZ18" s="655">
        <f t="shared" si="5"/>
        <v>100</v>
      </c>
      <c r="EA18" s="655">
        <f t="shared" si="5"/>
        <v>101</v>
      </c>
      <c r="EB18" s="655">
        <f t="shared" si="5"/>
        <v>102</v>
      </c>
      <c r="EC18" s="655">
        <f t="shared" si="5"/>
        <v>103</v>
      </c>
      <c r="ED18" s="655">
        <f t="shared" si="5"/>
        <v>104</v>
      </c>
      <c r="EE18" s="655">
        <f t="shared" si="5"/>
        <v>105</v>
      </c>
      <c r="EF18" s="655">
        <f t="shared" si="5"/>
        <v>106</v>
      </c>
      <c r="EG18" s="655">
        <f t="shared" si="5"/>
        <v>107</v>
      </c>
      <c r="EH18" s="655">
        <f t="shared" si="5"/>
        <v>108</v>
      </c>
      <c r="EI18" s="655">
        <f t="shared" si="5"/>
        <v>109</v>
      </c>
      <c r="EJ18" s="655">
        <f t="shared" si="5"/>
        <v>110</v>
      </c>
      <c r="EK18" s="655">
        <f t="shared" si="5"/>
        <v>111</v>
      </c>
      <c r="EL18" s="655">
        <f t="shared" si="5"/>
        <v>112</v>
      </c>
      <c r="EM18" s="655">
        <f t="shared" si="5"/>
        <v>113</v>
      </c>
      <c r="EN18" s="655">
        <f t="shared" si="5"/>
        <v>114</v>
      </c>
      <c r="EO18" s="655">
        <f t="shared" si="5"/>
        <v>115</v>
      </c>
      <c r="EP18" s="655">
        <f t="shared" si="5"/>
        <v>116</v>
      </c>
      <c r="EQ18" s="655">
        <f t="shared" si="5"/>
        <v>117</v>
      </c>
      <c r="ER18" s="655">
        <f t="shared" si="5"/>
        <v>118</v>
      </c>
      <c r="ES18" s="655">
        <f t="shared" si="5"/>
        <v>119</v>
      </c>
      <c r="ET18" s="655">
        <f t="shared" si="5"/>
        <v>120</v>
      </c>
      <c r="EU18" s="655">
        <f t="shared" si="5"/>
        <v>121</v>
      </c>
      <c r="EV18" s="655">
        <f t="shared" si="5"/>
        <v>122</v>
      </c>
      <c r="EW18" s="655">
        <f t="shared" si="5"/>
        <v>123</v>
      </c>
      <c r="EX18" s="655">
        <f t="shared" si="5"/>
        <v>124</v>
      </c>
      <c r="EY18" s="655">
        <f t="shared" si="5"/>
        <v>125</v>
      </c>
      <c r="EZ18" s="655">
        <f t="shared" si="5"/>
        <v>126</v>
      </c>
      <c r="FA18" s="655">
        <f t="shared" si="5"/>
        <v>127</v>
      </c>
      <c r="FB18" s="655">
        <f t="shared" si="5"/>
        <v>128</v>
      </c>
      <c r="FC18" s="655">
        <f t="shared" si="5"/>
        <v>129</v>
      </c>
      <c r="FD18" s="655">
        <f t="shared" si="5"/>
        <v>130</v>
      </c>
      <c r="FE18" s="655">
        <f t="shared" ref="FE18:FF18" si="6">FD18+1</f>
        <v>131</v>
      </c>
      <c r="FF18" s="655">
        <f t="shared" si="6"/>
        <v>132</v>
      </c>
    </row>
    <row r="19" spans="1:162" ht="15.75" thickBot="1">
      <c r="A19"/>
      <c r="B19" s="37" t="s">
        <v>31</v>
      </c>
      <c r="C19" s="136">
        <f>'Old OSAR'!K29</f>
        <v>0</v>
      </c>
      <c r="D19" s="1121">
        <f t="shared" si="1"/>
        <v>364146.37069625442</v>
      </c>
      <c r="E19" s="369">
        <f t="shared" si="2"/>
        <v>-364146.37069625442</v>
      </c>
      <c r="F19" s="183">
        <f t="shared" ref="F19" si="7">(C19-D19)/D19</f>
        <v>-1</v>
      </c>
      <c r="G19" s="342"/>
      <c r="H19" s="364">
        <f>'2025 Budget'!U22</f>
        <v>268442.15999999997</v>
      </c>
      <c r="I19" s="368">
        <f t="shared" ref="I19:I46" si="8">H19-C19</f>
        <v>268442.15999999997</v>
      </c>
      <c r="J19" s="184" t="e">
        <f t="shared" si="3"/>
        <v>#DIV/0!</v>
      </c>
      <c r="K19" s="342"/>
      <c r="L19" s="372"/>
      <c r="N19" s="573"/>
      <c r="O19" s="651" t="s">
        <v>602</v>
      </c>
      <c r="P19" s="679">
        <v>45809</v>
      </c>
      <c r="Q19" s="654">
        <v>46173</v>
      </c>
      <c r="R19" s="654">
        <v>46538</v>
      </c>
      <c r="S19" s="654">
        <v>46904</v>
      </c>
      <c r="T19" s="654">
        <v>47269</v>
      </c>
      <c r="U19" s="654">
        <v>47634</v>
      </c>
      <c r="V19" s="654">
        <v>47999</v>
      </c>
      <c r="W19" s="654">
        <v>48365</v>
      </c>
      <c r="X19" s="654">
        <v>48730</v>
      </c>
      <c r="Y19" s="654">
        <v>49095</v>
      </c>
      <c r="Z19" s="654">
        <v>49460</v>
      </c>
      <c r="AA19" s="654">
        <v>49826</v>
      </c>
      <c r="AB19" s="631"/>
      <c r="AC19" s="703" t="s">
        <v>586</v>
      </c>
      <c r="AD19" s="819">
        <v>45809</v>
      </c>
      <c r="AE19" s="849">
        <v>45838</v>
      </c>
      <c r="AF19" s="849">
        <f>EOMONTH(AE19,1)</f>
        <v>45869</v>
      </c>
      <c r="AG19" s="849">
        <f t="shared" ref="AG19:CR19" si="9">EOMONTH(AF19,1)</f>
        <v>45900</v>
      </c>
      <c r="AH19" s="849">
        <f t="shared" si="9"/>
        <v>45930</v>
      </c>
      <c r="AI19" s="849">
        <f t="shared" si="9"/>
        <v>45961</v>
      </c>
      <c r="AJ19" s="849">
        <f t="shared" si="9"/>
        <v>45991</v>
      </c>
      <c r="AK19" s="849">
        <f t="shared" si="9"/>
        <v>46022</v>
      </c>
      <c r="AL19" s="849">
        <f t="shared" si="9"/>
        <v>46053</v>
      </c>
      <c r="AM19" s="849">
        <f t="shared" si="9"/>
        <v>46081</v>
      </c>
      <c r="AN19" s="849">
        <f t="shared" si="9"/>
        <v>46112</v>
      </c>
      <c r="AO19" s="849">
        <f t="shared" si="9"/>
        <v>46142</v>
      </c>
      <c r="AP19" s="849">
        <f t="shared" si="9"/>
        <v>46173</v>
      </c>
      <c r="AQ19" s="849">
        <f t="shared" si="9"/>
        <v>46203</v>
      </c>
      <c r="AR19" s="849">
        <f t="shared" si="9"/>
        <v>46234</v>
      </c>
      <c r="AS19" s="849">
        <f t="shared" si="9"/>
        <v>46265</v>
      </c>
      <c r="AT19" s="849">
        <f t="shared" si="9"/>
        <v>46295</v>
      </c>
      <c r="AU19" s="849">
        <f t="shared" si="9"/>
        <v>46326</v>
      </c>
      <c r="AV19" s="849">
        <f t="shared" si="9"/>
        <v>46356</v>
      </c>
      <c r="AW19" s="849">
        <f t="shared" si="9"/>
        <v>46387</v>
      </c>
      <c r="AX19" s="849">
        <f t="shared" si="9"/>
        <v>46418</v>
      </c>
      <c r="AY19" s="849">
        <f t="shared" si="9"/>
        <v>46446</v>
      </c>
      <c r="AZ19" s="849">
        <f t="shared" si="9"/>
        <v>46477</v>
      </c>
      <c r="BA19" s="849">
        <f t="shared" si="9"/>
        <v>46507</v>
      </c>
      <c r="BB19" s="849">
        <f t="shared" si="9"/>
        <v>46538</v>
      </c>
      <c r="BC19" s="849">
        <f t="shared" si="9"/>
        <v>46568</v>
      </c>
      <c r="BD19" s="849">
        <f t="shared" si="9"/>
        <v>46599</v>
      </c>
      <c r="BE19" s="849">
        <f t="shared" si="9"/>
        <v>46630</v>
      </c>
      <c r="BF19" s="849">
        <f t="shared" si="9"/>
        <v>46660</v>
      </c>
      <c r="BG19" s="849">
        <f t="shared" si="9"/>
        <v>46691</v>
      </c>
      <c r="BH19" s="849">
        <f t="shared" si="9"/>
        <v>46721</v>
      </c>
      <c r="BI19" s="849">
        <f t="shared" si="9"/>
        <v>46752</v>
      </c>
      <c r="BJ19" s="849">
        <f t="shared" si="9"/>
        <v>46783</v>
      </c>
      <c r="BK19" s="849">
        <f t="shared" si="9"/>
        <v>46812</v>
      </c>
      <c r="BL19" s="849">
        <f t="shared" si="9"/>
        <v>46843</v>
      </c>
      <c r="BM19" s="849">
        <f t="shared" si="9"/>
        <v>46873</v>
      </c>
      <c r="BN19" s="849">
        <f t="shared" si="9"/>
        <v>46904</v>
      </c>
      <c r="BO19" s="849">
        <f t="shared" si="9"/>
        <v>46934</v>
      </c>
      <c r="BP19" s="849">
        <f t="shared" si="9"/>
        <v>46965</v>
      </c>
      <c r="BQ19" s="849">
        <f t="shared" si="9"/>
        <v>46996</v>
      </c>
      <c r="BR19" s="849">
        <f t="shared" si="9"/>
        <v>47026</v>
      </c>
      <c r="BS19" s="849">
        <f t="shared" si="9"/>
        <v>47057</v>
      </c>
      <c r="BT19" s="849">
        <f t="shared" si="9"/>
        <v>47087</v>
      </c>
      <c r="BU19" s="849">
        <f t="shared" si="9"/>
        <v>47118</v>
      </c>
      <c r="BV19" s="849">
        <f t="shared" si="9"/>
        <v>47149</v>
      </c>
      <c r="BW19" s="849">
        <f t="shared" si="9"/>
        <v>47177</v>
      </c>
      <c r="BX19" s="849">
        <f t="shared" si="9"/>
        <v>47208</v>
      </c>
      <c r="BY19" s="849">
        <f t="shared" si="9"/>
        <v>47238</v>
      </c>
      <c r="BZ19" s="849">
        <f t="shared" si="9"/>
        <v>47269</v>
      </c>
      <c r="CA19" s="849">
        <f t="shared" si="9"/>
        <v>47299</v>
      </c>
      <c r="CB19" s="849">
        <f t="shared" si="9"/>
        <v>47330</v>
      </c>
      <c r="CC19" s="849">
        <f t="shared" si="9"/>
        <v>47361</v>
      </c>
      <c r="CD19" s="849">
        <f t="shared" si="9"/>
        <v>47391</v>
      </c>
      <c r="CE19" s="849">
        <f t="shared" si="9"/>
        <v>47422</v>
      </c>
      <c r="CF19" s="849">
        <f t="shared" si="9"/>
        <v>47452</v>
      </c>
      <c r="CG19" s="849">
        <f t="shared" si="9"/>
        <v>47483</v>
      </c>
      <c r="CH19" s="849">
        <f t="shared" si="9"/>
        <v>47514</v>
      </c>
      <c r="CI19" s="849">
        <f t="shared" si="9"/>
        <v>47542</v>
      </c>
      <c r="CJ19" s="849">
        <f t="shared" si="9"/>
        <v>47573</v>
      </c>
      <c r="CK19" s="849">
        <f t="shared" si="9"/>
        <v>47603</v>
      </c>
      <c r="CL19" s="849">
        <f t="shared" si="9"/>
        <v>47634</v>
      </c>
      <c r="CM19" s="849">
        <f t="shared" si="9"/>
        <v>47664</v>
      </c>
      <c r="CN19" s="849">
        <f t="shared" si="9"/>
        <v>47695</v>
      </c>
      <c r="CO19" s="849">
        <f t="shared" si="9"/>
        <v>47726</v>
      </c>
      <c r="CP19" s="849">
        <f t="shared" si="9"/>
        <v>47756</v>
      </c>
      <c r="CQ19" s="849">
        <f t="shared" si="9"/>
        <v>47787</v>
      </c>
      <c r="CR19" s="849">
        <f t="shared" si="9"/>
        <v>47817</v>
      </c>
      <c r="CS19" s="849">
        <f t="shared" ref="CS19:FD19" si="10">EOMONTH(CR19,1)</f>
        <v>47848</v>
      </c>
      <c r="CT19" s="849">
        <f t="shared" si="10"/>
        <v>47879</v>
      </c>
      <c r="CU19" s="849">
        <f t="shared" si="10"/>
        <v>47907</v>
      </c>
      <c r="CV19" s="849">
        <f t="shared" si="10"/>
        <v>47938</v>
      </c>
      <c r="CW19" s="849">
        <f t="shared" si="10"/>
        <v>47968</v>
      </c>
      <c r="CX19" s="849">
        <f t="shared" si="10"/>
        <v>47999</v>
      </c>
      <c r="CY19" s="849">
        <f t="shared" si="10"/>
        <v>48029</v>
      </c>
      <c r="CZ19" s="849">
        <f t="shared" si="10"/>
        <v>48060</v>
      </c>
      <c r="DA19" s="849">
        <f t="shared" si="10"/>
        <v>48091</v>
      </c>
      <c r="DB19" s="849">
        <f t="shared" si="10"/>
        <v>48121</v>
      </c>
      <c r="DC19" s="849">
        <f t="shared" si="10"/>
        <v>48152</v>
      </c>
      <c r="DD19" s="849">
        <f t="shared" si="10"/>
        <v>48182</v>
      </c>
      <c r="DE19" s="849">
        <f t="shared" si="10"/>
        <v>48213</v>
      </c>
      <c r="DF19" s="849">
        <f t="shared" si="10"/>
        <v>48244</v>
      </c>
      <c r="DG19" s="849">
        <f t="shared" si="10"/>
        <v>48273</v>
      </c>
      <c r="DH19" s="849">
        <f t="shared" si="10"/>
        <v>48304</v>
      </c>
      <c r="DI19" s="849">
        <f t="shared" si="10"/>
        <v>48334</v>
      </c>
      <c r="DJ19" s="849">
        <f t="shared" si="10"/>
        <v>48365</v>
      </c>
      <c r="DK19" s="849">
        <f t="shared" si="10"/>
        <v>48395</v>
      </c>
      <c r="DL19" s="849">
        <f t="shared" si="10"/>
        <v>48426</v>
      </c>
      <c r="DM19" s="849">
        <f t="shared" si="10"/>
        <v>48457</v>
      </c>
      <c r="DN19" s="849">
        <f t="shared" si="10"/>
        <v>48487</v>
      </c>
      <c r="DO19" s="849">
        <f t="shared" si="10"/>
        <v>48518</v>
      </c>
      <c r="DP19" s="849">
        <f t="shared" si="10"/>
        <v>48548</v>
      </c>
      <c r="DQ19" s="849">
        <f t="shared" si="10"/>
        <v>48579</v>
      </c>
      <c r="DR19" s="849">
        <f t="shared" si="10"/>
        <v>48610</v>
      </c>
      <c r="DS19" s="849">
        <f t="shared" si="10"/>
        <v>48638</v>
      </c>
      <c r="DT19" s="849">
        <f t="shared" si="10"/>
        <v>48669</v>
      </c>
      <c r="DU19" s="849">
        <f t="shared" si="10"/>
        <v>48699</v>
      </c>
      <c r="DV19" s="849">
        <f t="shared" si="10"/>
        <v>48730</v>
      </c>
      <c r="DW19" s="849">
        <f t="shared" si="10"/>
        <v>48760</v>
      </c>
      <c r="DX19" s="849">
        <f t="shared" si="10"/>
        <v>48791</v>
      </c>
      <c r="DY19" s="849">
        <f t="shared" si="10"/>
        <v>48822</v>
      </c>
      <c r="DZ19" s="849">
        <f t="shared" si="10"/>
        <v>48852</v>
      </c>
      <c r="EA19" s="849">
        <f t="shared" si="10"/>
        <v>48883</v>
      </c>
      <c r="EB19" s="849">
        <f t="shared" si="10"/>
        <v>48913</v>
      </c>
      <c r="EC19" s="849">
        <f t="shared" si="10"/>
        <v>48944</v>
      </c>
      <c r="ED19" s="849">
        <f t="shared" si="10"/>
        <v>48975</v>
      </c>
      <c r="EE19" s="849">
        <f t="shared" si="10"/>
        <v>49003</v>
      </c>
      <c r="EF19" s="849">
        <f t="shared" si="10"/>
        <v>49034</v>
      </c>
      <c r="EG19" s="849">
        <f t="shared" si="10"/>
        <v>49064</v>
      </c>
      <c r="EH19" s="849">
        <f t="shared" si="10"/>
        <v>49095</v>
      </c>
      <c r="EI19" s="849">
        <f t="shared" si="10"/>
        <v>49125</v>
      </c>
      <c r="EJ19" s="849">
        <f t="shared" si="10"/>
        <v>49156</v>
      </c>
      <c r="EK19" s="849">
        <f t="shared" si="10"/>
        <v>49187</v>
      </c>
      <c r="EL19" s="849">
        <f t="shared" si="10"/>
        <v>49217</v>
      </c>
      <c r="EM19" s="849">
        <f t="shared" si="10"/>
        <v>49248</v>
      </c>
      <c r="EN19" s="849">
        <f t="shared" si="10"/>
        <v>49278</v>
      </c>
      <c r="EO19" s="849">
        <f t="shared" si="10"/>
        <v>49309</v>
      </c>
      <c r="EP19" s="849">
        <f t="shared" si="10"/>
        <v>49340</v>
      </c>
      <c r="EQ19" s="849">
        <f t="shared" si="10"/>
        <v>49368</v>
      </c>
      <c r="ER19" s="849">
        <f t="shared" si="10"/>
        <v>49399</v>
      </c>
      <c r="ES19" s="849">
        <f t="shared" si="10"/>
        <v>49429</v>
      </c>
      <c r="ET19" s="849">
        <f t="shared" si="10"/>
        <v>49460</v>
      </c>
      <c r="EU19" s="849">
        <f t="shared" si="10"/>
        <v>49490</v>
      </c>
      <c r="EV19" s="849">
        <f t="shared" si="10"/>
        <v>49521</v>
      </c>
      <c r="EW19" s="849">
        <f t="shared" si="10"/>
        <v>49552</v>
      </c>
      <c r="EX19" s="849">
        <f t="shared" si="10"/>
        <v>49582</v>
      </c>
      <c r="EY19" s="849">
        <f t="shared" si="10"/>
        <v>49613</v>
      </c>
      <c r="EZ19" s="849">
        <f t="shared" si="10"/>
        <v>49643</v>
      </c>
      <c r="FA19" s="849">
        <f t="shared" si="10"/>
        <v>49674</v>
      </c>
      <c r="FB19" s="849">
        <f t="shared" si="10"/>
        <v>49705</v>
      </c>
      <c r="FC19" s="849">
        <f t="shared" si="10"/>
        <v>49734</v>
      </c>
      <c r="FD19" s="849">
        <f t="shared" si="10"/>
        <v>49765</v>
      </c>
      <c r="FE19" s="849">
        <f t="shared" ref="FE19:FF19" si="11">EOMONTH(FD19,1)</f>
        <v>49795</v>
      </c>
      <c r="FF19" s="849">
        <f t="shared" si="11"/>
        <v>49826</v>
      </c>
    </row>
    <row r="20" spans="1:162">
      <c r="A20"/>
      <c r="B20" s="33"/>
      <c r="C20" s="373"/>
      <c r="D20" s="374"/>
      <c r="E20" s="360"/>
      <c r="F20" s="366"/>
      <c r="G20" s="342"/>
      <c r="H20" s="375"/>
      <c r="I20" s="360"/>
      <c r="J20" s="366"/>
      <c r="K20" s="342"/>
      <c r="L20" s="376"/>
      <c r="O20" s="704" t="s">
        <v>603</v>
      </c>
      <c r="P20" s="705"/>
      <c r="Q20" s="707"/>
      <c r="R20" s="707"/>
      <c r="S20" s="707"/>
      <c r="T20" s="632"/>
      <c r="U20" s="707"/>
      <c r="V20" s="707"/>
      <c r="W20" s="707"/>
      <c r="X20" s="707"/>
      <c r="Y20" s="707"/>
      <c r="Z20" s="707"/>
      <c r="AA20" s="707"/>
      <c r="AB20" s="708"/>
      <c r="AC20" s="709" t="s">
        <v>603</v>
      </c>
      <c r="AD20" s="709"/>
      <c r="AE20" s="710"/>
      <c r="AF20" s="710"/>
      <c r="AG20" s="710"/>
      <c r="AH20" s="710"/>
      <c r="AI20" s="710"/>
      <c r="AJ20" s="710"/>
      <c r="AK20" s="710"/>
      <c r="AL20" s="710"/>
      <c r="AM20" s="710"/>
      <c r="AN20" s="710"/>
      <c r="AO20" s="710"/>
      <c r="AP20" s="710"/>
      <c r="AQ20" s="710"/>
      <c r="AR20" s="710"/>
      <c r="AS20" s="710"/>
      <c r="AT20" s="710"/>
      <c r="AU20" s="710"/>
      <c r="AV20" s="710"/>
      <c r="AW20" s="710"/>
      <c r="AX20" s="710"/>
      <c r="AY20" s="710"/>
      <c r="AZ20" s="710"/>
      <c r="BA20" s="710"/>
      <c r="BB20" s="710"/>
      <c r="BC20" s="710"/>
      <c r="BD20" s="710"/>
      <c r="BE20" s="710"/>
      <c r="BF20" s="710"/>
      <c r="BG20" s="710"/>
      <c r="BH20" s="710"/>
      <c r="BI20" s="710"/>
      <c r="BJ20" s="710"/>
      <c r="BK20" s="710"/>
      <c r="BL20" s="710"/>
      <c r="BM20" s="710"/>
      <c r="BN20" s="710"/>
      <c r="BO20" s="710"/>
      <c r="BP20" s="710"/>
      <c r="BQ20" s="710"/>
      <c r="BR20" s="710"/>
      <c r="BS20" s="710"/>
      <c r="BT20" s="710"/>
      <c r="BU20" s="710"/>
      <c r="BV20" s="710"/>
      <c r="BW20" s="710"/>
      <c r="BX20" s="710"/>
      <c r="BY20" s="710"/>
      <c r="BZ20" s="710"/>
      <c r="CA20" s="710"/>
      <c r="CB20" s="710"/>
      <c r="CC20" s="710"/>
      <c r="CD20" s="710"/>
      <c r="CE20" s="710"/>
      <c r="CF20" s="710"/>
      <c r="CG20" s="710"/>
      <c r="CH20" s="710"/>
      <c r="CI20" s="710"/>
      <c r="CJ20" s="710"/>
      <c r="CK20" s="710"/>
      <c r="CL20" s="710"/>
      <c r="CM20" s="710"/>
      <c r="CN20" s="710"/>
      <c r="CO20" s="710"/>
      <c r="CP20" s="710"/>
      <c r="CQ20" s="710"/>
      <c r="CR20" s="710"/>
      <c r="CS20" s="710"/>
      <c r="CT20" s="710"/>
      <c r="CU20" s="710"/>
      <c r="CV20" s="710"/>
      <c r="CW20" s="710"/>
      <c r="CX20" s="710"/>
      <c r="CY20" s="710"/>
      <c r="CZ20" s="710"/>
      <c r="DA20" s="710"/>
      <c r="DB20" s="710"/>
      <c r="DC20" s="710"/>
      <c r="DD20" s="710"/>
      <c r="DE20" s="710"/>
      <c r="DF20" s="710"/>
      <c r="DG20" s="710"/>
      <c r="DH20" s="710"/>
      <c r="DI20" s="710"/>
      <c r="DJ20" s="710"/>
      <c r="DK20" s="710"/>
      <c r="DL20" s="710"/>
      <c r="DM20" s="710"/>
      <c r="DN20" s="710"/>
      <c r="DO20" s="710"/>
      <c r="DP20" s="710"/>
      <c r="DQ20" s="710"/>
      <c r="DR20" s="710"/>
      <c r="DS20" s="710"/>
      <c r="DT20" s="710"/>
      <c r="DU20" s="710"/>
      <c r="DV20" s="710"/>
      <c r="DW20" s="710"/>
      <c r="DX20" s="710"/>
      <c r="DY20" s="710"/>
      <c r="DZ20" s="710"/>
      <c r="EA20" s="710"/>
      <c r="EB20" s="710"/>
      <c r="EC20" s="710"/>
      <c r="ED20" s="710"/>
      <c r="EE20" s="710"/>
      <c r="EF20" s="710"/>
      <c r="EG20" s="710"/>
      <c r="EH20" s="710"/>
      <c r="EI20" s="710"/>
      <c r="EJ20" s="710"/>
      <c r="EK20" s="710"/>
      <c r="EL20" s="710"/>
      <c r="EM20" s="710"/>
      <c r="EN20" s="710"/>
      <c r="EO20" s="710"/>
      <c r="EP20" s="710"/>
      <c r="EQ20" s="710"/>
      <c r="ER20" s="710"/>
      <c r="ES20" s="710"/>
      <c r="ET20" s="710"/>
      <c r="EU20" s="710"/>
      <c r="EV20" s="710"/>
      <c r="EW20" s="710"/>
      <c r="EX20" s="710"/>
      <c r="EY20" s="710"/>
      <c r="EZ20" s="710"/>
      <c r="FA20" s="710"/>
      <c r="FB20" s="710"/>
      <c r="FC20" s="710"/>
      <c r="FD20" s="710"/>
      <c r="FE20" s="710"/>
      <c r="FF20" s="710"/>
    </row>
    <row r="21" spans="1:162" ht="15">
      <c r="A21"/>
      <c r="B21" s="46" t="s">
        <v>32</v>
      </c>
      <c r="C21" s="1114" t="e">
        <f>'Old OSAR'!K32</f>
        <v>#REF!</v>
      </c>
      <c r="D21" s="377">
        <f>SUM(D13:D19)</f>
        <v>6708580.7833029786</v>
      </c>
      <c r="E21" s="378" t="e">
        <f>C21-D21</f>
        <v>#REF!</v>
      </c>
      <c r="F21" s="379" t="e">
        <f>(C21-D21)/D21</f>
        <v>#REF!</v>
      </c>
      <c r="G21" s="342"/>
      <c r="H21" s="380">
        <f>'2025 Budget'!U24</f>
        <v>155339.07999999996</v>
      </c>
      <c r="I21" s="390" t="e">
        <f t="shared" si="8"/>
        <v>#REF!</v>
      </c>
      <c r="J21" s="391" t="e">
        <f>H21/C21-1</f>
        <v>#REF!</v>
      </c>
      <c r="K21" s="342"/>
      <c r="L21" s="365"/>
      <c r="M21" s="37" t="s">
        <v>26</v>
      </c>
      <c r="O21" s="633" t="s">
        <v>600</v>
      </c>
      <c r="P21" s="634">
        <v>7047660</v>
      </c>
      <c r="Q21" s="635">
        <v>7194604.9626862602</v>
      </c>
      <c r="R21" s="635">
        <v>7652132.8502433114</v>
      </c>
      <c r="S21" s="635">
        <v>8160098.8471428575</v>
      </c>
      <c r="T21" s="635">
        <v>8483420.9511036724</v>
      </c>
      <c r="U21" s="635">
        <v>8690630.9948098157</v>
      </c>
      <c r="V21" s="635">
        <v>8926533.0625030231</v>
      </c>
      <c r="W21" s="635">
        <v>9194329.0543781221</v>
      </c>
      <c r="X21" s="635">
        <v>9470158.9260094762</v>
      </c>
      <c r="Y21" s="635">
        <v>9754263.693789769</v>
      </c>
      <c r="Z21" s="635">
        <v>10046891.604603473</v>
      </c>
      <c r="AA21" s="635">
        <v>10348298.35274159</v>
      </c>
      <c r="AB21" s="712"/>
      <c r="AC21" s="713" t="s">
        <v>600</v>
      </c>
      <c r="AD21" s="634">
        <v>7047660</v>
      </c>
      <c r="AE21" s="619">
        <v>588242.48624991882</v>
      </c>
      <c r="AF21" s="619">
        <v>589181.4689632915</v>
      </c>
      <c r="AG21" s="619">
        <v>590121.9505288495</v>
      </c>
      <c r="AH21" s="619">
        <v>591063.93333913723</v>
      </c>
      <c r="AI21" s="619">
        <v>594046.06795118493</v>
      </c>
      <c r="AJ21" s="619">
        <v>597029.70860451472</v>
      </c>
      <c r="AK21" s="619">
        <v>600014.85770314664</v>
      </c>
      <c r="AL21" s="619">
        <v>603001.51765493804</v>
      </c>
      <c r="AM21" s="619">
        <v>605989.69087159005</v>
      </c>
      <c r="AN21" s="619">
        <v>608979.37976865331</v>
      </c>
      <c r="AO21" s="619">
        <v>611970.58676553436</v>
      </c>
      <c r="AP21" s="619">
        <v>614963.31428550172</v>
      </c>
      <c r="AQ21" s="619">
        <v>618446.28236951469</v>
      </c>
      <c r="AR21" s="619">
        <v>621932.38502576039</v>
      </c>
      <c r="AS21" s="619">
        <v>625421.62933113496</v>
      </c>
      <c r="AT21" s="619">
        <v>628914.02237851184</v>
      </c>
      <c r="AU21" s="619">
        <v>632409.57127677812</v>
      </c>
      <c r="AV21" s="619">
        <v>635908.28315087059</v>
      </c>
      <c r="AW21" s="619">
        <v>639410.16514181183</v>
      </c>
      <c r="AX21" s="619">
        <v>642915.22440674668</v>
      </c>
      <c r="AY21" s="619">
        <v>646423.46811897866</v>
      </c>
      <c r="AZ21" s="619">
        <v>649934.90346800629</v>
      </c>
      <c r="BA21" s="619">
        <v>653449.53765955986</v>
      </c>
      <c r="BB21" s="619">
        <v>656967.37791563803</v>
      </c>
      <c r="BC21" s="619">
        <v>660539.35642766231</v>
      </c>
      <c r="BD21" s="619">
        <v>664114.4143089701</v>
      </c>
      <c r="BE21" s="619">
        <v>667692.5582264124</v>
      </c>
      <c r="BF21" s="619">
        <v>671273.79486127419</v>
      </c>
      <c r="BG21" s="619">
        <v>674858.13090930542</v>
      </c>
      <c r="BH21" s="619">
        <v>678445.57308075228</v>
      </c>
      <c r="BI21" s="619">
        <v>682036.1281003888</v>
      </c>
      <c r="BJ21" s="619">
        <v>685629.80270754802</v>
      </c>
      <c r="BK21" s="619">
        <v>689226.60365615389</v>
      </c>
      <c r="BL21" s="619">
        <v>692826.53771475249</v>
      </c>
      <c r="BM21" s="619">
        <v>695999.68354849808</v>
      </c>
      <c r="BN21" s="619">
        <v>697456.2636011393</v>
      </c>
      <c r="BO21" s="619">
        <v>698906.00015692657</v>
      </c>
      <c r="BP21" s="619">
        <v>700358.75014336302</v>
      </c>
      <c r="BQ21" s="619">
        <v>701814.51982418273</v>
      </c>
      <c r="BR21" s="619">
        <v>703273.31547613966</v>
      </c>
      <c r="BS21" s="619">
        <v>704735.14338903455</v>
      </c>
      <c r="BT21" s="619">
        <v>706200.00986574218</v>
      </c>
      <c r="BU21" s="619">
        <v>707667.92122223869</v>
      </c>
      <c r="BV21" s="619">
        <v>709138.8837876285</v>
      </c>
      <c r="BW21" s="619">
        <v>710612.90390417166</v>
      </c>
      <c r="BX21" s="619">
        <v>712089.98792731157</v>
      </c>
      <c r="BY21" s="619">
        <v>713570.14222570171</v>
      </c>
      <c r="BZ21" s="619">
        <v>715053.37318123376</v>
      </c>
      <c r="CA21" s="619">
        <v>716453.40761152573</v>
      </c>
      <c r="CB21" s="619">
        <v>717856.18323076877</v>
      </c>
      <c r="CC21" s="619">
        <v>719261.70540605718</v>
      </c>
      <c r="CD21" s="619">
        <v>720669.97951499384</v>
      </c>
      <c r="CE21" s="619">
        <v>722081.01094571059</v>
      </c>
      <c r="CF21" s="619">
        <v>723494.80509688891</v>
      </c>
      <c r="CG21" s="619">
        <v>724911.36737778073</v>
      </c>
      <c r="CH21" s="619">
        <v>726330.70320822881</v>
      </c>
      <c r="CI21" s="619">
        <v>727752.81801868777</v>
      </c>
      <c r="CJ21" s="619">
        <v>729177.71725024469</v>
      </c>
      <c r="CK21" s="619">
        <v>730605.40635464003</v>
      </c>
      <c r="CL21" s="619">
        <v>732035.89079428848</v>
      </c>
      <c r="CM21" s="619">
        <v>733841.28878399578</v>
      </c>
      <c r="CN21" s="619">
        <v>735651.13937219209</v>
      </c>
      <c r="CO21" s="619">
        <v>737465.45354018651</v>
      </c>
      <c r="CP21" s="619">
        <v>739284.24229637091</v>
      </c>
      <c r="CQ21" s="619">
        <v>741107.51667628693</v>
      </c>
      <c r="CR21" s="619">
        <v>742935.28774269274</v>
      </c>
      <c r="CS21" s="619">
        <v>744767.56658563029</v>
      </c>
      <c r="CT21" s="619">
        <v>746604.36432249262</v>
      </c>
      <c r="CU21" s="619">
        <v>748445.69209809124</v>
      </c>
      <c r="CV21" s="619">
        <v>750291.56108472368</v>
      </c>
      <c r="CW21" s="619">
        <v>752141.98248224147</v>
      </c>
      <c r="CX21" s="619">
        <v>753996.96751811798</v>
      </c>
      <c r="CY21" s="619">
        <v>755856.52744751656</v>
      </c>
      <c r="CZ21" s="619">
        <v>757720.67355335876</v>
      </c>
      <c r="DA21" s="619">
        <v>759589.41714639298</v>
      </c>
      <c r="DB21" s="619">
        <v>761462.76956526295</v>
      </c>
      <c r="DC21" s="619">
        <v>763340.7421765764</v>
      </c>
      <c r="DD21" s="619">
        <v>765223.34637497435</v>
      </c>
      <c r="DE21" s="619">
        <v>767110.59358320001</v>
      </c>
      <c r="DF21" s="619">
        <v>769002.49525216816</v>
      </c>
      <c r="DG21" s="619">
        <v>770899.06286103465</v>
      </c>
      <c r="DH21" s="619">
        <v>772800.30791726604</v>
      </c>
      <c r="DI21" s="619">
        <v>774706.24195670942</v>
      </c>
      <c r="DJ21" s="619">
        <v>776616.87654366228</v>
      </c>
      <c r="DK21" s="619">
        <v>778532.22327094281</v>
      </c>
      <c r="DL21" s="619">
        <v>780452.29375996033</v>
      </c>
      <c r="DM21" s="619">
        <v>782377.09966078564</v>
      </c>
      <c r="DN21" s="619">
        <v>784306.65265222162</v>
      </c>
      <c r="DO21" s="619">
        <v>786240.96444187453</v>
      </c>
      <c r="DP21" s="619">
        <v>788180.04676622443</v>
      </c>
      <c r="DQ21" s="619">
        <v>790123.91139069689</v>
      </c>
      <c r="DR21" s="619">
        <v>792072.57010973408</v>
      </c>
      <c r="DS21" s="619">
        <v>794026.03474686656</v>
      </c>
      <c r="DT21" s="619">
        <v>795984.31715478492</v>
      </c>
      <c r="DU21" s="619">
        <v>797947.42921541154</v>
      </c>
      <c r="DV21" s="619">
        <v>799915.38283997297</v>
      </c>
      <c r="DW21" s="619">
        <v>801888.18996907189</v>
      </c>
      <c r="DX21" s="619">
        <v>803865.86257275997</v>
      </c>
      <c r="DY21" s="619">
        <v>805848.41265060997</v>
      </c>
      <c r="DZ21" s="619">
        <v>807835.85223178903</v>
      </c>
      <c r="EA21" s="619">
        <v>809828.19337513146</v>
      </c>
      <c r="EB21" s="619">
        <v>811825.44816921186</v>
      </c>
      <c r="EC21" s="619">
        <v>813827.62873241853</v>
      </c>
      <c r="ED21" s="619">
        <v>815834.74721302686</v>
      </c>
      <c r="EE21" s="619">
        <v>817846.81578927336</v>
      </c>
      <c r="EF21" s="619">
        <v>819863.84666942921</v>
      </c>
      <c r="EG21" s="619">
        <v>821885.85209187469</v>
      </c>
      <c r="EH21" s="619">
        <v>823912.84432517295</v>
      </c>
      <c r="EI21" s="619">
        <v>825944.83566814486</v>
      </c>
      <c r="EJ21" s="619">
        <v>827981.83844994358</v>
      </c>
      <c r="EK21" s="619">
        <v>830023.86503012909</v>
      </c>
      <c r="EL21" s="619">
        <v>832070.92779874359</v>
      </c>
      <c r="EM21" s="619">
        <v>834123.03917638632</v>
      </c>
      <c r="EN21" s="619">
        <v>836180.21161428909</v>
      </c>
      <c r="EO21" s="619">
        <v>838242.45759439189</v>
      </c>
      <c r="EP21" s="619">
        <v>840309.78962941852</v>
      </c>
      <c r="EQ21" s="619">
        <v>842382.22026295238</v>
      </c>
      <c r="ER21" s="619">
        <v>844459.76206951297</v>
      </c>
      <c r="ES21" s="619">
        <v>846542.42765463179</v>
      </c>
      <c r="ET21" s="619">
        <v>848630.22965492902</v>
      </c>
      <c r="EU21" s="619">
        <v>850723.18073819007</v>
      </c>
      <c r="EV21" s="619">
        <v>852821.29360344273</v>
      </c>
      <c r="EW21" s="619">
        <v>854924.58098103385</v>
      </c>
      <c r="EX21" s="619">
        <v>857033.05563270673</v>
      </c>
      <c r="EY21" s="619">
        <v>859146.73035167879</v>
      </c>
      <c r="EZ21" s="619">
        <v>861265.61796271871</v>
      </c>
      <c r="FA21" s="619">
        <v>863389.7313222246</v>
      </c>
      <c r="FB21" s="619">
        <v>865519.08331830206</v>
      </c>
      <c r="FC21" s="619">
        <v>867653.68687084201</v>
      </c>
      <c r="FD21" s="619">
        <v>869793.55493159941</v>
      </c>
      <c r="FE21" s="619">
        <v>871938.70048427174</v>
      </c>
      <c r="FF21" s="619">
        <v>874089.13654457789</v>
      </c>
    </row>
    <row r="22" spans="1:162">
      <c r="A22"/>
      <c r="B22" s="33"/>
      <c r="C22" s="381"/>
      <c r="D22" s="382"/>
      <c r="E22" s="360"/>
      <c r="F22" s="366"/>
      <c r="G22" s="342"/>
      <c r="H22" s="375"/>
      <c r="I22" s="360"/>
      <c r="J22" s="366"/>
      <c r="K22" s="342"/>
      <c r="L22" s="365"/>
      <c r="M22" s="37" t="s">
        <v>26</v>
      </c>
      <c r="O22" s="682" t="s">
        <v>63</v>
      </c>
      <c r="P22" s="634">
        <v>-87125.942068965174</v>
      </c>
      <c r="Q22" s="635">
        <v>-69514.562132773979</v>
      </c>
      <c r="R22" s="635">
        <v>-104953.79227625128</v>
      </c>
      <c r="S22" s="635">
        <v>-107271.29942806548</v>
      </c>
      <c r="T22" s="635">
        <v>-107020.10712459924</v>
      </c>
      <c r="U22" s="635">
        <v>-103201.24306336656</v>
      </c>
      <c r="V22" s="635">
        <v>-133897.99593754535</v>
      </c>
      <c r="W22" s="635">
        <v>-137914.93581567184</v>
      </c>
      <c r="X22" s="635">
        <v>-142052.38389014214</v>
      </c>
      <c r="Y22" s="635">
        <v>-146313.95540684654</v>
      </c>
      <c r="Z22" s="635">
        <v>-150703.37406905208</v>
      </c>
      <c r="AA22" s="635">
        <v>-155224.47529112385</v>
      </c>
      <c r="AB22" s="712"/>
      <c r="AC22" s="714" t="s">
        <v>63</v>
      </c>
      <c r="AD22" s="634">
        <v>-87125.942068965174</v>
      </c>
      <c r="AE22" s="635">
        <v>-5792.8801777311646</v>
      </c>
      <c r="AF22" s="635">
        <v>-5792.8801777311646</v>
      </c>
      <c r="AG22" s="635">
        <v>-5792.8801777311646</v>
      </c>
      <c r="AH22" s="635">
        <v>-5792.8801777311646</v>
      </c>
      <c r="AI22" s="635">
        <v>-5792.8801777311646</v>
      </c>
      <c r="AJ22" s="635">
        <v>-5792.8801777311646</v>
      </c>
      <c r="AK22" s="635">
        <v>-5792.8801777311646</v>
      </c>
      <c r="AL22" s="635">
        <v>-5792.8801777311646</v>
      </c>
      <c r="AM22" s="635">
        <v>-5792.8801777311646</v>
      </c>
      <c r="AN22" s="635">
        <v>-5792.8801777311646</v>
      </c>
      <c r="AO22" s="635">
        <v>-5792.8801777311646</v>
      </c>
      <c r="AP22" s="635">
        <v>-5792.8801777311646</v>
      </c>
      <c r="AQ22" s="635">
        <v>-8746.1493563542736</v>
      </c>
      <c r="AR22" s="635">
        <v>-8746.1493563542736</v>
      </c>
      <c r="AS22" s="635">
        <v>-8746.1493563542736</v>
      </c>
      <c r="AT22" s="635">
        <v>-8746.1493563542736</v>
      </c>
      <c r="AU22" s="635">
        <v>-8746.1493563542736</v>
      </c>
      <c r="AV22" s="635">
        <v>-8746.1493563542736</v>
      </c>
      <c r="AW22" s="635">
        <v>-8746.1493563542736</v>
      </c>
      <c r="AX22" s="635">
        <v>-8746.1493563542736</v>
      </c>
      <c r="AY22" s="635">
        <v>-8746.1493563542736</v>
      </c>
      <c r="AZ22" s="635">
        <v>-8746.1493563542736</v>
      </c>
      <c r="BA22" s="635">
        <v>-8746.1493563542736</v>
      </c>
      <c r="BB22" s="635">
        <v>-8746.1493563542736</v>
      </c>
      <c r="BC22" s="635">
        <v>-8939.2749523387902</v>
      </c>
      <c r="BD22" s="635">
        <v>-8939.2749523387902</v>
      </c>
      <c r="BE22" s="635">
        <v>-8939.2749523387902</v>
      </c>
      <c r="BF22" s="635">
        <v>-8939.2749523387902</v>
      </c>
      <c r="BG22" s="635">
        <v>-8939.2749523387902</v>
      </c>
      <c r="BH22" s="635">
        <v>-8939.2749523387902</v>
      </c>
      <c r="BI22" s="635">
        <v>-8939.2749523387902</v>
      </c>
      <c r="BJ22" s="635">
        <v>-8939.2749523387902</v>
      </c>
      <c r="BK22" s="635">
        <v>-8939.2749523387902</v>
      </c>
      <c r="BL22" s="635">
        <v>-8939.2749523387902</v>
      </c>
      <c r="BM22" s="635">
        <v>-8939.2749523387902</v>
      </c>
      <c r="BN22" s="635">
        <v>-8939.2749523387902</v>
      </c>
      <c r="BO22" s="635">
        <v>-8918.3422603832696</v>
      </c>
      <c r="BP22" s="635">
        <v>-8918.3422603832696</v>
      </c>
      <c r="BQ22" s="635">
        <v>-8918.3422603832696</v>
      </c>
      <c r="BR22" s="635">
        <v>-8918.3422603832696</v>
      </c>
      <c r="BS22" s="635">
        <v>-8918.3422603832696</v>
      </c>
      <c r="BT22" s="635">
        <v>-8918.3422603832696</v>
      </c>
      <c r="BU22" s="635">
        <v>-8918.3422603832696</v>
      </c>
      <c r="BV22" s="635">
        <v>-8918.3422603832696</v>
      </c>
      <c r="BW22" s="635">
        <v>-8918.3422603832696</v>
      </c>
      <c r="BX22" s="635">
        <v>-8918.3422603832696</v>
      </c>
      <c r="BY22" s="635">
        <v>-8918.3422603832696</v>
      </c>
      <c r="BZ22" s="635">
        <v>-8918.3422603832696</v>
      </c>
      <c r="CA22" s="635">
        <v>-8600.1035886138798</v>
      </c>
      <c r="CB22" s="635">
        <v>-8600.1035886138798</v>
      </c>
      <c r="CC22" s="635">
        <v>-8600.1035886138798</v>
      </c>
      <c r="CD22" s="635">
        <v>-8600.1035886138798</v>
      </c>
      <c r="CE22" s="635">
        <v>-8600.1035886138798</v>
      </c>
      <c r="CF22" s="635">
        <v>-8600.1035886138798</v>
      </c>
      <c r="CG22" s="635">
        <v>-8600.1035886138798</v>
      </c>
      <c r="CH22" s="635">
        <v>-8600.1035886138798</v>
      </c>
      <c r="CI22" s="635">
        <v>-8600.1035886138798</v>
      </c>
      <c r="CJ22" s="635">
        <v>-8600.1035886138798</v>
      </c>
      <c r="CK22" s="635">
        <v>-8600.1035886138798</v>
      </c>
      <c r="CL22" s="635">
        <v>-8600.1035886138798</v>
      </c>
      <c r="CM22" s="635">
        <v>-11158.166328128778</v>
      </c>
      <c r="CN22" s="635">
        <v>-11158.166328128778</v>
      </c>
      <c r="CO22" s="635">
        <v>-11158.166328128778</v>
      </c>
      <c r="CP22" s="635">
        <v>-11158.166328128778</v>
      </c>
      <c r="CQ22" s="635">
        <v>-11158.166328128778</v>
      </c>
      <c r="CR22" s="635">
        <v>-11158.166328128778</v>
      </c>
      <c r="CS22" s="635">
        <v>-11158.166328128778</v>
      </c>
      <c r="CT22" s="635">
        <v>-11158.166328128778</v>
      </c>
      <c r="CU22" s="635">
        <v>-11158.166328128778</v>
      </c>
      <c r="CV22" s="635">
        <v>-11158.166328128778</v>
      </c>
      <c r="CW22" s="635">
        <v>-11158.166328128778</v>
      </c>
      <c r="CX22" s="635">
        <v>-11158.166328128778</v>
      </c>
      <c r="CY22" s="635">
        <v>-11492.911317972654</v>
      </c>
      <c r="CZ22" s="635">
        <v>-11492.911317972654</v>
      </c>
      <c r="DA22" s="635">
        <v>-11492.911317972654</v>
      </c>
      <c r="DB22" s="635">
        <v>-11492.911317972654</v>
      </c>
      <c r="DC22" s="635">
        <v>-11492.911317972654</v>
      </c>
      <c r="DD22" s="635">
        <v>-11492.911317972654</v>
      </c>
      <c r="DE22" s="635">
        <v>-11492.911317972654</v>
      </c>
      <c r="DF22" s="635">
        <v>-11492.911317972654</v>
      </c>
      <c r="DG22" s="635">
        <v>-11492.911317972654</v>
      </c>
      <c r="DH22" s="635">
        <v>-11492.911317972654</v>
      </c>
      <c r="DI22" s="635">
        <v>-11492.911317972654</v>
      </c>
      <c r="DJ22" s="635">
        <v>-11492.911317972654</v>
      </c>
      <c r="DK22" s="635">
        <v>-11837.698657511844</v>
      </c>
      <c r="DL22" s="635">
        <v>-11837.698657511844</v>
      </c>
      <c r="DM22" s="635">
        <v>-11837.698657511844</v>
      </c>
      <c r="DN22" s="635">
        <v>-11837.698657511844</v>
      </c>
      <c r="DO22" s="635">
        <v>-11837.698657511844</v>
      </c>
      <c r="DP22" s="635">
        <v>-11837.698657511844</v>
      </c>
      <c r="DQ22" s="635">
        <v>-11837.698657511844</v>
      </c>
      <c r="DR22" s="635">
        <v>-11837.698657511844</v>
      </c>
      <c r="DS22" s="635">
        <v>-11837.698657511844</v>
      </c>
      <c r="DT22" s="635">
        <v>-11837.698657511844</v>
      </c>
      <c r="DU22" s="635">
        <v>-11837.698657511844</v>
      </c>
      <c r="DV22" s="635">
        <v>-11837.698657511844</v>
      </c>
      <c r="DW22" s="635">
        <v>-12192.829617237212</v>
      </c>
      <c r="DX22" s="635">
        <v>-12192.829617237212</v>
      </c>
      <c r="DY22" s="635">
        <v>-12192.829617237212</v>
      </c>
      <c r="DZ22" s="635">
        <v>-12192.829617237212</v>
      </c>
      <c r="EA22" s="635">
        <v>-12192.829617237212</v>
      </c>
      <c r="EB22" s="635">
        <v>-12192.829617237212</v>
      </c>
      <c r="EC22" s="635">
        <v>-12192.829617237212</v>
      </c>
      <c r="ED22" s="635">
        <v>-12192.829617237212</v>
      </c>
      <c r="EE22" s="635">
        <v>-12192.829617237212</v>
      </c>
      <c r="EF22" s="635">
        <v>-12192.829617237212</v>
      </c>
      <c r="EG22" s="635">
        <v>-12192.829617237212</v>
      </c>
      <c r="EH22" s="635">
        <v>-12192.829617237212</v>
      </c>
      <c r="EI22" s="635">
        <v>-12558.61450575434</v>
      </c>
      <c r="EJ22" s="635">
        <v>-12558.61450575434</v>
      </c>
      <c r="EK22" s="635">
        <v>-12558.61450575434</v>
      </c>
      <c r="EL22" s="635">
        <v>-12558.61450575434</v>
      </c>
      <c r="EM22" s="635">
        <v>-12558.61450575434</v>
      </c>
      <c r="EN22" s="635">
        <v>-12558.61450575434</v>
      </c>
      <c r="EO22" s="635">
        <v>-12558.61450575434</v>
      </c>
      <c r="EP22" s="635">
        <v>-12558.61450575434</v>
      </c>
      <c r="EQ22" s="635">
        <v>-12558.61450575434</v>
      </c>
      <c r="ER22" s="635">
        <v>-12558.61450575434</v>
      </c>
      <c r="ES22" s="635">
        <v>-12558.61450575434</v>
      </c>
      <c r="ET22" s="635">
        <v>-12558.61450575434</v>
      </c>
      <c r="EU22" s="635">
        <v>-12935.372940926987</v>
      </c>
      <c r="EV22" s="635">
        <v>-12935.372940926987</v>
      </c>
      <c r="EW22" s="635">
        <v>-12935.372940926987</v>
      </c>
      <c r="EX22" s="635">
        <v>-12935.372940926987</v>
      </c>
      <c r="EY22" s="635">
        <v>-12935.372940926987</v>
      </c>
      <c r="EZ22" s="635">
        <v>-12935.372940926987</v>
      </c>
      <c r="FA22" s="635">
        <v>-12935.372940926987</v>
      </c>
      <c r="FB22" s="635">
        <v>-12935.372940926987</v>
      </c>
      <c r="FC22" s="635">
        <v>-12935.372940926987</v>
      </c>
      <c r="FD22" s="635">
        <v>-12935.372940926987</v>
      </c>
      <c r="FE22" s="635">
        <v>-12935.372940926987</v>
      </c>
      <c r="FF22" s="635">
        <v>-12935.372940926987</v>
      </c>
    </row>
    <row r="23" spans="1:162">
      <c r="A23"/>
      <c r="B23" s="33"/>
      <c r="C23" s="383"/>
      <c r="D23" s="382"/>
      <c r="E23" s="360"/>
      <c r="F23" s="366"/>
      <c r="G23" s="342"/>
      <c r="H23" s="375"/>
      <c r="I23" s="360"/>
      <c r="J23" s="366"/>
      <c r="K23" s="342"/>
      <c r="L23" s="376"/>
      <c r="M23" s="37"/>
      <c r="O23" s="715" t="s">
        <v>605</v>
      </c>
      <c r="P23" s="716">
        <v>6960534.0579310348</v>
      </c>
      <c r="Q23" s="719">
        <v>7125090.4005534863</v>
      </c>
      <c r="R23" s="719">
        <v>7547179.0579670602</v>
      </c>
      <c r="S23" s="719">
        <v>8052827.5477147922</v>
      </c>
      <c r="T23" s="719">
        <v>8376400.8439790728</v>
      </c>
      <c r="U23" s="719">
        <v>8587429.7517464496</v>
      </c>
      <c r="V23" s="719">
        <v>8792635.0665654782</v>
      </c>
      <c r="W23" s="719">
        <v>9056414.1185624506</v>
      </c>
      <c r="X23" s="719">
        <v>9328106.5421193335</v>
      </c>
      <c r="Y23" s="719">
        <v>9607949.7383829225</v>
      </c>
      <c r="Z23" s="719">
        <v>9896188.2305344213</v>
      </c>
      <c r="AA23" s="719">
        <v>10193073.877450466</v>
      </c>
      <c r="AB23" s="720"/>
      <c r="AC23" s="721" t="s">
        <v>605</v>
      </c>
      <c r="AD23" s="716">
        <v>6960534.0579310348</v>
      </c>
      <c r="AE23" s="722">
        <v>582449.60607218766</v>
      </c>
      <c r="AF23" s="722">
        <v>583388.58878556034</v>
      </c>
      <c r="AG23" s="722">
        <v>584329.07035111834</v>
      </c>
      <c r="AH23" s="722">
        <v>585271.05316140607</v>
      </c>
      <c r="AI23" s="722">
        <v>588253.18777345377</v>
      </c>
      <c r="AJ23" s="722">
        <v>591236.82842678356</v>
      </c>
      <c r="AK23" s="722">
        <v>594221.97752541548</v>
      </c>
      <c r="AL23" s="722">
        <v>597208.63747720688</v>
      </c>
      <c r="AM23" s="722">
        <v>600196.81069385889</v>
      </c>
      <c r="AN23" s="722">
        <v>603186.49959092215</v>
      </c>
      <c r="AO23" s="722">
        <v>606177.7065878032</v>
      </c>
      <c r="AP23" s="722">
        <v>609170.43410777056</v>
      </c>
      <c r="AQ23" s="722">
        <v>609700.13301316043</v>
      </c>
      <c r="AR23" s="722">
        <v>613186.23566940613</v>
      </c>
      <c r="AS23" s="722">
        <v>616675.4799747807</v>
      </c>
      <c r="AT23" s="722">
        <v>620167.87302215758</v>
      </c>
      <c r="AU23" s="722">
        <v>623663.42192042386</v>
      </c>
      <c r="AV23" s="722">
        <v>627162.13379451632</v>
      </c>
      <c r="AW23" s="722">
        <v>630664.01578545757</v>
      </c>
      <c r="AX23" s="722">
        <v>634169.07505039242</v>
      </c>
      <c r="AY23" s="722">
        <v>637677.3187626244</v>
      </c>
      <c r="AZ23" s="722">
        <v>641188.75411165203</v>
      </c>
      <c r="BA23" s="722">
        <v>644703.3883032056</v>
      </c>
      <c r="BB23" s="722">
        <v>648221.22855928377</v>
      </c>
      <c r="BC23" s="722">
        <v>651600.08147532353</v>
      </c>
      <c r="BD23" s="722">
        <v>655175.13935663132</v>
      </c>
      <c r="BE23" s="722">
        <v>658753.28327407362</v>
      </c>
      <c r="BF23" s="722">
        <v>662334.51990893541</v>
      </c>
      <c r="BG23" s="722">
        <v>665918.85595696664</v>
      </c>
      <c r="BH23" s="722">
        <v>669506.2981284135</v>
      </c>
      <c r="BI23" s="722">
        <v>673096.85314805002</v>
      </c>
      <c r="BJ23" s="722">
        <v>676690.52775520924</v>
      </c>
      <c r="BK23" s="722">
        <v>680287.32870381512</v>
      </c>
      <c r="BL23" s="722">
        <v>683887.26276241371</v>
      </c>
      <c r="BM23" s="722">
        <v>687060.40859615931</v>
      </c>
      <c r="BN23" s="722">
        <v>688516.98864880053</v>
      </c>
      <c r="BO23" s="722">
        <v>689987.65789654327</v>
      </c>
      <c r="BP23" s="722">
        <v>691440.40788297972</v>
      </c>
      <c r="BQ23" s="722">
        <v>692896.17756379943</v>
      </c>
      <c r="BR23" s="722">
        <v>694354.97321575636</v>
      </c>
      <c r="BS23" s="722">
        <v>695816.80112865125</v>
      </c>
      <c r="BT23" s="722">
        <v>697281.66760535887</v>
      </c>
      <c r="BU23" s="722">
        <v>698749.57896185538</v>
      </c>
      <c r="BV23" s="722">
        <v>700220.54152724519</v>
      </c>
      <c r="BW23" s="722">
        <v>701694.56164378836</v>
      </c>
      <c r="BX23" s="722">
        <v>703171.64566692826</v>
      </c>
      <c r="BY23" s="722">
        <v>704651.79996531841</v>
      </c>
      <c r="BZ23" s="722">
        <v>706135.03092085046</v>
      </c>
      <c r="CA23" s="722">
        <v>707853.30402291182</v>
      </c>
      <c r="CB23" s="722">
        <v>709256.07964215486</v>
      </c>
      <c r="CC23" s="722">
        <v>710661.60181744327</v>
      </c>
      <c r="CD23" s="722">
        <v>712069.87592637993</v>
      </c>
      <c r="CE23" s="722">
        <v>713480.90735709667</v>
      </c>
      <c r="CF23" s="722">
        <v>714894.701508275</v>
      </c>
      <c r="CG23" s="722">
        <v>716311.26378916681</v>
      </c>
      <c r="CH23" s="722">
        <v>717730.59961961489</v>
      </c>
      <c r="CI23" s="722">
        <v>719152.71443007386</v>
      </c>
      <c r="CJ23" s="722">
        <v>720577.61366163078</v>
      </c>
      <c r="CK23" s="722">
        <v>722005.30276602611</v>
      </c>
      <c r="CL23" s="722">
        <v>723435.78720567457</v>
      </c>
      <c r="CM23" s="722">
        <v>722683.12245586701</v>
      </c>
      <c r="CN23" s="722">
        <v>724492.97304406331</v>
      </c>
      <c r="CO23" s="722">
        <v>726307.28721205774</v>
      </c>
      <c r="CP23" s="722">
        <v>728126.07596824213</v>
      </c>
      <c r="CQ23" s="722">
        <v>729949.35034815816</v>
      </c>
      <c r="CR23" s="722">
        <v>731777.12141456397</v>
      </c>
      <c r="CS23" s="722">
        <v>733609.40025750152</v>
      </c>
      <c r="CT23" s="722">
        <v>735446.19799436384</v>
      </c>
      <c r="CU23" s="722">
        <v>737287.52576996246</v>
      </c>
      <c r="CV23" s="722">
        <v>739133.39475659491</v>
      </c>
      <c r="CW23" s="722">
        <v>740983.81615411269</v>
      </c>
      <c r="CX23" s="722">
        <v>742838.8011899892</v>
      </c>
      <c r="CY23" s="722">
        <v>744363.61612954387</v>
      </c>
      <c r="CZ23" s="722">
        <v>746227.76223538606</v>
      </c>
      <c r="DA23" s="722">
        <v>748096.50582842028</v>
      </c>
      <c r="DB23" s="722">
        <v>749969.85824729025</v>
      </c>
      <c r="DC23" s="722">
        <v>751847.8308586037</v>
      </c>
      <c r="DD23" s="722">
        <v>753730.43505700165</v>
      </c>
      <c r="DE23" s="722">
        <v>755617.68226522731</v>
      </c>
      <c r="DF23" s="722">
        <v>757509.58393419546</v>
      </c>
      <c r="DG23" s="722">
        <v>759406.15154306195</v>
      </c>
      <c r="DH23" s="722">
        <v>761307.39659929334</v>
      </c>
      <c r="DI23" s="722">
        <v>763213.33063873672</v>
      </c>
      <c r="DJ23" s="722">
        <v>765123.96522568958</v>
      </c>
      <c r="DK23" s="722">
        <v>766694.52461343096</v>
      </c>
      <c r="DL23" s="722">
        <v>768614.59510244848</v>
      </c>
      <c r="DM23" s="722">
        <v>770539.40100327379</v>
      </c>
      <c r="DN23" s="722">
        <v>772468.95399470977</v>
      </c>
      <c r="DO23" s="722">
        <v>774403.26578436268</v>
      </c>
      <c r="DP23" s="722">
        <v>776342.34810871258</v>
      </c>
      <c r="DQ23" s="722">
        <v>778286.21273318504</v>
      </c>
      <c r="DR23" s="722">
        <v>780234.87145222223</v>
      </c>
      <c r="DS23" s="722">
        <v>782188.33608935471</v>
      </c>
      <c r="DT23" s="722">
        <v>784146.61849727307</v>
      </c>
      <c r="DU23" s="722">
        <v>786109.73055789969</v>
      </c>
      <c r="DV23" s="722">
        <v>788077.68418246112</v>
      </c>
      <c r="DW23" s="722">
        <v>789695.36035183468</v>
      </c>
      <c r="DX23" s="722">
        <v>791673.03295552277</v>
      </c>
      <c r="DY23" s="722">
        <v>793655.58303337276</v>
      </c>
      <c r="DZ23" s="722">
        <v>795643.02261455182</v>
      </c>
      <c r="EA23" s="722">
        <v>797635.36375789426</v>
      </c>
      <c r="EB23" s="722">
        <v>799632.61855197465</v>
      </c>
      <c r="EC23" s="722">
        <v>801634.79911518132</v>
      </c>
      <c r="ED23" s="722">
        <v>803641.91759578965</v>
      </c>
      <c r="EE23" s="722">
        <v>805653.98617203615</v>
      </c>
      <c r="EF23" s="722">
        <v>807671.01705219201</v>
      </c>
      <c r="EG23" s="722">
        <v>809693.02247463749</v>
      </c>
      <c r="EH23" s="722">
        <v>811720.01470793574</v>
      </c>
      <c r="EI23" s="722">
        <v>813386.22116239055</v>
      </c>
      <c r="EJ23" s="722">
        <v>815423.22394418926</v>
      </c>
      <c r="EK23" s="722">
        <v>817465.25052437477</v>
      </c>
      <c r="EL23" s="722">
        <v>819512.31329298927</v>
      </c>
      <c r="EM23" s="722">
        <v>821564.424670632</v>
      </c>
      <c r="EN23" s="722">
        <v>823621.59710853477</v>
      </c>
      <c r="EO23" s="722">
        <v>825683.84308863757</v>
      </c>
      <c r="EP23" s="722">
        <v>827751.1751236642</v>
      </c>
      <c r="EQ23" s="722">
        <v>829823.60575719806</v>
      </c>
      <c r="ER23" s="722">
        <v>831901.14756375866</v>
      </c>
      <c r="ES23" s="722">
        <v>833983.81314887747</v>
      </c>
      <c r="ET23" s="722">
        <v>836071.6151491747</v>
      </c>
      <c r="EU23" s="722">
        <v>837787.80779726314</v>
      </c>
      <c r="EV23" s="722">
        <v>839885.9206625158</v>
      </c>
      <c r="EW23" s="722">
        <v>841989.20804010681</v>
      </c>
      <c r="EX23" s="722">
        <v>844097.68269177969</v>
      </c>
      <c r="EY23" s="722">
        <v>846211.35741075175</v>
      </c>
      <c r="EZ23" s="722">
        <v>848330.24502179166</v>
      </c>
      <c r="FA23" s="722">
        <v>850454.35838129767</v>
      </c>
      <c r="FB23" s="722">
        <v>852583.71037737513</v>
      </c>
      <c r="FC23" s="722">
        <v>854718.31392991496</v>
      </c>
      <c r="FD23" s="722">
        <v>856858.18199067237</v>
      </c>
      <c r="FE23" s="722">
        <v>859003.32754334481</v>
      </c>
      <c r="FF23" s="722">
        <v>861153.76360365096</v>
      </c>
    </row>
    <row r="24" spans="1:162">
      <c r="A24"/>
      <c r="B24" s="34" t="s">
        <v>34</v>
      </c>
      <c r="C24" s="384"/>
      <c r="D24" s="356"/>
      <c r="E24" s="360"/>
      <c r="F24" s="366"/>
      <c r="G24" s="342"/>
      <c r="H24" s="385"/>
      <c r="I24" s="360"/>
      <c r="J24" s="366"/>
      <c r="K24" s="342"/>
      <c r="L24" s="357"/>
      <c r="M24" s="43" t="s">
        <v>27</v>
      </c>
      <c r="O24" s="682" t="s">
        <v>607</v>
      </c>
      <c r="P24" s="686">
        <v>-406784.45793103427</v>
      </c>
      <c r="Q24" s="635">
        <v>-698843.45198133623</v>
      </c>
      <c r="R24" s="635">
        <v>-857633.9838598934</v>
      </c>
      <c r="S24" s="635">
        <v>-816942.07692033262</v>
      </c>
      <c r="T24" s="635">
        <v>-407941.59954443539</v>
      </c>
      <c r="U24" s="635">
        <v>-418218.98141622305</v>
      </c>
      <c r="V24" s="635">
        <v>-428212.74674831866</v>
      </c>
      <c r="W24" s="635">
        <v>-441059.12915076863</v>
      </c>
      <c r="X24" s="635">
        <v>-454290.90302529215</v>
      </c>
      <c r="Y24" s="635">
        <v>-467919.63011605135</v>
      </c>
      <c r="Z24" s="635">
        <v>-481957.21901953337</v>
      </c>
      <c r="AA24" s="635">
        <v>-496415.93559011986</v>
      </c>
      <c r="AB24" s="724"/>
      <c r="AC24" s="713" t="s">
        <v>607</v>
      </c>
      <c r="AD24" s="686">
        <v>-406784.45793103427</v>
      </c>
      <c r="AE24" s="725">
        <v>-31202.657468152927</v>
      </c>
      <c r="AF24" s="725">
        <v>-28411.781921374684</v>
      </c>
      <c r="AG24" s="725">
        <v>-37943.446126696006</v>
      </c>
      <c r="AH24" s="725">
        <v>-57006.920762474605</v>
      </c>
      <c r="AI24" s="725">
        <v>-66846.953156074291</v>
      </c>
      <c r="AJ24" s="725">
        <v>-67186.003230316317</v>
      </c>
      <c r="AK24" s="725">
        <v>-67525.224718797224</v>
      </c>
      <c r="AL24" s="725">
        <v>-67864.617895137155</v>
      </c>
      <c r="AM24" s="725">
        <v>-68204.183033393056</v>
      </c>
      <c r="AN24" s="725">
        <v>-68543.920408059348</v>
      </c>
      <c r="AO24" s="725">
        <v>-68883.830294068553</v>
      </c>
      <c r="AP24" s="725">
        <v>-69223.912966792122</v>
      </c>
      <c r="AQ24" s="725">
        <v>-69284.106024222783</v>
      </c>
      <c r="AR24" s="725">
        <v>-69680.254053341618</v>
      </c>
      <c r="AS24" s="725">
        <v>-70076.759088043269</v>
      </c>
      <c r="AT24" s="725">
        <v>-70473.621934336101</v>
      </c>
      <c r="AU24" s="725">
        <v>-70870.843400048179</v>
      </c>
      <c r="AV24" s="725">
        <v>-71268.424294831406</v>
      </c>
      <c r="AW24" s="725">
        <v>-71666.365430165635</v>
      </c>
      <c r="AX24" s="725">
        <v>-72064.667619362779</v>
      </c>
      <c r="AY24" s="725">
        <v>-72463.331677570968</v>
      </c>
      <c r="AZ24" s="725">
        <v>-72862.358421778641</v>
      </c>
      <c r="BA24" s="725">
        <v>-73261.748670818823</v>
      </c>
      <c r="BB24" s="725">
        <v>-73661.503245373169</v>
      </c>
      <c r="BC24" s="725">
        <v>-74045.463804014042</v>
      </c>
      <c r="BD24" s="725">
        <v>-74451.720381435385</v>
      </c>
      <c r="BE24" s="725">
        <v>-74858.327644781093</v>
      </c>
      <c r="BF24" s="725">
        <v>-75265.286353288117</v>
      </c>
      <c r="BG24" s="725">
        <v>-75672.597267837118</v>
      </c>
      <c r="BH24" s="725">
        <v>-76080.261150956081</v>
      </c>
      <c r="BI24" s="725">
        <v>-76488.278766823874</v>
      </c>
      <c r="BJ24" s="725">
        <v>-76896.650881273788</v>
      </c>
      <c r="BK24" s="725">
        <v>-75096.653168602948</v>
      </c>
      <c r="BL24" s="725">
        <v>-62171.569342037634</v>
      </c>
      <c r="BM24" s="725">
        <v>-42383.596634178655</v>
      </c>
      <c r="BN24" s="725">
        <v>-33531.671525103913</v>
      </c>
      <c r="BO24" s="725">
        <v>-33603.295027429049</v>
      </c>
      <c r="BP24" s="725">
        <v>-33674.045838456797</v>
      </c>
      <c r="BQ24" s="725">
        <v>-33744.94371252269</v>
      </c>
      <c r="BR24" s="725">
        <v>-33815.988955312801</v>
      </c>
      <c r="BS24" s="725">
        <v>-33887.181873148591</v>
      </c>
      <c r="BT24" s="725">
        <v>-33958.522772988246</v>
      </c>
      <c r="BU24" s="725">
        <v>-34030.011962428012</v>
      </c>
      <c r="BV24" s="725">
        <v>-34101.649749703494</v>
      </c>
      <c r="BW24" s="725">
        <v>-34173.436443690982</v>
      </c>
      <c r="BX24" s="725">
        <v>-34245.372353908839</v>
      </c>
      <c r="BY24" s="725">
        <v>-34317.457790518747</v>
      </c>
      <c r="BZ24" s="725">
        <v>-34389.693064327126</v>
      </c>
      <c r="CA24" s="725">
        <v>-34473.37519592102</v>
      </c>
      <c r="CB24" s="725">
        <v>-34541.69219036468</v>
      </c>
      <c r="CC24" s="725">
        <v>-34610.142945654698</v>
      </c>
      <c r="CD24" s="725">
        <v>-34678.727723687327</v>
      </c>
      <c r="CE24" s="725">
        <v>-34747.44678687158</v>
      </c>
      <c r="CF24" s="725">
        <v>-34816.300398130268</v>
      </c>
      <c r="CG24" s="725">
        <v>-34885.288820900976</v>
      </c>
      <c r="CH24" s="725">
        <v>-34954.412319137082</v>
      </c>
      <c r="CI24" s="725">
        <v>-35023.671157308781</v>
      </c>
      <c r="CJ24" s="725">
        <v>-35093.065600404087</v>
      </c>
      <c r="CK24" s="725">
        <v>-35162.595913929836</v>
      </c>
      <c r="CL24" s="725">
        <v>-35232.262363912712</v>
      </c>
      <c r="CM24" s="725">
        <v>-35195.606613110394</v>
      </c>
      <c r="CN24" s="725">
        <v>-35283.748687210864</v>
      </c>
      <c r="CO24" s="725">
        <v>-35372.108143444362</v>
      </c>
      <c r="CP24" s="725">
        <v>-35460.68551793386</v>
      </c>
      <c r="CQ24" s="725">
        <v>-35549.48134812458</v>
      </c>
      <c r="CR24" s="725">
        <v>-35638.4961727872</v>
      </c>
      <c r="CS24" s="725">
        <v>-35727.730532021167</v>
      </c>
      <c r="CT24" s="725">
        <v>-35817.18496725797</v>
      </c>
      <c r="CU24" s="725">
        <v>-35906.860021264394</v>
      </c>
      <c r="CV24" s="725">
        <v>-35996.756238145848</v>
      </c>
      <c r="CW24" s="725">
        <v>-36086.874163349632</v>
      </c>
      <c r="CX24" s="725">
        <v>-36177.214343668296</v>
      </c>
      <c r="CY24" s="725">
        <v>-36251.474811503751</v>
      </c>
      <c r="CZ24" s="725">
        <v>-36342.261147827237</v>
      </c>
      <c r="DA24" s="725">
        <v>-36433.271387747729</v>
      </c>
      <c r="DB24" s="725">
        <v>-36524.506083471919</v>
      </c>
      <c r="DC24" s="725">
        <v>-36615.965788568355</v>
      </c>
      <c r="DD24" s="725">
        <v>-36707.651057970848</v>
      </c>
      <c r="DE24" s="725">
        <v>-36799.562447981843</v>
      </c>
      <c r="DF24" s="725">
        <v>-36891.700516275741</v>
      </c>
      <c r="DG24" s="725">
        <v>-36984.065821902361</v>
      </c>
      <c r="DH24" s="725">
        <v>-37076.658925290249</v>
      </c>
      <c r="DI24" s="725">
        <v>-37169.480388250158</v>
      </c>
      <c r="DJ24" s="725">
        <v>-37262.530773978382</v>
      </c>
      <c r="DK24" s="725">
        <v>-37339.019055848905</v>
      </c>
      <c r="DL24" s="725">
        <v>-37432.528982262091</v>
      </c>
      <c r="DM24" s="725">
        <v>-37526.26952938021</v>
      </c>
      <c r="DN24" s="725">
        <v>-37620.241265976118</v>
      </c>
      <c r="DO24" s="725">
        <v>-37714.444762225445</v>
      </c>
      <c r="DP24" s="725">
        <v>-37808.880589710017</v>
      </c>
      <c r="DQ24" s="725">
        <v>-37903.549321421342</v>
      </c>
      <c r="DR24" s="725">
        <v>-37998.451531764062</v>
      </c>
      <c r="DS24" s="725">
        <v>-38093.58779655947</v>
      </c>
      <c r="DT24" s="725">
        <v>-38188.958693049004</v>
      </c>
      <c r="DU24" s="725">
        <v>-38284.5647998977</v>
      </c>
      <c r="DV24" s="725">
        <v>-38380.406697197774</v>
      </c>
      <c r="DW24" s="725">
        <v>-38459.189627524407</v>
      </c>
      <c r="DX24" s="725">
        <v>-38555.504851729995</v>
      </c>
      <c r="DY24" s="725">
        <v>-38652.057615261649</v>
      </c>
      <c r="DZ24" s="725">
        <v>-38748.848503955436</v>
      </c>
      <c r="EA24" s="725">
        <v>-38845.878105092241</v>
      </c>
      <c r="EB24" s="725">
        <v>-38943.147007401356</v>
      </c>
      <c r="EC24" s="725">
        <v>-39040.655801064015</v>
      </c>
      <c r="ED24" s="725">
        <v>-39138.40507771702</v>
      </c>
      <c r="EE24" s="725">
        <v>-39236.395430456294</v>
      </c>
      <c r="EF24" s="725">
        <v>-39334.627453840512</v>
      </c>
      <c r="EG24" s="725">
        <v>-39433.101743894673</v>
      </c>
      <c r="EH24" s="725">
        <v>-39531.818898113743</v>
      </c>
      <c r="EI24" s="725">
        <v>-39612.965316350179</v>
      </c>
      <c r="EJ24" s="725">
        <v>-39712.169997281933</v>
      </c>
      <c r="EK24" s="725">
        <v>-39811.61934371954</v>
      </c>
      <c r="EL24" s="725">
        <v>-39911.313959074141</v>
      </c>
      <c r="EM24" s="725">
        <v>-40011.254448245054</v>
      </c>
      <c r="EN24" s="725">
        <v>-40111.441417623435</v>
      </c>
      <c r="EO24" s="725">
        <v>-40211.875475095978</v>
      </c>
      <c r="EP24" s="725">
        <v>-40312.557230048573</v>
      </c>
      <c r="EQ24" s="725">
        <v>-40413.487293370024</v>
      </c>
      <c r="ER24" s="725">
        <v>-40514.66627745577</v>
      </c>
      <c r="ES24" s="725">
        <v>-40616.094796211553</v>
      </c>
      <c r="ET24" s="725">
        <v>-40717.773465057202</v>
      </c>
      <c r="EU24" s="725">
        <v>-40801.354275840727</v>
      </c>
      <c r="EV24" s="725">
        <v>-40903.535097200438</v>
      </c>
      <c r="EW24" s="725">
        <v>-41005.967924031167</v>
      </c>
      <c r="EX24" s="725">
        <v>-41108.6533778464</v>
      </c>
      <c r="EY24" s="725">
        <v>-41211.592081692448</v>
      </c>
      <c r="EZ24" s="725">
        <v>-41314.784660152181</v>
      </c>
      <c r="FA24" s="725">
        <v>-41418.231739348899</v>
      </c>
      <c r="FB24" s="725">
        <v>-41521.933946950077</v>
      </c>
      <c r="FC24" s="725">
        <v>-41625.891912171173</v>
      </c>
      <c r="FD24" s="725">
        <v>-41730.10626577949</v>
      </c>
      <c r="FE24" s="725">
        <v>-41834.577640097952</v>
      </c>
      <c r="FF24" s="725">
        <v>-41939.306669008969</v>
      </c>
    </row>
    <row r="25" spans="1:162" ht="15">
      <c r="A25"/>
      <c r="B25" s="37" t="s">
        <v>35</v>
      </c>
      <c r="C25" s="136">
        <f>'Old OSAR'!K36</f>
        <v>1425631.43</v>
      </c>
      <c r="D25" s="1121">
        <f t="shared" ref="D25:D35" si="12">SUMIFS($AH:$AH,$M:$M,$B25)*12</f>
        <v>1483748.1924254326</v>
      </c>
      <c r="E25" s="369">
        <f t="shared" ref="E25:E36" si="13">C25-D25</f>
        <v>-58116.76242543268</v>
      </c>
      <c r="F25" s="183">
        <f t="shared" ref="F25:F36" si="14">(C25-D25)/D25</f>
        <v>-3.9168885072359341E-2</v>
      </c>
      <c r="G25" s="342"/>
      <c r="H25" s="386">
        <f>'2025 Budget'!U28</f>
        <v>302702.88</v>
      </c>
      <c r="I25" s="368">
        <f t="shared" si="8"/>
        <v>-1122928.5499999998</v>
      </c>
      <c r="J25" s="184">
        <f t="shared" ref="J25:J36" si="15">H25/C25-1</f>
        <v>-0.78767101115328242</v>
      </c>
      <c r="K25" s="342"/>
      <c r="L25" s="361"/>
      <c r="M25" s="37" t="s">
        <v>61</v>
      </c>
      <c r="O25" s="682" t="s">
        <v>608</v>
      </c>
      <c r="P25" s="686">
        <v>-25478.68</v>
      </c>
      <c r="Q25" s="635">
        <v>-16911.176180453025</v>
      </c>
      <c r="R25" s="635">
        <v>-17604.065984492547</v>
      </c>
      <c r="S25" s="635">
        <v>-19041.803870511736</v>
      </c>
      <c r="T25" s="635">
        <v>-20969.629590617471</v>
      </c>
      <c r="U25" s="635">
        <v>-21497.923079816384</v>
      </c>
      <c r="V25" s="635">
        <v>-22011.637683729372</v>
      </c>
      <c r="W25" s="635">
        <v>-22671.986814241271</v>
      </c>
      <c r="X25" s="635">
        <v>-23352.146418668533</v>
      </c>
      <c r="Y25" s="635">
        <v>-24052.710811228608</v>
      </c>
      <c r="Z25" s="635">
        <v>-24774.292135565494</v>
      </c>
      <c r="AA25" s="635">
        <v>-25517.520899632491</v>
      </c>
      <c r="AB25" s="712"/>
      <c r="AC25" s="714" t="s">
        <v>608</v>
      </c>
      <c r="AD25" s="686">
        <v>-25478.68</v>
      </c>
      <c r="AE25" s="635">
        <v>-1409.2646817044188</v>
      </c>
      <c r="AF25" s="635">
        <v>-1409.2646817044188</v>
      </c>
      <c r="AG25" s="635">
        <v>-1409.2646817044188</v>
      </c>
      <c r="AH25" s="635">
        <v>-1409.2646817044188</v>
      </c>
      <c r="AI25" s="635">
        <v>-1409.2646817044188</v>
      </c>
      <c r="AJ25" s="635">
        <v>-1409.2646817044188</v>
      </c>
      <c r="AK25" s="635">
        <v>-1409.2646817044188</v>
      </c>
      <c r="AL25" s="635">
        <v>-1409.2646817044188</v>
      </c>
      <c r="AM25" s="635">
        <v>-1409.2646817044188</v>
      </c>
      <c r="AN25" s="635">
        <v>-1409.2646817044188</v>
      </c>
      <c r="AO25" s="635">
        <v>-1409.2646817044188</v>
      </c>
      <c r="AP25" s="635">
        <v>-1409.2646817044188</v>
      </c>
      <c r="AQ25" s="635">
        <v>-1467.0054987077121</v>
      </c>
      <c r="AR25" s="635">
        <v>-1467.0054987077121</v>
      </c>
      <c r="AS25" s="635">
        <v>-1467.0054987077121</v>
      </c>
      <c r="AT25" s="635">
        <v>-1467.0054987077121</v>
      </c>
      <c r="AU25" s="635">
        <v>-1467.0054987077121</v>
      </c>
      <c r="AV25" s="635">
        <v>-1467.0054987077121</v>
      </c>
      <c r="AW25" s="635">
        <v>-1467.0054987077121</v>
      </c>
      <c r="AX25" s="635">
        <v>-1467.0054987077121</v>
      </c>
      <c r="AY25" s="635">
        <v>-1467.0054987077121</v>
      </c>
      <c r="AZ25" s="635">
        <v>-1467.0054987077121</v>
      </c>
      <c r="BA25" s="635">
        <v>-1467.0054987077121</v>
      </c>
      <c r="BB25" s="635">
        <v>-1467.0054987077121</v>
      </c>
      <c r="BC25" s="635">
        <v>-1586.8169892093113</v>
      </c>
      <c r="BD25" s="635">
        <v>-1586.8169892093113</v>
      </c>
      <c r="BE25" s="635">
        <v>-1586.8169892093113</v>
      </c>
      <c r="BF25" s="635">
        <v>-1586.8169892093113</v>
      </c>
      <c r="BG25" s="635">
        <v>-1586.8169892093113</v>
      </c>
      <c r="BH25" s="635">
        <v>-1586.8169892093113</v>
      </c>
      <c r="BI25" s="635">
        <v>-1586.8169892093113</v>
      </c>
      <c r="BJ25" s="635">
        <v>-1586.8169892093113</v>
      </c>
      <c r="BK25" s="635">
        <v>-1586.8169892093113</v>
      </c>
      <c r="BL25" s="635">
        <v>-1586.8169892093113</v>
      </c>
      <c r="BM25" s="635">
        <v>-1586.8169892093113</v>
      </c>
      <c r="BN25" s="635">
        <v>-1586.8169892093113</v>
      </c>
      <c r="BO25" s="635">
        <v>-1747.4691325514559</v>
      </c>
      <c r="BP25" s="635">
        <v>-1747.4691325514559</v>
      </c>
      <c r="BQ25" s="635">
        <v>-1747.4691325514559</v>
      </c>
      <c r="BR25" s="635">
        <v>-1747.4691325514559</v>
      </c>
      <c r="BS25" s="635">
        <v>-1747.4691325514559</v>
      </c>
      <c r="BT25" s="635">
        <v>-1747.4691325514559</v>
      </c>
      <c r="BU25" s="635">
        <v>-1747.4691325514559</v>
      </c>
      <c r="BV25" s="635">
        <v>-1747.4691325514559</v>
      </c>
      <c r="BW25" s="635">
        <v>-1747.4691325514559</v>
      </c>
      <c r="BX25" s="635">
        <v>-1747.4691325514559</v>
      </c>
      <c r="BY25" s="635">
        <v>-1747.4691325514559</v>
      </c>
      <c r="BZ25" s="635">
        <v>-1747.4691325514559</v>
      </c>
      <c r="CA25" s="635">
        <v>-1791.4935899846987</v>
      </c>
      <c r="CB25" s="635">
        <v>-1791.4935899846987</v>
      </c>
      <c r="CC25" s="635">
        <v>-1791.4935899846987</v>
      </c>
      <c r="CD25" s="635">
        <v>-1791.4935899846987</v>
      </c>
      <c r="CE25" s="635">
        <v>-1791.4935899846987</v>
      </c>
      <c r="CF25" s="635">
        <v>-1791.4935899846987</v>
      </c>
      <c r="CG25" s="635">
        <v>-1791.4935899846987</v>
      </c>
      <c r="CH25" s="635">
        <v>-1791.4935899846987</v>
      </c>
      <c r="CI25" s="635">
        <v>-1791.4935899846987</v>
      </c>
      <c r="CJ25" s="635">
        <v>-1791.4935899846987</v>
      </c>
      <c r="CK25" s="635">
        <v>-1791.4935899846987</v>
      </c>
      <c r="CL25" s="635">
        <v>-1791.4935899846987</v>
      </c>
      <c r="CM25" s="635">
        <v>-1834.3031403107809</v>
      </c>
      <c r="CN25" s="635">
        <v>-1834.3031403107809</v>
      </c>
      <c r="CO25" s="635">
        <v>-1834.3031403107809</v>
      </c>
      <c r="CP25" s="635">
        <v>-1834.3031403107809</v>
      </c>
      <c r="CQ25" s="635">
        <v>-1834.3031403107809</v>
      </c>
      <c r="CR25" s="635">
        <v>-1834.3031403107809</v>
      </c>
      <c r="CS25" s="635">
        <v>-1834.3031403107809</v>
      </c>
      <c r="CT25" s="635">
        <v>-1834.3031403107809</v>
      </c>
      <c r="CU25" s="635">
        <v>-1834.3031403107809</v>
      </c>
      <c r="CV25" s="635">
        <v>-1834.3031403107809</v>
      </c>
      <c r="CW25" s="635">
        <v>-1834.3031403107809</v>
      </c>
      <c r="CX25" s="635">
        <v>-1834.3031403107809</v>
      </c>
      <c r="CY25" s="635">
        <v>-1889.3322345201059</v>
      </c>
      <c r="CZ25" s="635">
        <v>-1889.3322345201059</v>
      </c>
      <c r="DA25" s="635">
        <v>-1889.3322345201059</v>
      </c>
      <c r="DB25" s="635">
        <v>-1889.3322345201059</v>
      </c>
      <c r="DC25" s="635">
        <v>-1889.3322345201059</v>
      </c>
      <c r="DD25" s="635">
        <v>-1889.3322345201059</v>
      </c>
      <c r="DE25" s="635">
        <v>-1889.3322345201059</v>
      </c>
      <c r="DF25" s="635">
        <v>-1889.3322345201059</v>
      </c>
      <c r="DG25" s="635">
        <v>-1889.3322345201059</v>
      </c>
      <c r="DH25" s="635">
        <v>-1889.3322345201059</v>
      </c>
      <c r="DI25" s="635">
        <v>-1889.3322345201059</v>
      </c>
      <c r="DJ25" s="635">
        <v>-1889.3322345201059</v>
      </c>
      <c r="DK25" s="635">
        <v>-1946.012201555711</v>
      </c>
      <c r="DL25" s="635">
        <v>-1946.012201555711</v>
      </c>
      <c r="DM25" s="635">
        <v>-1946.012201555711</v>
      </c>
      <c r="DN25" s="635">
        <v>-1946.012201555711</v>
      </c>
      <c r="DO25" s="635">
        <v>-1946.012201555711</v>
      </c>
      <c r="DP25" s="635">
        <v>-1946.012201555711</v>
      </c>
      <c r="DQ25" s="635">
        <v>-1946.012201555711</v>
      </c>
      <c r="DR25" s="635">
        <v>-1946.012201555711</v>
      </c>
      <c r="DS25" s="635">
        <v>-1946.012201555711</v>
      </c>
      <c r="DT25" s="635">
        <v>-1946.012201555711</v>
      </c>
      <c r="DU25" s="635">
        <v>-1946.012201555711</v>
      </c>
      <c r="DV25" s="635">
        <v>-1946.012201555711</v>
      </c>
      <c r="DW25" s="635">
        <v>-2004.3925676023839</v>
      </c>
      <c r="DX25" s="635">
        <v>-2004.3925676023839</v>
      </c>
      <c r="DY25" s="635">
        <v>-2004.3925676023839</v>
      </c>
      <c r="DZ25" s="635">
        <v>-2004.3925676023839</v>
      </c>
      <c r="EA25" s="635">
        <v>-2004.3925676023839</v>
      </c>
      <c r="EB25" s="635">
        <v>-2004.3925676023839</v>
      </c>
      <c r="EC25" s="635">
        <v>-2004.3925676023839</v>
      </c>
      <c r="ED25" s="635">
        <v>-2004.3925676023839</v>
      </c>
      <c r="EE25" s="635">
        <v>-2004.3925676023839</v>
      </c>
      <c r="EF25" s="635">
        <v>-2004.3925676023839</v>
      </c>
      <c r="EG25" s="635">
        <v>-2004.3925676023839</v>
      </c>
      <c r="EH25" s="635">
        <v>-2004.3925676023839</v>
      </c>
      <c r="EI25" s="635">
        <v>-2064.524344630458</v>
      </c>
      <c r="EJ25" s="635">
        <v>-2064.524344630458</v>
      </c>
      <c r="EK25" s="635">
        <v>-2064.524344630458</v>
      </c>
      <c r="EL25" s="635">
        <v>-2064.524344630458</v>
      </c>
      <c r="EM25" s="635">
        <v>-2064.524344630458</v>
      </c>
      <c r="EN25" s="635">
        <v>-2064.524344630458</v>
      </c>
      <c r="EO25" s="635">
        <v>-2064.524344630458</v>
      </c>
      <c r="EP25" s="635">
        <v>-2064.524344630458</v>
      </c>
      <c r="EQ25" s="635">
        <v>-2064.524344630458</v>
      </c>
      <c r="ER25" s="635">
        <v>-2064.524344630458</v>
      </c>
      <c r="ES25" s="635">
        <v>-2064.524344630458</v>
      </c>
      <c r="ET25" s="635">
        <v>-2064.524344630458</v>
      </c>
      <c r="EU25" s="635">
        <v>-2126.4600749693741</v>
      </c>
      <c r="EV25" s="635">
        <v>-2126.4600749693741</v>
      </c>
      <c r="EW25" s="635">
        <v>-2126.4600749693741</v>
      </c>
      <c r="EX25" s="635">
        <v>-2126.4600749693741</v>
      </c>
      <c r="EY25" s="635">
        <v>-2126.4600749693741</v>
      </c>
      <c r="EZ25" s="635">
        <v>-2126.4600749693741</v>
      </c>
      <c r="FA25" s="635">
        <v>-2126.4600749693741</v>
      </c>
      <c r="FB25" s="635">
        <v>-2126.4600749693741</v>
      </c>
      <c r="FC25" s="635">
        <v>-2126.4600749693741</v>
      </c>
      <c r="FD25" s="635">
        <v>-2126.4600749693741</v>
      </c>
      <c r="FE25" s="635">
        <v>-2126.4600749693741</v>
      </c>
      <c r="FF25" s="635">
        <v>-2126.4600749693741</v>
      </c>
    </row>
    <row r="26" spans="1:162" ht="15">
      <c r="A26"/>
      <c r="B26" s="37" t="s">
        <v>36</v>
      </c>
      <c r="C26" s="136">
        <f>'Old OSAR'!K37</f>
        <v>81669.58</v>
      </c>
      <c r="D26" s="1121">
        <f t="shared" si="12"/>
        <v>215600</v>
      </c>
      <c r="E26" s="370">
        <f t="shared" si="13"/>
        <v>-133930.41999999998</v>
      </c>
      <c r="F26" s="371">
        <f t="shared" si="14"/>
        <v>-0.62119860853432274</v>
      </c>
      <c r="G26" s="342"/>
      <c r="H26" s="364">
        <f>'2025 Budget'!U29</f>
        <v>218571.51999999999</v>
      </c>
      <c r="I26" s="368">
        <f t="shared" si="8"/>
        <v>136901.94</v>
      </c>
      <c r="J26" s="184">
        <f t="shared" si="15"/>
        <v>1.6762904866169261</v>
      </c>
      <c r="K26" s="342"/>
      <c r="L26" s="361"/>
      <c r="M26" s="37" t="s">
        <v>31</v>
      </c>
      <c r="O26" s="682" t="s">
        <v>610</v>
      </c>
      <c r="P26" s="686">
        <v>-74991.200000000012</v>
      </c>
      <c r="Q26" s="725">
        <v>-87850.265872483273</v>
      </c>
      <c r="R26" s="725">
        <v>-91449.693425935315</v>
      </c>
      <c r="S26" s="725">
        <v>-74188.846248747024</v>
      </c>
      <c r="T26" s="725">
        <v>-81699.855547860265</v>
      </c>
      <c r="U26" s="725">
        <v>-83758.141869414481</v>
      </c>
      <c r="V26" s="725">
        <v>-85759.627339205341</v>
      </c>
      <c r="W26" s="725">
        <v>-88332.416159381581</v>
      </c>
      <c r="X26" s="725">
        <v>-90982.388644163104</v>
      </c>
      <c r="Y26" s="725">
        <v>-93711.860303488094</v>
      </c>
      <c r="Z26" s="725">
        <v>-96523.216112592854</v>
      </c>
      <c r="AA26" s="725">
        <v>-99418.912595970745</v>
      </c>
      <c r="AB26" s="726"/>
      <c r="AC26" s="714" t="s">
        <v>610</v>
      </c>
      <c r="AD26" s="686">
        <v>-74991.200000000012</v>
      </c>
      <c r="AE26" s="725">
        <v>-7320.8554893736064</v>
      </c>
      <c r="AF26" s="725">
        <v>-7320.8554893736064</v>
      </c>
      <c r="AG26" s="725">
        <v>-7320.8554893736064</v>
      </c>
      <c r="AH26" s="725">
        <v>-7320.8554893736064</v>
      </c>
      <c r="AI26" s="725">
        <v>-7320.8554893736064</v>
      </c>
      <c r="AJ26" s="725">
        <v>-7320.8554893736064</v>
      </c>
      <c r="AK26" s="725">
        <v>-7320.8554893736064</v>
      </c>
      <c r="AL26" s="725">
        <v>-7320.8554893736064</v>
      </c>
      <c r="AM26" s="725">
        <v>-7320.8554893736064</v>
      </c>
      <c r="AN26" s="725">
        <v>-7320.8554893736064</v>
      </c>
      <c r="AO26" s="725">
        <v>-7320.8554893736064</v>
      </c>
      <c r="AP26" s="725">
        <v>-7320.8554893736064</v>
      </c>
      <c r="AQ26" s="725">
        <v>-7620.8077854946096</v>
      </c>
      <c r="AR26" s="725">
        <v>-7620.8077854946096</v>
      </c>
      <c r="AS26" s="725">
        <v>-7620.8077854946096</v>
      </c>
      <c r="AT26" s="725">
        <v>-7620.8077854946096</v>
      </c>
      <c r="AU26" s="725">
        <v>-7620.8077854946096</v>
      </c>
      <c r="AV26" s="725">
        <v>-7620.8077854946096</v>
      </c>
      <c r="AW26" s="725">
        <v>-7620.8077854946096</v>
      </c>
      <c r="AX26" s="725">
        <v>-7620.8077854946096</v>
      </c>
      <c r="AY26" s="725">
        <v>-7620.8077854946096</v>
      </c>
      <c r="AZ26" s="725">
        <v>-7620.8077854946096</v>
      </c>
      <c r="BA26" s="725">
        <v>-7620.8077854946096</v>
      </c>
      <c r="BB26" s="725">
        <v>-7620.8077854946096</v>
      </c>
      <c r="BC26" s="725">
        <v>-6182.4038540622523</v>
      </c>
      <c r="BD26" s="725">
        <v>-6182.4038540622523</v>
      </c>
      <c r="BE26" s="725">
        <v>-6182.4038540622523</v>
      </c>
      <c r="BF26" s="725">
        <v>-6182.4038540622523</v>
      </c>
      <c r="BG26" s="725">
        <v>-6182.4038540622523</v>
      </c>
      <c r="BH26" s="725">
        <v>-6182.4038540622523</v>
      </c>
      <c r="BI26" s="725">
        <v>-6182.4038540622523</v>
      </c>
      <c r="BJ26" s="725">
        <v>-6182.4038540622523</v>
      </c>
      <c r="BK26" s="725">
        <v>-6182.4038540622523</v>
      </c>
      <c r="BL26" s="725">
        <v>-6182.4038540622523</v>
      </c>
      <c r="BM26" s="725">
        <v>-6182.4038540622523</v>
      </c>
      <c r="BN26" s="725">
        <v>-6182.4038540622523</v>
      </c>
      <c r="BO26" s="725">
        <v>-6808.3212956550224</v>
      </c>
      <c r="BP26" s="725">
        <v>-6808.3212956550224</v>
      </c>
      <c r="BQ26" s="725">
        <v>-6808.3212956550224</v>
      </c>
      <c r="BR26" s="725">
        <v>-6808.3212956550224</v>
      </c>
      <c r="BS26" s="725">
        <v>-6808.3212956550224</v>
      </c>
      <c r="BT26" s="725">
        <v>-6808.3212956550224</v>
      </c>
      <c r="BU26" s="725">
        <v>-6808.3212956550224</v>
      </c>
      <c r="BV26" s="725">
        <v>-6808.3212956550224</v>
      </c>
      <c r="BW26" s="725">
        <v>-6808.3212956550224</v>
      </c>
      <c r="BX26" s="725">
        <v>-6808.3212956550224</v>
      </c>
      <c r="BY26" s="725">
        <v>-6808.3212956550224</v>
      </c>
      <c r="BZ26" s="725">
        <v>-6808.3212956550224</v>
      </c>
      <c r="CA26" s="725">
        <v>-6979.8451557845401</v>
      </c>
      <c r="CB26" s="725">
        <v>-6979.8451557845401</v>
      </c>
      <c r="CC26" s="725">
        <v>-6979.8451557845401</v>
      </c>
      <c r="CD26" s="725">
        <v>-6979.8451557845401</v>
      </c>
      <c r="CE26" s="725">
        <v>-6979.8451557845401</v>
      </c>
      <c r="CF26" s="725">
        <v>-6979.8451557845401</v>
      </c>
      <c r="CG26" s="725">
        <v>-6979.8451557845401</v>
      </c>
      <c r="CH26" s="725">
        <v>-6979.8451557845401</v>
      </c>
      <c r="CI26" s="725">
        <v>-6979.8451557845401</v>
      </c>
      <c r="CJ26" s="725">
        <v>-6979.8451557845401</v>
      </c>
      <c r="CK26" s="725">
        <v>-6979.8451557845401</v>
      </c>
      <c r="CL26" s="725">
        <v>-6979.8451557845401</v>
      </c>
      <c r="CM26" s="725">
        <v>-7146.6356116004454</v>
      </c>
      <c r="CN26" s="725">
        <v>-7146.6356116004454</v>
      </c>
      <c r="CO26" s="725">
        <v>-7146.6356116004454</v>
      </c>
      <c r="CP26" s="725">
        <v>-7146.6356116004454</v>
      </c>
      <c r="CQ26" s="725">
        <v>-7146.6356116004454</v>
      </c>
      <c r="CR26" s="725">
        <v>-7146.6356116004454</v>
      </c>
      <c r="CS26" s="725">
        <v>-7146.6356116004454</v>
      </c>
      <c r="CT26" s="725">
        <v>-7146.6356116004454</v>
      </c>
      <c r="CU26" s="725">
        <v>-7146.6356116004454</v>
      </c>
      <c r="CV26" s="725">
        <v>-7146.6356116004454</v>
      </c>
      <c r="CW26" s="725">
        <v>-7146.6356116004454</v>
      </c>
      <c r="CX26" s="725">
        <v>-7146.6356116004454</v>
      </c>
      <c r="CY26" s="725">
        <v>-7361.0346799484651</v>
      </c>
      <c r="CZ26" s="725">
        <v>-7361.0346799484651</v>
      </c>
      <c r="DA26" s="725">
        <v>-7361.0346799484651</v>
      </c>
      <c r="DB26" s="725">
        <v>-7361.0346799484651</v>
      </c>
      <c r="DC26" s="725">
        <v>-7361.0346799484651</v>
      </c>
      <c r="DD26" s="725">
        <v>-7361.0346799484651</v>
      </c>
      <c r="DE26" s="725">
        <v>-7361.0346799484651</v>
      </c>
      <c r="DF26" s="725">
        <v>-7361.0346799484651</v>
      </c>
      <c r="DG26" s="725">
        <v>-7361.0346799484651</v>
      </c>
      <c r="DH26" s="725">
        <v>-7361.0346799484651</v>
      </c>
      <c r="DI26" s="725">
        <v>-7361.0346799484651</v>
      </c>
      <c r="DJ26" s="725">
        <v>-7361.0346799484651</v>
      </c>
      <c r="DK26" s="725">
        <v>-7581.8657203469256</v>
      </c>
      <c r="DL26" s="725">
        <v>-7581.8657203469256</v>
      </c>
      <c r="DM26" s="725">
        <v>-7581.8657203469256</v>
      </c>
      <c r="DN26" s="725">
        <v>-7581.8657203469256</v>
      </c>
      <c r="DO26" s="725">
        <v>-7581.8657203469256</v>
      </c>
      <c r="DP26" s="725">
        <v>-7581.8657203469256</v>
      </c>
      <c r="DQ26" s="725">
        <v>-7581.8657203469256</v>
      </c>
      <c r="DR26" s="725">
        <v>-7581.8657203469256</v>
      </c>
      <c r="DS26" s="725">
        <v>-7581.8657203469256</v>
      </c>
      <c r="DT26" s="725">
        <v>-7581.8657203469256</v>
      </c>
      <c r="DU26" s="725">
        <v>-7581.8657203469256</v>
      </c>
      <c r="DV26" s="725">
        <v>-7581.8657203469256</v>
      </c>
      <c r="DW26" s="725">
        <v>-7809.3216919573415</v>
      </c>
      <c r="DX26" s="725">
        <v>-7809.3216919573415</v>
      </c>
      <c r="DY26" s="725">
        <v>-7809.3216919573415</v>
      </c>
      <c r="DZ26" s="725">
        <v>-7809.3216919573415</v>
      </c>
      <c r="EA26" s="725">
        <v>-7809.3216919573415</v>
      </c>
      <c r="EB26" s="725">
        <v>-7809.3216919573415</v>
      </c>
      <c r="EC26" s="725">
        <v>-7809.3216919573415</v>
      </c>
      <c r="ED26" s="725">
        <v>-7809.3216919573415</v>
      </c>
      <c r="EE26" s="725">
        <v>-7809.3216919573415</v>
      </c>
      <c r="EF26" s="725">
        <v>-7809.3216919573415</v>
      </c>
      <c r="EG26" s="725">
        <v>-7809.3216919573415</v>
      </c>
      <c r="EH26" s="725">
        <v>-7809.3216919573415</v>
      </c>
      <c r="EI26" s="725">
        <v>-8043.6013427160715</v>
      </c>
      <c r="EJ26" s="725">
        <v>-8043.6013427160715</v>
      </c>
      <c r="EK26" s="725">
        <v>-8043.6013427160715</v>
      </c>
      <c r="EL26" s="725">
        <v>-8043.6013427160715</v>
      </c>
      <c r="EM26" s="725">
        <v>-8043.6013427160715</v>
      </c>
      <c r="EN26" s="725">
        <v>-8043.6013427160715</v>
      </c>
      <c r="EO26" s="725">
        <v>-8043.6013427160715</v>
      </c>
      <c r="EP26" s="725">
        <v>-8043.6013427160715</v>
      </c>
      <c r="EQ26" s="725">
        <v>-8043.6013427160715</v>
      </c>
      <c r="ER26" s="725">
        <v>-8043.6013427160715</v>
      </c>
      <c r="ES26" s="725">
        <v>-8043.6013427160715</v>
      </c>
      <c r="ET26" s="725">
        <v>-8043.6013427160715</v>
      </c>
      <c r="EU26" s="725">
        <v>-8284.9093829975627</v>
      </c>
      <c r="EV26" s="725">
        <v>-8284.9093829975627</v>
      </c>
      <c r="EW26" s="725">
        <v>-8284.9093829975627</v>
      </c>
      <c r="EX26" s="725">
        <v>-8284.9093829975627</v>
      </c>
      <c r="EY26" s="725">
        <v>-8284.9093829975627</v>
      </c>
      <c r="EZ26" s="725">
        <v>-8284.9093829975627</v>
      </c>
      <c r="FA26" s="725">
        <v>-8284.9093829975627</v>
      </c>
      <c r="FB26" s="725">
        <v>-8284.9093829975627</v>
      </c>
      <c r="FC26" s="725">
        <v>-8284.9093829975627</v>
      </c>
      <c r="FD26" s="725">
        <v>-8284.9093829975627</v>
      </c>
      <c r="FE26" s="725">
        <v>-8284.9093829975627</v>
      </c>
      <c r="FF26" s="725">
        <v>-8284.9093829975627</v>
      </c>
    </row>
    <row r="27" spans="1:162" ht="15">
      <c r="A27"/>
      <c r="B27" s="41" t="s">
        <v>37</v>
      </c>
      <c r="C27" s="136">
        <f>'Old OSAR'!K38</f>
        <v>0</v>
      </c>
      <c r="D27" s="1121">
        <f t="shared" si="12"/>
        <v>369600</v>
      </c>
      <c r="E27" s="368">
        <f t="shared" si="13"/>
        <v>-369600</v>
      </c>
      <c r="F27" s="184">
        <f t="shared" si="14"/>
        <v>-1</v>
      </c>
      <c r="G27" s="342"/>
      <c r="H27" s="364">
        <f>'2025 Budget'!U30</f>
        <v>387718.2699999999</v>
      </c>
      <c r="I27" s="369">
        <f t="shared" si="8"/>
        <v>387718.2699999999</v>
      </c>
      <c r="J27" s="183" t="e">
        <f t="shared" si="15"/>
        <v>#DIV/0!</v>
      </c>
      <c r="K27" s="342"/>
      <c r="L27" s="357"/>
      <c r="M27" s="37" t="s">
        <v>31</v>
      </c>
      <c r="O27" s="682" t="s">
        <v>611</v>
      </c>
      <c r="P27" s="686">
        <v>-22926</v>
      </c>
      <c r="Q27" s="635">
        <v>-202934.1141654363</v>
      </c>
      <c r="R27" s="635">
        <v>-176040.65984492545</v>
      </c>
      <c r="S27" s="635">
        <v>-76167.215482046944</v>
      </c>
      <c r="T27" s="635">
        <v>-41939.259181234942</v>
      </c>
      <c r="U27" s="635">
        <v>-42995.846159632769</v>
      </c>
      <c r="V27" s="635">
        <v>-44023.275367458744</v>
      </c>
      <c r="W27" s="635">
        <v>-45343.973628482541</v>
      </c>
      <c r="X27" s="635">
        <v>-46704.292837337067</v>
      </c>
      <c r="Y27" s="635">
        <v>-48105.421622457216</v>
      </c>
      <c r="Z27" s="635">
        <v>-49548.584271130989</v>
      </c>
      <c r="AA27" s="635">
        <v>-51035.041799264982</v>
      </c>
      <c r="AB27" s="712"/>
      <c r="AC27" s="714" t="s">
        <v>611</v>
      </c>
      <c r="AD27" s="686">
        <v>-22926</v>
      </c>
      <c r="AE27" s="619">
        <v>-16911.176180453025</v>
      </c>
      <c r="AF27" s="619">
        <v>-16911.176180453025</v>
      </c>
      <c r="AG27" s="619">
        <v>-16911.176180453025</v>
      </c>
      <c r="AH27" s="619">
        <v>-16911.176180453025</v>
      </c>
      <c r="AI27" s="619">
        <v>-16911.176180453025</v>
      </c>
      <c r="AJ27" s="619">
        <v>-16911.176180453025</v>
      </c>
      <c r="AK27" s="619">
        <v>-16911.176180453025</v>
      </c>
      <c r="AL27" s="619">
        <v>-16911.176180453025</v>
      </c>
      <c r="AM27" s="619">
        <v>-16911.176180453025</v>
      </c>
      <c r="AN27" s="619">
        <v>-16911.176180453025</v>
      </c>
      <c r="AO27" s="619">
        <v>-16911.176180453025</v>
      </c>
      <c r="AP27" s="619">
        <v>-16911.176180453025</v>
      </c>
      <c r="AQ27" s="619">
        <v>-14670.054987077121</v>
      </c>
      <c r="AR27" s="619">
        <v>-14670.054987077121</v>
      </c>
      <c r="AS27" s="619">
        <v>-14670.054987077121</v>
      </c>
      <c r="AT27" s="619">
        <v>-14670.054987077121</v>
      </c>
      <c r="AU27" s="619">
        <v>-14670.054987077121</v>
      </c>
      <c r="AV27" s="619">
        <v>-14670.054987077121</v>
      </c>
      <c r="AW27" s="619">
        <v>-14670.054987077121</v>
      </c>
      <c r="AX27" s="619">
        <v>-14670.054987077121</v>
      </c>
      <c r="AY27" s="619">
        <v>-14670.054987077121</v>
      </c>
      <c r="AZ27" s="619">
        <v>-14670.054987077121</v>
      </c>
      <c r="BA27" s="619">
        <v>-14670.054987077121</v>
      </c>
      <c r="BB27" s="619">
        <v>-14670.054987077121</v>
      </c>
      <c r="BC27" s="619">
        <v>-6347.267956837245</v>
      </c>
      <c r="BD27" s="619">
        <v>-6347.267956837245</v>
      </c>
      <c r="BE27" s="619">
        <v>-6347.267956837245</v>
      </c>
      <c r="BF27" s="619">
        <v>-6347.267956837245</v>
      </c>
      <c r="BG27" s="619">
        <v>-6347.267956837245</v>
      </c>
      <c r="BH27" s="619">
        <v>-6347.267956837245</v>
      </c>
      <c r="BI27" s="619">
        <v>-6347.267956837245</v>
      </c>
      <c r="BJ27" s="619">
        <v>-6347.267956837245</v>
      </c>
      <c r="BK27" s="619">
        <v>-6347.267956837245</v>
      </c>
      <c r="BL27" s="619">
        <v>-6347.267956837245</v>
      </c>
      <c r="BM27" s="619">
        <v>-6347.267956837245</v>
      </c>
      <c r="BN27" s="619">
        <v>-6347.267956837245</v>
      </c>
      <c r="BO27" s="619">
        <v>-3494.9382651029118</v>
      </c>
      <c r="BP27" s="619">
        <v>-3494.9382651029118</v>
      </c>
      <c r="BQ27" s="619">
        <v>-3494.9382651029118</v>
      </c>
      <c r="BR27" s="619">
        <v>-3494.9382651029118</v>
      </c>
      <c r="BS27" s="619">
        <v>-3494.9382651029118</v>
      </c>
      <c r="BT27" s="619">
        <v>-3494.9382651029118</v>
      </c>
      <c r="BU27" s="619">
        <v>-3494.9382651029118</v>
      </c>
      <c r="BV27" s="619">
        <v>-3494.9382651029118</v>
      </c>
      <c r="BW27" s="619">
        <v>-3494.9382651029118</v>
      </c>
      <c r="BX27" s="619">
        <v>-3494.9382651029118</v>
      </c>
      <c r="BY27" s="619">
        <v>-3494.9382651029118</v>
      </c>
      <c r="BZ27" s="619">
        <v>-3494.9382651029118</v>
      </c>
      <c r="CA27" s="619">
        <v>-3582.9871799693974</v>
      </c>
      <c r="CB27" s="619">
        <v>-3582.9871799693974</v>
      </c>
      <c r="CC27" s="619">
        <v>-3582.9871799693974</v>
      </c>
      <c r="CD27" s="619">
        <v>-3582.9871799693974</v>
      </c>
      <c r="CE27" s="619">
        <v>-3582.9871799693974</v>
      </c>
      <c r="CF27" s="619">
        <v>-3582.9871799693974</v>
      </c>
      <c r="CG27" s="619">
        <v>-3582.9871799693974</v>
      </c>
      <c r="CH27" s="619">
        <v>-3582.9871799693974</v>
      </c>
      <c r="CI27" s="619">
        <v>-3582.9871799693974</v>
      </c>
      <c r="CJ27" s="619">
        <v>-3582.9871799693974</v>
      </c>
      <c r="CK27" s="619">
        <v>-3582.9871799693974</v>
      </c>
      <c r="CL27" s="619">
        <v>-3582.9871799693974</v>
      </c>
      <c r="CM27" s="619">
        <v>-3668.6062806215618</v>
      </c>
      <c r="CN27" s="619">
        <v>-3668.6062806215618</v>
      </c>
      <c r="CO27" s="619">
        <v>-3668.6062806215618</v>
      </c>
      <c r="CP27" s="619">
        <v>-3668.6062806215618</v>
      </c>
      <c r="CQ27" s="619">
        <v>-3668.6062806215618</v>
      </c>
      <c r="CR27" s="619">
        <v>-3668.6062806215618</v>
      </c>
      <c r="CS27" s="619">
        <v>-3668.6062806215618</v>
      </c>
      <c r="CT27" s="619">
        <v>-3668.6062806215618</v>
      </c>
      <c r="CU27" s="619">
        <v>-3668.6062806215618</v>
      </c>
      <c r="CV27" s="619">
        <v>-3668.6062806215618</v>
      </c>
      <c r="CW27" s="619">
        <v>-3668.6062806215618</v>
      </c>
      <c r="CX27" s="619">
        <v>-3668.6062806215618</v>
      </c>
      <c r="CY27" s="619">
        <v>-3778.6644690402118</v>
      </c>
      <c r="CZ27" s="619">
        <v>-3778.6644690402118</v>
      </c>
      <c r="DA27" s="619">
        <v>-3778.6644690402118</v>
      </c>
      <c r="DB27" s="619">
        <v>-3778.6644690402118</v>
      </c>
      <c r="DC27" s="619">
        <v>-3778.6644690402118</v>
      </c>
      <c r="DD27" s="619">
        <v>-3778.6644690402118</v>
      </c>
      <c r="DE27" s="619">
        <v>-3778.6644690402118</v>
      </c>
      <c r="DF27" s="619">
        <v>-3778.6644690402118</v>
      </c>
      <c r="DG27" s="619">
        <v>-3778.6644690402118</v>
      </c>
      <c r="DH27" s="619">
        <v>-3778.6644690402118</v>
      </c>
      <c r="DI27" s="619">
        <v>-3778.6644690402118</v>
      </c>
      <c r="DJ27" s="619">
        <v>-3778.6644690402118</v>
      </c>
      <c r="DK27" s="619">
        <v>-3892.0244031114221</v>
      </c>
      <c r="DL27" s="619">
        <v>-3892.0244031114221</v>
      </c>
      <c r="DM27" s="619">
        <v>-3892.0244031114221</v>
      </c>
      <c r="DN27" s="619">
        <v>-3892.0244031114221</v>
      </c>
      <c r="DO27" s="619">
        <v>-3892.0244031114221</v>
      </c>
      <c r="DP27" s="619">
        <v>-3892.0244031114221</v>
      </c>
      <c r="DQ27" s="619">
        <v>-3892.0244031114221</v>
      </c>
      <c r="DR27" s="619">
        <v>-3892.0244031114221</v>
      </c>
      <c r="DS27" s="619">
        <v>-3892.0244031114221</v>
      </c>
      <c r="DT27" s="619">
        <v>-3892.0244031114221</v>
      </c>
      <c r="DU27" s="619">
        <v>-3892.0244031114221</v>
      </c>
      <c r="DV27" s="619">
        <v>-3892.0244031114221</v>
      </c>
      <c r="DW27" s="619">
        <v>-4008.7851352047678</v>
      </c>
      <c r="DX27" s="619">
        <v>-4008.7851352047678</v>
      </c>
      <c r="DY27" s="619">
        <v>-4008.7851352047678</v>
      </c>
      <c r="DZ27" s="619">
        <v>-4008.7851352047678</v>
      </c>
      <c r="EA27" s="619">
        <v>-4008.7851352047678</v>
      </c>
      <c r="EB27" s="619">
        <v>-4008.7851352047678</v>
      </c>
      <c r="EC27" s="619">
        <v>-4008.7851352047678</v>
      </c>
      <c r="ED27" s="619">
        <v>-4008.7851352047678</v>
      </c>
      <c r="EE27" s="619">
        <v>-4008.7851352047678</v>
      </c>
      <c r="EF27" s="619">
        <v>-4008.7851352047678</v>
      </c>
      <c r="EG27" s="619">
        <v>-4008.7851352047678</v>
      </c>
      <c r="EH27" s="619">
        <v>-4008.7851352047678</v>
      </c>
      <c r="EI27" s="619">
        <v>-4129.048689260916</v>
      </c>
      <c r="EJ27" s="619">
        <v>-4129.048689260916</v>
      </c>
      <c r="EK27" s="619">
        <v>-4129.048689260916</v>
      </c>
      <c r="EL27" s="619">
        <v>-4129.048689260916</v>
      </c>
      <c r="EM27" s="619">
        <v>-4129.048689260916</v>
      </c>
      <c r="EN27" s="619">
        <v>-4129.048689260916</v>
      </c>
      <c r="EO27" s="619">
        <v>-4129.048689260916</v>
      </c>
      <c r="EP27" s="619">
        <v>-4129.048689260916</v>
      </c>
      <c r="EQ27" s="619">
        <v>-4129.048689260916</v>
      </c>
      <c r="ER27" s="619">
        <v>-4129.048689260916</v>
      </c>
      <c r="ES27" s="619">
        <v>-4129.048689260916</v>
      </c>
      <c r="ET27" s="619">
        <v>-4129.048689260916</v>
      </c>
      <c r="EU27" s="619">
        <v>-4252.9201499387482</v>
      </c>
      <c r="EV27" s="619">
        <v>-4252.9201499387482</v>
      </c>
      <c r="EW27" s="619">
        <v>-4252.9201499387482</v>
      </c>
      <c r="EX27" s="619">
        <v>-4252.9201499387482</v>
      </c>
      <c r="EY27" s="619">
        <v>-4252.9201499387482</v>
      </c>
      <c r="EZ27" s="619">
        <v>-4252.9201499387482</v>
      </c>
      <c r="FA27" s="619">
        <v>-4252.9201499387482</v>
      </c>
      <c r="FB27" s="619">
        <v>-4252.9201499387482</v>
      </c>
      <c r="FC27" s="619">
        <v>-4252.9201499387482</v>
      </c>
      <c r="FD27" s="619">
        <v>-4252.9201499387482</v>
      </c>
      <c r="FE27" s="619">
        <v>-4252.9201499387482</v>
      </c>
      <c r="FF27" s="619">
        <v>-4252.9201499387482</v>
      </c>
    </row>
    <row r="28" spans="1:162" ht="15">
      <c r="A28"/>
      <c r="B28" s="41" t="s">
        <v>38</v>
      </c>
      <c r="C28" s="136">
        <f>'Old OSAR'!K39</f>
        <v>0</v>
      </c>
      <c r="D28" s="1121">
        <f t="shared" si="12"/>
        <v>377300</v>
      </c>
      <c r="E28" s="368">
        <f t="shared" si="13"/>
        <v>-377300</v>
      </c>
      <c r="F28" s="184">
        <f t="shared" si="14"/>
        <v>-1</v>
      </c>
      <c r="G28" s="342"/>
      <c r="H28" s="364">
        <f>'2025 Budget'!U31</f>
        <v>241403.27</v>
      </c>
      <c r="I28" s="368">
        <f t="shared" si="8"/>
        <v>241403.27</v>
      </c>
      <c r="J28" s="184" t="e">
        <f t="shared" si="15"/>
        <v>#DIV/0!</v>
      </c>
      <c r="K28" s="342"/>
      <c r="L28" s="361"/>
      <c r="O28" s="715" t="s">
        <v>612</v>
      </c>
      <c r="P28" s="716">
        <v>6430353.7200000007</v>
      </c>
      <c r="Q28" s="719">
        <v>6118551.3923537778</v>
      </c>
      <c r="R28" s="719">
        <v>6404450.6548518129</v>
      </c>
      <c r="S28" s="719">
        <v>7066487.605193154</v>
      </c>
      <c r="T28" s="719">
        <v>7823850.5001149243</v>
      </c>
      <c r="U28" s="719">
        <v>8020958.8592213634</v>
      </c>
      <c r="V28" s="719">
        <v>8212627.7794267656</v>
      </c>
      <c r="W28" s="719">
        <v>8459006.6128095761</v>
      </c>
      <c r="X28" s="719">
        <v>8712776.8111938741</v>
      </c>
      <c r="Y28" s="719">
        <v>8974160.1155296974</v>
      </c>
      <c r="Z28" s="719">
        <v>9243384.9189955983</v>
      </c>
      <c r="AA28" s="719">
        <v>9520686.4665654767</v>
      </c>
      <c r="AB28" s="727"/>
      <c r="AC28" s="721" t="s">
        <v>612</v>
      </c>
      <c r="AD28" s="716">
        <v>6430353.7200000007</v>
      </c>
      <c r="AE28" s="722">
        <v>525605.65225250367</v>
      </c>
      <c r="AF28" s="722">
        <v>529335.51051265455</v>
      </c>
      <c r="AG28" s="722">
        <v>520744.32787289133</v>
      </c>
      <c r="AH28" s="722">
        <v>502622.83604740031</v>
      </c>
      <c r="AI28" s="722">
        <v>495764.93826584844</v>
      </c>
      <c r="AJ28" s="722">
        <v>498409.52884493617</v>
      </c>
      <c r="AK28" s="722">
        <v>501055.45645508711</v>
      </c>
      <c r="AL28" s="722">
        <v>503702.7232305386</v>
      </c>
      <c r="AM28" s="722">
        <v>506351.33130893478</v>
      </c>
      <c r="AN28" s="722">
        <v>509001.28283133171</v>
      </c>
      <c r="AO28" s="722">
        <v>511652.57994220359</v>
      </c>
      <c r="AP28" s="722">
        <v>514305.22478944738</v>
      </c>
      <c r="AQ28" s="722">
        <v>516658.15871765814</v>
      </c>
      <c r="AR28" s="722">
        <v>519748.11334478506</v>
      </c>
      <c r="AS28" s="722">
        <v>522840.85261545796</v>
      </c>
      <c r="AT28" s="722">
        <v>525936.38281654194</v>
      </c>
      <c r="AU28" s="722">
        <v>529034.71024909616</v>
      </c>
      <c r="AV28" s="722">
        <v>532135.84122840536</v>
      </c>
      <c r="AW28" s="722">
        <v>535239.7820840124</v>
      </c>
      <c r="AX28" s="722">
        <v>538346.5391597501</v>
      </c>
      <c r="AY28" s="722">
        <v>541456.11881377397</v>
      </c>
      <c r="AZ28" s="722">
        <v>544568.52741859388</v>
      </c>
      <c r="BA28" s="722">
        <v>547683.77136110724</v>
      </c>
      <c r="BB28" s="722">
        <v>550801.85704263113</v>
      </c>
      <c r="BC28" s="722">
        <v>563438.12887120084</v>
      </c>
      <c r="BD28" s="722">
        <v>566606.9301750873</v>
      </c>
      <c r="BE28" s="722">
        <v>569778.46682918386</v>
      </c>
      <c r="BF28" s="722">
        <v>572952.74475553865</v>
      </c>
      <c r="BG28" s="722">
        <v>576129.76988902083</v>
      </c>
      <c r="BH28" s="722">
        <v>579309.5481773488</v>
      </c>
      <c r="BI28" s="722">
        <v>582492.08558111754</v>
      </c>
      <c r="BJ28" s="722">
        <v>585677.38807382679</v>
      </c>
      <c r="BK28" s="722">
        <v>591074.18673510349</v>
      </c>
      <c r="BL28" s="722">
        <v>607599.20462026738</v>
      </c>
      <c r="BM28" s="722">
        <v>630560.32316187199</v>
      </c>
      <c r="BN28" s="722">
        <v>640868.82832358801</v>
      </c>
      <c r="BO28" s="722">
        <v>644333.63417580491</v>
      </c>
      <c r="BP28" s="722">
        <v>645715.63335121353</v>
      </c>
      <c r="BQ28" s="722">
        <v>647100.50515796733</v>
      </c>
      <c r="BR28" s="722">
        <v>648488.25556713424</v>
      </c>
      <c r="BS28" s="722">
        <v>649878.89056219335</v>
      </c>
      <c r="BT28" s="722">
        <v>651272.41613906121</v>
      </c>
      <c r="BU28" s="722">
        <v>652668.83830611804</v>
      </c>
      <c r="BV28" s="722">
        <v>654068.16308423236</v>
      </c>
      <c r="BW28" s="722">
        <v>655470.39650678798</v>
      </c>
      <c r="BX28" s="722">
        <v>656875.54461971007</v>
      </c>
      <c r="BY28" s="722">
        <v>658283.61348149029</v>
      </c>
      <c r="BZ28" s="722">
        <v>659694.60916321399</v>
      </c>
      <c r="CA28" s="722">
        <v>661025.6029012521</v>
      </c>
      <c r="CB28" s="722">
        <v>662360.06152605149</v>
      </c>
      <c r="CC28" s="722">
        <v>663697.13294604991</v>
      </c>
      <c r="CD28" s="722">
        <v>665036.82227695396</v>
      </c>
      <c r="CE28" s="722">
        <v>666379.13464448648</v>
      </c>
      <c r="CF28" s="722">
        <v>667724.07518440601</v>
      </c>
      <c r="CG28" s="722">
        <v>669071.64904252719</v>
      </c>
      <c r="CH28" s="722">
        <v>670421.86137473909</v>
      </c>
      <c r="CI28" s="722">
        <v>671774.71734702645</v>
      </c>
      <c r="CJ28" s="722">
        <v>673130.22213548806</v>
      </c>
      <c r="CK28" s="722">
        <v>674488.38092635758</v>
      </c>
      <c r="CL28" s="722">
        <v>675849.19891602325</v>
      </c>
      <c r="CM28" s="722">
        <v>674837.97081022372</v>
      </c>
      <c r="CN28" s="722">
        <v>676559.67932431959</v>
      </c>
      <c r="CO28" s="722">
        <v>678285.63403608045</v>
      </c>
      <c r="CP28" s="722">
        <v>680015.84541777545</v>
      </c>
      <c r="CQ28" s="722">
        <v>681750.32396750071</v>
      </c>
      <c r="CR28" s="722">
        <v>683489.08020924393</v>
      </c>
      <c r="CS28" s="722">
        <v>685232.12469294749</v>
      </c>
      <c r="CT28" s="722">
        <v>686979.46799457294</v>
      </c>
      <c r="CU28" s="722">
        <v>688731.12071616517</v>
      </c>
      <c r="CV28" s="722">
        <v>690487.09348591615</v>
      </c>
      <c r="CW28" s="722">
        <v>692247.39695823018</v>
      </c>
      <c r="CX28" s="722">
        <v>694012.041813788</v>
      </c>
      <c r="CY28" s="722">
        <v>695083.10993453127</v>
      </c>
      <c r="CZ28" s="722">
        <v>696856.46970404999</v>
      </c>
      <c r="DA28" s="722">
        <v>698634.20305716374</v>
      </c>
      <c r="DB28" s="722">
        <v>700416.3207803095</v>
      </c>
      <c r="DC28" s="722">
        <v>702202.83368652652</v>
      </c>
      <c r="DD28" s="722">
        <v>703993.75261552201</v>
      </c>
      <c r="DE28" s="722">
        <v>705789.0884337367</v>
      </c>
      <c r="DF28" s="722">
        <v>707588.85203441093</v>
      </c>
      <c r="DG28" s="722">
        <v>709393.05433765077</v>
      </c>
      <c r="DH28" s="722">
        <v>711201.7062904943</v>
      </c>
      <c r="DI28" s="722">
        <v>713014.8188669777</v>
      </c>
      <c r="DJ28" s="722">
        <v>714832.40306820243</v>
      </c>
      <c r="DK28" s="722">
        <v>715935.60323256801</v>
      </c>
      <c r="DL28" s="722">
        <v>717762.16379517235</v>
      </c>
      <c r="DM28" s="722">
        <v>719593.22914887953</v>
      </c>
      <c r="DN28" s="722">
        <v>721428.81040371966</v>
      </c>
      <c r="DO28" s="722">
        <v>723268.91869712318</v>
      </c>
      <c r="DP28" s="722">
        <v>725113.56519398862</v>
      </c>
      <c r="DQ28" s="722">
        <v>726962.76108674973</v>
      </c>
      <c r="DR28" s="722">
        <v>728816.51759544422</v>
      </c>
      <c r="DS28" s="722">
        <v>730674.84596778126</v>
      </c>
      <c r="DT28" s="722">
        <v>732537.75747921003</v>
      </c>
      <c r="DU28" s="722">
        <v>734405.26343298797</v>
      </c>
      <c r="DV28" s="722">
        <v>736277.3751602493</v>
      </c>
      <c r="DW28" s="722">
        <v>737413.67132954579</v>
      </c>
      <c r="DX28" s="722">
        <v>739295.02870902838</v>
      </c>
      <c r="DY28" s="722">
        <v>741181.0260233467</v>
      </c>
      <c r="DZ28" s="722">
        <v>743071.67471583199</v>
      </c>
      <c r="EA28" s="722">
        <v>744966.98625803762</v>
      </c>
      <c r="EB28" s="722">
        <v>746866.97214980889</v>
      </c>
      <c r="EC28" s="722">
        <v>748771.64391935291</v>
      </c>
      <c r="ED28" s="722">
        <v>750681.01312330819</v>
      </c>
      <c r="EE28" s="722">
        <v>752595.09134681546</v>
      </c>
      <c r="EF28" s="722">
        <v>754513.89020358701</v>
      </c>
      <c r="EG28" s="722">
        <v>756437.42133597843</v>
      </c>
      <c r="EH28" s="722">
        <v>758365.69641505752</v>
      </c>
      <c r="EI28" s="722">
        <v>759536.08146943292</v>
      </c>
      <c r="EJ28" s="722">
        <v>761473.87957029988</v>
      </c>
      <c r="EK28" s="722">
        <v>763416.4568040478</v>
      </c>
      <c r="EL28" s="722">
        <v>765363.82495730778</v>
      </c>
      <c r="EM28" s="722">
        <v>767315.99584577954</v>
      </c>
      <c r="EN28" s="722">
        <v>769272.98131430394</v>
      </c>
      <c r="EO28" s="722">
        <v>771234.79323693423</v>
      </c>
      <c r="EP28" s="722">
        <v>773201.44351700821</v>
      </c>
      <c r="EQ28" s="722">
        <v>775172.94408722059</v>
      </c>
      <c r="ER28" s="722">
        <v>777149.3069096955</v>
      </c>
      <c r="ES28" s="722">
        <v>779130.54397605848</v>
      </c>
      <c r="ET28" s="722">
        <v>781116.66730751004</v>
      </c>
      <c r="EU28" s="722">
        <v>782322.16391351679</v>
      </c>
      <c r="EV28" s="722">
        <v>784318.09595740971</v>
      </c>
      <c r="EW28" s="722">
        <v>786318.95050816995</v>
      </c>
      <c r="EX28" s="722">
        <v>788324.73970602767</v>
      </c>
      <c r="EY28" s="722">
        <v>790335.47572115366</v>
      </c>
      <c r="EZ28" s="722">
        <v>792351.17075373384</v>
      </c>
      <c r="FA28" s="722">
        <v>794371.83703404316</v>
      </c>
      <c r="FB28" s="722">
        <v>796397.48682251933</v>
      </c>
      <c r="FC28" s="722">
        <v>798428.13240983814</v>
      </c>
      <c r="FD28" s="722">
        <v>800463.78611698723</v>
      </c>
      <c r="FE28" s="722">
        <v>802504.46029534121</v>
      </c>
      <c r="FF28" s="722">
        <v>804550.16732673638</v>
      </c>
    </row>
    <row r="29" spans="1:162" ht="15">
      <c r="A29"/>
      <c r="B29" s="37" t="s">
        <v>39</v>
      </c>
      <c r="C29" s="136" t="e">
        <f>'Old OSAR'!K40</f>
        <v>#REF!</v>
      </c>
      <c r="D29" s="1121">
        <f t="shared" si="12"/>
        <v>167714.51958257446</v>
      </c>
      <c r="E29" s="368" t="e">
        <f>C29-D29</f>
        <v>#REF!</v>
      </c>
      <c r="F29" s="184" t="e">
        <f t="shared" si="14"/>
        <v>#REF!</v>
      </c>
      <c r="G29" s="342"/>
      <c r="H29" s="364">
        <f>'2025 Budget'!U32</f>
        <v>168764.36</v>
      </c>
      <c r="I29" s="370" t="e">
        <f t="shared" si="8"/>
        <v>#REF!</v>
      </c>
      <c r="J29" s="371" t="e">
        <f t="shared" si="15"/>
        <v>#REF!</v>
      </c>
      <c r="K29" s="342"/>
      <c r="L29" s="361"/>
      <c r="M29" s="33"/>
      <c r="O29" s="682" t="s">
        <v>613</v>
      </c>
      <c r="P29" s="728">
        <v>1739.8143181818184</v>
      </c>
      <c r="Q29" s="725">
        <v>1655.4522165459355</v>
      </c>
      <c r="R29" s="725">
        <v>1732.8059131092568</v>
      </c>
      <c r="S29" s="725">
        <v>1911.9284646085373</v>
      </c>
      <c r="T29" s="725">
        <v>2116.8426677800121</v>
      </c>
      <c r="U29" s="725">
        <v>2170.1728515209315</v>
      </c>
      <c r="V29" s="725">
        <v>2222.0313256024797</v>
      </c>
      <c r="W29" s="725">
        <v>2288.6922653705565</v>
      </c>
      <c r="X29" s="725">
        <v>2357.3530333316758</v>
      </c>
      <c r="Y29" s="725">
        <v>2428.0736243316283</v>
      </c>
      <c r="Z29" s="725">
        <v>2500.9158330615796</v>
      </c>
      <c r="AA29" s="725">
        <v>2575.94330805343</v>
      </c>
      <c r="AB29" s="729"/>
      <c r="AC29" s="714"/>
      <c r="AD29" s="728">
        <v>1739.8143181818184</v>
      </c>
      <c r="AE29" s="670"/>
      <c r="AF29" s="656"/>
      <c r="AG29" s="662"/>
      <c r="AH29" s="662"/>
      <c r="AI29" s="662"/>
      <c r="AJ29" s="662"/>
      <c r="AK29" s="662"/>
      <c r="AL29" s="662"/>
      <c r="AM29" s="662"/>
      <c r="AN29" s="662"/>
      <c r="AO29" s="662"/>
      <c r="AP29" s="662"/>
      <c r="AQ29" s="662"/>
      <c r="AR29" s="662"/>
      <c r="AS29" s="662"/>
      <c r="AT29" s="662"/>
      <c r="AU29" s="662"/>
      <c r="AV29" s="662"/>
      <c r="AW29" s="662"/>
      <c r="AX29" s="662"/>
      <c r="AY29" s="662"/>
      <c r="AZ29" s="662"/>
      <c r="BA29" s="662"/>
      <c r="BB29" s="662"/>
      <c r="BC29" s="662"/>
      <c r="BD29" s="662"/>
      <c r="BE29" s="662"/>
      <c r="BF29" s="662"/>
      <c r="BG29" s="662"/>
      <c r="BH29" s="662"/>
      <c r="BI29" s="662"/>
      <c r="BJ29" s="662"/>
      <c r="BK29" s="662"/>
      <c r="BL29" s="662"/>
      <c r="BM29" s="662"/>
      <c r="BN29" s="662"/>
      <c r="BO29" s="662"/>
      <c r="BP29" s="662"/>
      <c r="BQ29" s="662"/>
      <c r="BR29" s="662"/>
      <c r="BS29" s="662"/>
      <c r="BT29" s="662"/>
      <c r="BU29" s="662"/>
      <c r="BV29" s="662"/>
      <c r="BW29" s="662"/>
      <c r="BX29" s="662"/>
      <c r="BY29" s="662"/>
      <c r="BZ29" s="662"/>
      <c r="CA29" s="662"/>
      <c r="CB29" s="662"/>
      <c r="CC29" s="662"/>
      <c r="CD29" s="662"/>
      <c r="CE29" s="662"/>
      <c r="CF29" s="662"/>
      <c r="CG29" s="662"/>
      <c r="CH29" s="662"/>
      <c r="CI29" s="662"/>
      <c r="CJ29" s="662"/>
      <c r="CK29" s="662"/>
      <c r="CL29" s="662"/>
      <c r="CM29" s="662"/>
      <c r="CN29" s="662"/>
      <c r="CO29" s="662"/>
      <c r="CP29" s="662"/>
      <c r="CQ29" s="662"/>
      <c r="CR29" s="662"/>
      <c r="CS29" s="662"/>
      <c r="CT29" s="662"/>
      <c r="CU29" s="662"/>
      <c r="CV29" s="662"/>
      <c r="CW29" s="662"/>
      <c r="CX29" s="662"/>
      <c r="CY29" s="662"/>
      <c r="CZ29" s="662"/>
      <c r="DA29" s="662"/>
      <c r="DB29" s="662"/>
      <c r="DC29" s="662"/>
      <c r="DD29" s="662"/>
      <c r="DE29" s="662"/>
      <c r="DF29" s="662"/>
      <c r="DG29" s="662"/>
      <c r="DH29" s="662"/>
      <c r="DI29" s="662"/>
      <c r="DJ29" s="662"/>
      <c r="DK29" s="662"/>
      <c r="DL29" s="662"/>
      <c r="DM29" s="662"/>
      <c r="DN29" s="662"/>
      <c r="DO29" s="662"/>
      <c r="DP29" s="662"/>
      <c r="DQ29" s="662"/>
      <c r="DR29" s="662"/>
      <c r="DS29" s="662"/>
      <c r="DT29" s="662"/>
      <c r="DU29" s="662"/>
      <c r="DV29" s="662"/>
      <c r="DW29" s="662"/>
      <c r="DX29" s="662"/>
      <c r="DY29" s="662"/>
      <c r="DZ29" s="662"/>
      <c r="EA29" s="662"/>
      <c r="EB29" s="662"/>
      <c r="EC29" s="662"/>
      <c r="ED29" s="662"/>
      <c r="EE29" s="662"/>
      <c r="EF29" s="662"/>
      <c r="EG29" s="662"/>
      <c r="EH29" s="662"/>
      <c r="EI29" s="662"/>
      <c r="EJ29" s="662"/>
      <c r="EK29" s="662"/>
      <c r="EL29" s="662"/>
      <c r="EM29" s="662"/>
      <c r="EN29" s="662"/>
      <c r="EO29" s="662"/>
      <c r="EP29" s="662"/>
      <c r="EQ29" s="662"/>
      <c r="ER29" s="662"/>
      <c r="ES29" s="662"/>
      <c r="ET29" s="662"/>
      <c r="EU29" s="662"/>
      <c r="EV29" s="662"/>
      <c r="EW29" s="662"/>
      <c r="EX29" s="662"/>
      <c r="EY29" s="662"/>
      <c r="EZ29" s="662"/>
      <c r="FA29" s="662"/>
      <c r="FB29" s="662"/>
      <c r="FC29" s="662"/>
      <c r="FD29" s="662"/>
      <c r="FE29" s="662"/>
      <c r="FF29" s="662"/>
    </row>
    <row r="30" spans="1:162" ht="15">
      <c r="A30"/>
      <c r="B30" s="37" t="s">
        <v>40</v>
      </c>
      <c r="C30" s="136" t="e">
        <f>'Old OSAR'!K40</f>
        <v>#REF!</v>
      </c>
      <c r="D30" s="1121">
        <f t="shared" si="12"/>
        <v>646800</v>
      </c>
      <c r="E30" s="368" t="e">
        <f t="shared" si="13"/>
        <v>#REF!</v>
      </c>
      <c r="F30" s="184" t="e">
        <f t="shared" si="14"/>
        <v>#REF!</v>
      </c>
      <c r="G30" s="342"/>
      <c r="H30" s="364">
        <f>'2025 Budget'!U33</f>
        <v>537465.12</v>
      </c>
      <c r="I30" s="368" t="e">
        <f t="shared" si="8"/>
        <v>#REF!</v>
      </c>
      <c r="J30" s="184" t="e">
        <f t="shared" si="15"/>
        <v>#REF!</v>
      </c>
      <c r="K30" s="342"/>
      <c r="L30" s="357"/>
      <c r="O30" s="682"/>
      <c r="P30" s="730"/>
      <c r="Q30" s="725"/>
      <c r="R30" s="725"/>
      <c r="S30" s="732"/>
      <c r="T30" s="732"/>
      <c r="U30" s="732"/>
      <c r="V30" s="725"/>
      <c r="W30" s="725"/>
      <c r="X30" s="725"/>
      <c r="Y30" s="725"/>
      <c r="Z30" s="725"/>
      <c r="AA30" s="725"/>
      <c r="AB30" s="733"/>
      <c r="AC30" s="714"/>
      <c r="AD30" s="730"/>
      <c r="AE30" s="656"/>
      <c r="AF30" s="656"/>
      <c r="AG30" s="662"/>
      <c r="AH30" s="662"/>
      <c r="AI30" s="662"/>
      <c r="AJ30" s="662"/>
      <c r="AK30" s="662"/>
      <c r="AL30" s="662"/>
      <c r="AM30" s="662"/>
      <c r="AN30" s="662"/>
      <c r="AO30" s="662"/>
      <c r="AP30" s="662"/>
      <c r="AQ30" s="662"/>
      <c r="AR30" s="662"/>
      <c r="AS30" s="662"/>
      <c r="AT30" s="662"/>
      <c r="AU30" s="662"/>
      <c r="AV30" s="662"/>
      <c r="AW30" s="662"/>
      <c r="AX30" s="662"/>
      <c r="AY30" s="662"/>
      <c r="AZ30" s="662"/>
      <c r="BA30" s="662"/>
      <c r="BB30" s="662"/>
      <c r="BC30" s="662"/>
      <c r="BD30" s="662"/>
      <c r="BE30" s="662"/>
      <c r="BF30" s="662"/>
      <c r="BG30" s="662"/>
      <c r="BH30" s="662"/>
      <c r="BI30" s="662"/>
      <c r="BJ30" s="662"/>
      <c r="BK30" s="662"/>
      <c r="BL30" s="662"/>
      <c r="BM30" s="662"/>
      <c r="BN30" s="662"/>
      <c r="BO30" s="662"/>
      <c r="BP30" s="662"/>
      <c r="BQ30" s="662"/>
      <c r="BR30" s="662"/>
      <c r="BS30" s="662"/>
      <c r="BT30" s="662"/>
      <c r="BU30" s="662"/>
      <c r="BV30" s="662"/>
      <c r="BW30" s="662"/>
      <c r="BX30" s="662"/>
      <c r="BY30" s="662"/>
      <c r="BZ30" s="662"/>
      <c r="CA30" s="662"/>
      <c r="CB30" s="662"/>
      <c r="CC30" s="662"/>
      <c r="CD30" s="662"/>
      <c r="CE30" s="662"/>
      <c r="CF30" s="662"/>
      <c r="CG30" s="662"/>
      <c r="CH30" s="662"/>
      <c r="CI30" s="662"/>
      <c r="CJ30" s="662"/>
      <c r="CK30" s="662"/>
      <c r="CL30" s="662"/>
      <c r="CM30" s="662"/>
      <c r="CN30" s="662"/>
      <c r="CO30" s="662"/>
      <c r="CP30" s="662"/>
      <c r="CQ30" s="662"/>
      <c r="CR30" s="662"/>
      <c r="CS30" s="662"/>
      <c r="CT30" s="662"/>
      <c r="CU30" s="662"/>
      <c r="CV30" s="662"/>
      <c r="CW30" s="662"/>
      <c r="CX30" s="662"/>
      <c r="CY30" s="662"/>
      <c r="CZ30" s="662"/>
      <c r="DA30" s="662"/>
      <c r="DB30" s="662"/>
      <c r="DC30" s="662"/>
      <c r="DD30" s="662"/>
      <c r="DE30" s="662"/>
      <c r="DF30" s="662"/>
      <c r="DG30" s="662"/>
      <c r="DH30" s="662"/>
      <c r="DI30" s="662"/>
      <c r="DJ30" s="662"/>
      <c r="DK30" s="662"/>
      <c r="DL30" s="662"/>
      <c r="DM30" s="662"/>
      <c r="DN30" s="662"/>
      <c r="DO30" s="662"/>
      <c r="DP30" s="662"/>
      <c r="DQ30" s="662"/>
      <c r="DR30" s="662"/>
      <c r="DS30" s="662"/>
      <c r="DT30" s="662"/>
      <c r="DU30" s="662"/>
      <c r="DV30" s="662"/>
      <c r="DW30" s="662"/>
      <c r="DX30" s="662"/>
      <c r="DY30" s="662"/>
      <c r="DZ30" s="662"/>
      <c r="EA30" s="662"/>
      <c r="EB30" s="662"/>
      <c r="EC30" s="662"/>
      <c r="ED30" s="662"/>
      <c r="EE30" s="662"/>
      <c r="EF30" s="662"/>
      <c r="EG30" s="662"/>
      <c r="EH30" s="662"/>
      <c r="EI30" s="662"/>
      <c r="EJ30" s="662"/>
      <c r="EK30" s="662"/>
      <c r="EL30" s="662"/>
      <c r="EM30" s="662"/>
      <c r="EN30" s="662"/>
      <c r="EO30" s="662"/>
      <c r="EP30" s="662"/>
      <c r="EQ30" s="662"/>
      <c r="ER30" s="662"/>
      <c r="ES30" s="662"/>
      <c r="ET30" s="662"/>
      <c r="EU30" s="662"/>
      <c r="EV30" s="662"/>
      <c r="EW30" s="662"/>
      <c r="EX30" s="662"/>
      <c r="EY30" s="662"/>
      <c r="EZ30" s="662"/>
      <c r="FA30" s="662"/>
      <c r="FB30" s="662"/>
      <c r="FC30" s="662"/>
      <c r="FD30" s="662"/>
      <c r="FE30" s="662"/>
      <c r="FF30" s="662"/>
    </row>
    <row r="31" spans="1:162" ht="15">
      <c r="A31"/>
      <c r="B31" s="41" t="s">
        <v>41</v>
      </c>
      <c r="C31" s="136">
        <f>'Old OSAR'!K41</f>
        <v>0</v>
      </c>
      <c r="D31" s="1121">
        <f t="shared" si="12"/>
        <v>261800</v>
      </c>
      <c r="E31" s="368">
        <f t="shared" si="13"/>
        <v>-261800</v>
      </c>
      <c r="F31" s="184">
        <f t="shared" si="14"/>
        <v>-1</v>
      </c>
      <c r="G31" s="342"/>
      <c r="H31" s="364">
        <f>'2025 Budget'!U34</f>
        <v>79996.399999999994</v>
      </c>
      <c r="I31" s="368">
        <f t="shared" si="8"/>
        <v>79996.399999999994</v>
      </c>
      <c r="J31" s="184" t="e">
        <f t="shared" si="15"/>
        <v>#DIV/0!</v>
      </c>
      <c r="K31" s="342"/>
      <c r="L31"/>
      <c r="M31" s="37" t="s">
        <v>31</v>
      </c>
      <c r="O31" s="682" t="s">
        <v>634</v>
      </c>
      <c r="P31" s="686">
        <v>343715.6</v>
      </c>
      <c r="Q31" s="725">
        <v>369600</v>
      </c>
      <c r="R31" s="725">
        <v>380688</v>
      </c>
      <c r="S31" s="725">
        <v>392108.64</v>
      </c>
      <c r="T31" s="725">
        <v>403871.89920000004</v>
      </c>
      <c r="U31" s="725">
        <v>415988.05617600004</v>
      </c>
      <c r="V31" s="725">
        <v>428467.69786128006</v>
      </c>
      <c r="W31" s="725">
        <v>441321.72879711847</v>
      </c>
      <c r="X31" s="725">
        <v>454561.38066103205</v>
      </c>
      <c r="Y31" s="725">
        <v>468198.22208086302</v>
      </c>
      <c r="Z31" s="725">
        <v>482244.1687432889</v>
      </c>
      <c r="AA31" s="725">
        <v>496711.49380558758</v>
      </c>
      <c r="AB31" s="727"/>
      <c r="AC31" s="714" t="s">
        <v>634</v>
      </c>
      <c r="AD31" s="686">
        <v>343715.6</v>
      </c>
      <c r="AE31" s="659">
        <v>30800</v>
      </c>
      <c r="AF31" s="659">
        <v>30800</v>
      </c>
      <c r="AG31" s="659">
        <v>30800</v>
      </c>
      <c r="AH31" s="659">
        <v>30800</v>
      </c>
      <c r="AI31" s="659">
        <v>30800</v>
      </c>
      <c r="AJ31" s="659">
        <v>30800</v>
      </c>
      <c r="AK31" s="659">
        <v>30800</v>
      </c>
      <c r="AL31" s="659">
        <v>30800</v>
      </c>
      <c r="AM31" s="659">
        <v>30800</v>
      </c>
      <c r="AN31" s="659">
        <v>30800</v>
      </c>
      <c r="AO31" s="659">
        <v>30800</v>
      </c>
      <c r="AP31" s="659">
        <v>30800</v>
      </c>
      <c r="AQ31" s="659">
        <v>31724</v>
      </c>
      <c r="AR31" s="659">
        <v>31724</v>
      </c>
      <c r="AS31" s="659">
        <v>31724</v>
      </c>
      <c r="AT31" s="659">
        <v>31724</v>
      </c>
      <c r="AU31" s="659">
        <v>31724</v>
      </c>
      <c r="AV31" s="659">
        <v>31724</v>
      </c>
      <c r="AW31" s="659">
        <v>31724</v>
      </c>
      <c r="AX31" s="659">
        <v>31724</v>
      </c>
      <c r="AY31" s="659">
        <v>31724</v>
      </c>
      <c r="AZ31" s="659">
        <v>31724</v>
      </c>
      <c r="BA31" s="659">
        <v>31724</v>
      </c>
      <c r="BB31" s="659">
        <v>31724</v>
      </c>
      <c r="BC31" s="659">
        <v>32675.72</v>
      </c>
      <c r="BD31" s="659">
        <v>32675.72</v>
      </c>
      <c r="BE31" s="659">
        <v>32675.72</v>
      </c>
      <c r="BF31" s="659">
        <v>32675.72</v>
      </c>
      <c r="BG31" s="659">
        <v>32675.72</v>
      </c>
      <c r="BH31" s="659">
        <v>32675.72</v>
      </c>
      <c r="BI31" s="659">
        <v>32675.72</v>
      </c>
      <c r="BJ31" s="659">
        <v>32675.72</v>
      </c>
      <c r="BK31" s="659">
        <v>32675.72</v>
      </c>
      <c r="BL31" s="659">
        <v>32675.72</v>
      </c>
      <c r="BM31" s="659">
        <v>32675.72</v>
      </c>
      <c r="BN31" s="659">
        <v>32675.72</v>
      </c>
      <c r="BO31" s="659">
        <v>33655.991600000001</v>
      </c>
      <c r="BP31" s="659">
        <v>33655.991600000001</v>
      </c>
      <c r="BQ31" s="659">
        <v>33655.991600000001</v>
      </c>
      <c r="BR31" s="659">
        <v>33655.991600000001</v>
      </c>
      <c r="BS31" s="659">
        <v>33655.991600000001</v>
      </c>
      <c r="BT31" s="659">
        <v>33655.991600000001</v>
      </c>
      <c r="BU31" s="659">
        <v>33655.991600000001</v>
      </c>
      <c r="BV31" s="659">
        <v>33655.991600000001</v>
      </c>
      <c r="BW31" s="659">
        <v>33655.991600000001</v>
      </c>
      <c r="BX31" s="659">
        <v>33655.991600000001</v>
      </c>
      <c r="BY31" s="659">
        <v>33655.991600000001</v>
      </c>
      <c r="BZ31" s="659">
        <v>33655.991600000001</v>
      </c>
      <c r="CA31" s="659">
        <v>34665.671348000003</v>
      </c>
      <c r="CB31" s="659">
        <v>34665.671348000003</v>
      </c>
      <c r="CC31" s="659">
        <v>34665.671348000003</v>
      </c>
      <c r="CD31" s="659">
        <v>34665.671348000003</v>
      </c>
      <c r="CE31" s="659">
        <v>34665.671348000003</v>
      </c>
      <c r="CF31" s="659">
        <v>34665.671348000003</v>
      </c>
      <c r="CG31" s="659">
        <v>34665.671348000003</v>
      </c>
      <c r="CH31" s="659">
        <v>34665.671348000003</v>
      </c>
      <c r="CI31" s="659">
        <v>34665.671348000003</v>
      </c>
      <c r="CJ31" s="659">
        <v>34665.671348000003</v>
      </c>
      <c r="CK31" s="659">
        <v>34665.671348000003</v>
      </c>
      <c r="CL31" s="659">
        <v>34665.671348000003</v>
      </c>
      <c r="CM31" s="659">
        <v>35705.641488440007</v>
      </c>
      <c r="CN31" s="659">
        <v>35705.641488440007</v>
      </c>
      <c r="CO31" s="659">
        <v>35705.641488440007</v>
      </c>
      <c r="CP31" s="659">
        <v>35705.641488440007</v>
      </c>
      <c r="CQ31" s="659">
        <v>35705.641488440007</v>
      </c>
      <c r="CR31" s="659">
        <v>35705.641488440007</v>
      </c>
      <c r="CS31" s="659">
        <v>35705.641488440007</v>
      </c>
      <c r="CT31" s="659">
        <v>35705.641488440007</v>
      </c>
      <c r="CU31" s="659">
        <v>35705.641488440007</v>
      </c>
      <c r="CV31" s="659">
        <v>35705.641488440007</v>
      </c>
      <c r="CW31" s="659">
        <v>35705.641488440007</v>
      </c>
      <c r="CX31" s="659">
        <v>35705.641488440007</v>
      </c>
      <c r="CY31" s="659">
        <v>36776.810733093203</v>
      </c>
      <c r="CZ31" s="659">
        <v>36776.810733093203</v>
      </c>
      <c r="DA31" s="659">
        <v>36776.810733093203</v>
      </c>
      <c r="DB31" s="659">
        <v>36776.810733093203</v>
      </c>
      <c r="DC31" s="659">
        <v>36776.810733093203</v>
      </c>
      <c r="DD31" s="659">
        <v>36776.810733093203</v>
      </c>
      <c r="DE31" s="659">
        <v>36776.810733093203</v>
      </c>
      <c r="DF31" s="659">
        <v>36776.810733093203</v>
      </c>
      <c r="DG31" s="659">
        <v>36776.810733093203</v>
      </c>
      <c r="DH31" s="659">
        <v>36776.810733093203</v>
      </c>
      <c r="DI31" s="659">
        <v>36776.810733093203</v>
      </c>
      <c r="DJ31" s="659">
        <v>36776.810733093203</v>
      </c>
      <c r="DK31" s="659">
        <v>37880.115055086004</v>
      </c>
      <c r="DL31" s="659">
        <v>37880.115055086004</v>
      </c>
      <c r="DM31" s="659">
        <v>37880.115055086004</v>
      </c>
      <c r="DN31" s="659">
        <v>37880.115055086004</v>
      </c>
      <c r="DO31" s="659">
        <v>37880.115055086004</v>
      </c>
      <c r="DP31" s="659">
        <v>37880.115055086004</v>
      </c>
      <c r="DQ31" s="659">
        <v>37880.115055086004</v>
      </c>
      <c r="DR31" s="659">
        <v>37880.115055086004</v>
      </c>
      <c r="DS31" s="659">
        <v>37880.115055086004</v>
      </c>
      <c r="DT31" s="659">
        <v>37880.115055086004</v>
      </c>
      <c r="DU31" s="659">
        <v>37880.115055086004</v>
      </c>
      <c r="DV31" s="659">
        <v>37880.115055086004</v>
      </c>
      <c r="DW31" s="659">
        <v>39016.518506738583</v>
      </c>
      <c r="DX31" s="659">
        <v>39016.518506738583</v>
      </c>
      <c r="DY31" s="659">
        <v>39016.518506738583</v>
      </c>
      <c r="DZ31" s="659">
        <v>39016.518506738583</v>
      </c>
      <c r="EA31" s="659">
        <v>39016.518506738583</v>
      </c>
      <c r="EB31" s="659">
        <v>39016.518506738583</v>
      </c>
      <c r="EC31" s="659">
        <v>39016.518506738583</v>
      </c>
      <c r="ED31" s="659">
        <v>39016.518506738583</v>
      </c>
      <c r="EE31" s="659">
        <v>39016.518506738583</v>
      </c>
      <c r="EF31" s="659">
        <v>39016.518506738583</v>
      </c>
      <c r="EG31" s="659">
        <v>39016.518506738583</v>
      </c>
      <c r="EH31" s="659">
        <v>39016.518506738583</v>
      </c>
      <c r="EI31" s="659">
        <v>40187.014061940739</v>
      </c>
      <c r="EJ31" s="659">
        <v>40187.014061940739</v>
      </c>
      <c r="EK31" s="659">
        <v>40187.014061940739</v>
      </c>
      <c r="EL31" s="659">
        <v>40187.014061940739</v>
      </c>
      <c r="EM31" s="659">
        <v>40187.014061940739</v>
      </c>
      <c r="EN31" s="659">
        <v>40187.014061940739</v>
      </c>
      <c r="EO31" s="659">
        <v>40187.014061940739</v>
      </c>
      <c r="EP31" s="659">
        <v>40187.014061940739</v>
      </c>
      <c r="EQ31" s="659">
        <v>40187.014061940739</v>
      </c>
      <c r="ER31" s="659">
        <v>40187.014061940739</v>
      </c>
      <c r="ES31" s="659">
        <v>40187.014061940739</v>
      </c>
      <c r="ET31" s="659">
        <v>40187.014061940739</v>
      </c>
      <c r="EU31" s="659">
        <v>41392.624483798965</v>
      </c>
      <c r="EV31" s="659">
        <v>41392.624483798965</v>
      </c>
      <c r="EW31" s="659">
        <v>41392.624483798965</v>
      </c>
      <c r="EX31" s="659">
        <v>41392.624483798965</v>
      </c>
      <c r="EY31" s="659">
        <v>41392.624483798965</v>
      </c>
      <c r="EZ31" s="659">
        <v>41392.624483798965</v>
      </c>
      <c r="FA31" s="659">
        <v>41392.624483798965</v>
      </c>
      <c r="FB31" s="659">
        <v>41392.624483798965</v>
      </c>
      <c r="FC31" s="659">
        <v>41392.624483798965</v>
      </c>
      <c r="FD31" s="659">
        <v>41392.624483798965</v>
      </c>
      <c r="FE31" s="659">
        <v>41392.624483798965</v>
      </c>
      <c r="FF31" s="659">
        <v>41392.624483798965</v>
      </c>
    </row>
    <row r="32" spans="1:162" ht="15">
      <c r="A32"/>
      <c r="B32" s="37" t="s">
        <v>42</v>
      </c>
      <c r="C32" s="136">
        <f>'Old OSAR'!K42</f>
        <v>0</v>
      </c>
      <c r="D32" s="1121">
        <f t="shared" si="12"/>
        <v>0</v>
      </c>
      <c r="E32" s="369">
        <f t="shared" si="13"/>
        <v>0</v>
      </c>
      <c r="F32" s="183" t="e">
        <f t="shared" si="14"/>
        <v>#DIV/0!</v>
      </c>
      <c r="G32" s="342"/>
      <c r="H32" s="364">
        <f>'2025 Budget'!U35</f>
        <v>6475.1999999999989</v>
      </c>
      <c r="I32" s="370">
        <f t="shared" si="8"/>
        <v>6475.1999999999989</v>
      </c>
      <c r="J32" s="371" t="e">
        <f t="shared" si="15"/>
        <v>#DIV/0!</v>
      </c>
      <c r="K32" s="342"/>
      <c r="L32"/>
      <c r="M32" s="37" t="s">
        <v>31</v>
      </c>
      <c r="O32" s="682" t="s">
        <v>635</v>
      </c>
      <c r="P32" s="686">
        <v>0</v>
      </c>
      <c r="Q32" s="725">
        <v>47024.474112290263</v>
      </c>
      <c r="R32" s="725">
        <v>126089.97394716014</v>
      </c>
      <c r="S32" s="725">
        <v>139458.07098557995</v>
      </c>
      <c r="T32" s="725">
        <v>143641.81311514747</v>
      </c>
      <c r="U32" s="725">
        <v>147951.06750860211</v>
      </c>
      <c r="V32" s="725">
        <v>152389.59953386037</v>
      </c>
      <c r="W32" s="725">
        <v>156961.28751987635</v>
      </c>
      <c r="X32" s="725">
        <v>161670.12614547275</v>
      </c>
      <c r="Y32" s="725">
        <v>166520.22992983708</v>
      </c>
      <c r="Z32" s="725">
        <v>171515.83682773236</v>
      </c>
      <c r="AA32" s="725">
        <v>176661.31193256433</v>
      </c>
      <c r="AB32" s="727"/>
      <c r="AC32" s="714" t="s">
        <v>635</v>
      </c>
      <c r="AD32" s="686">
        <v>0</v>
      </c>
      <c r="AE32" s="734">
        <v>3918.7061760241886</v>
      </c>
      <c r="AF32" s="734">
        <v>3918.7061760241886</v>
      </c>
      <c r="AG32" s="734">
        <v>3918.7061760241886</v>
      </c>
      <c r="AH32" s="734">
        <v>3918.7061760241886</v>
      </c>
      <c r="AI32" s="734">
        <v>3918.7061760241886</v>
      </c>
      <c r="AJ32" s="734">
        <v>3918.7061760241886</v>
      </c>
      <c r="AK32" s="734">
        <v>3918.7061760241886</v>
      </c>
      <c r="AL32" s="734">
        <v>3918.7061760241886</v>
      </c>
      <c r="AM32" s="734">
        <v>3918.7061760241886</v>
      </c>
      <c r="AN32" s="734">
        <v>3918.7061760241886</v>
      </c>
      <c r="AO32" s="734">
        <v>3918.7061760241886</v>
      </c>
      <c r="AP32" s="734">
        <v>3918.7061760241886</v>
      </c>
      <c r="AQ32" s="734">
        <v>10507.497828930011</v>
      </c>
      <c r="AR32" s="734">
        <v>10507.497828930011</v>
      </c>
      <c r="AS32" s="734">
        <v>10507.497828930011</v>
      </c>
      <c r="AT32" s="734">
        <v>10507.497828930011</v>
      </c>
      <c r="AU32" s="734">
        <v>10507.497828930011</v>
      </c>
      <c r="AV32" s="734">
        <v>10507.497828930011</v>
      </c>
      <c r="AW32" s="734">
        <v>10507.497828930011</v>
      </c>
      <c r="AX32" s="734">
        <v>10507.497828930011</v>
      </c>
      <c r="AY32" s="734">
        <v>10507.497828930011</v>
      </c>
      <c r="AZ32" s="734">
        <v>10507.497828930011</v>
      </c>
      <c r="BA32" s="734">
        <v>10507.497828930011</v>
      </c>
      <c r="BB32" s="734">
        <v>10507.497828930011</v>
      </c>
      <c r="BC32" s="734">
        <v>11621.505915464995</v>
      </c>
      <c r="BD32" s="734">
        <v>11621.505915464995</v>
      </c>
      <c r="BE32" s="734">
        <v>11621.505915464995</v>
      </c>
      <c r="BF32" s="734">
        <v>11621.505915464995</v>
      </c>
      <c r="BG32" s="734">
        <v>11621.505915464995</v>
      </c>
      <c r="BH32" s="734">
        <v>11621.505915464995</v>
      </c>
      <c r="BI32" s="734">
        <v>11621.505915464995</v>
      </c>
      <c r="BJ32" s="734">
        <v>11621.505915464995</v>
      </c>
      <c r="BK32" s="734">
        <v>11621.505915464995</v>
      </c>
      <c r="BL32" s="734">
        <v>11621.505915464995</v>
      </c>
      <c r="BM32" s="734">
        <v>11621.505915464995</v>
      </c>
      <c r="BN32" s="734">
        <v>11621.505915464995</v>
      </c>
      <c r="BO32" s="734">
        <v>11970.151092928956</v>
      </c>
      <c r="BP32" s="734">
        <v>11970.151092928956</v>
      </c>
      <c r="BQ32" s="734">
        <v>11970.151092928956</v>
      </c>
      <c r="BR32" s="734">
        <v>11970.151092928956</v>
      </c>
      <c r="BS32" s="734">
        <v>11970.151092928956</v>
      </c>
      <c r="BT32" s="734">
        <v>11970.151092928956</v>
      </c>
      <c r="BU32" s="734">
        <v>11970.151092928956</v>
      </c>
      <c r="BV32" s="734">
        <v>11970.151092928956</v>
      </c>
      <c r="BW32" s="734">
        <v>11970.151092928956</v>
      </c>
      <c r="BX32" s="734">
        <v>11970.151092928956</v>
      </c>
      <c r="BY32" s="734">
        <v>11970.151092928956</v>
      </c>
      <c r="BZ32" s="734">
        <v>11970.151092928956</v>
      </c>
      <c r="CA32" s="734">
        <v>12329.255625716842</v>
      </c>
      <c r="CB32" s="734">
        <v>12329.255625716842</v>
      </c>
      <c r="CC32" s="734">
        <v>12329.255625716842</v>
      </c>
      <c r="CD32" s="734">
        <v>12329.255625716842</v>
      </c>
      <c r="CE32" s="734">
        <v>12329.255625716842</v>
      </c>
      <c r="CF32" s="734">
        <v>12329.255625716842</v>
      </c>
      <c r="CG32" s="734">
        <v>12329.255625716842</v>
      </c>
      <c r="CH32" s="734">
        <v>12329.255625716842</v>
      </c>
      <c r="CI32" s="734">
        <v>12329.255625716842</v>
      </c>
      <c r="CJ32" s="734">
        <v>12329.255625716842</v>
      </c>
      <c r="CK32" s="734">
        <v>12329.255625716842</v>
      </c>
      <c r="CL32" s="734">
        <v>12329.255625716842</v>
      </c>
      <c r="CM32" s="734">
        <v>12699.133294488363</v>
      </c>
      <c r="CN32" s="734">
        <v>12699.133294488363</v>
      </c>
      <c r="CO32" s="734">
        <v>12699.133294488363</v>
      </c>
      <c r="CP32" s="734">
        <v>12699.133294488363</v>
      </c>
      <c r="CQ32" s="734">
        <v>12699.133294488363</v>
      </c>
      <c r="CR32" s="734">
        <v>12699.133294488363</v>
      </c>
      <c r="CS32" s="734">
        <v>12699.133294488363</v>
      </c>
      <c r="CT32" s="734">
        <v>12699.133294488363</v>
      </c>
      <c r="CU32" s="734">
        <v>12699.133294488363</v>
      </c>
      <c r="CV32" s="734">
        <v>12699.133294488363</v>
      </c>
      <c r="CW32" s="734">
        <v>12699.133294488363</v>
      </c>
      <c r="CX32" s="734">
        <v>12699.133294488363</v>
      </c>
      <c r="CY32" s="734">
        <v>13080.10729332303</v>
      </c>
      <c r="CZ32" s="734">
        <v>13080.10729332303</v>
      </c>
      <c r="DA32" s="734">
        <v>13080.10729332303</v>
      </c>
      <c r="DB32" s="734">
        <v>13080.10729332303</v>
      </c>
      <c r="DC32" s="734">
        <v>13080.10729332303</v>
      </c>
      <c r="DD32" s="734">
        <v>13080.10729332303</v>
      </c>
      <c r="DE32" s="734">
        <v>13080.10729332303</v>
      </c>
      <c r="DF32" s="734">
        <v>13080.10729332303</v>
      </c>
      <c r="DG32" s="734">
        <v>13080.10729332303</v>
      </c>
      <c r="DH32" s="734">
        <v>13080.10729332303</v>
      </c>
      <c r="DI32" s="734">
        <v>13080.10729332303</v>
      </c>
      <c r="DJ32" s="734">
        <v>13080.10729332303</v>
      </c>
      <c r="DK32" s="734">
        <v>13472.51051212273</v>
      </c>
      <c r="DL32" s="734">
        <v>13472.51051212273</v>
      </c>
      <c r="DM32" s="734">
        <v>13472.51051212273</v>
      </c>
      <c r="DN32" s="734">
        <v>13472.51051212273</v>
      </c>
      <c r="DO32" s="734">
        <v>13472.51051212273</v>
      </c>
      <c r="DP32" s="734">
        <v>13472.51051212273</v>
      </c>
      <c r="DQ32" s="734">
        <v>13472.51051212273</v>
      </c>
      <c r="DR32" s="734">
        <v>13472.51051212273</v>
      </c>
      <c r="DS32" s="734">
        <v>13472.51051212273</v>
      </c>
      <c r="DT32" s="734">
        <v>13472.51051212273</v>
      </c>
      <c r="DU32" s="734">
        <v>13472.51051212273</v>
      </c>
      <c r="DV32" s="734">
        <v>13472.51051212273</v>
      </c>
      <c r="DW32" s="734">
        <v>13876.685827486423</v>
      </c>
      <c r="DX32" s="734">
        <v>13876.685827486423</v>
      </c>
      <c r="DY32" s="734">
        <v>13876.685827486423</v>
      </c>
      <c r="DZ32" s="734">
        <v>13876.685827486423</v>
      </c>
      <c r="EA32" s="734">
        <v>13876.685827486423</v>
      </c>
      <c r="EB32" s="734">
        <v>13876.685827486423</v>
      </c>
      <c r="EC32" s="734">
        <v>13876.685827486423</v>
      </c>
      <c r="ED32" s="734">
        <v>13876.685827486423</v>
      </c>
      <c r="EE32" s="734">
        <v>13876.685827486423</v>
      </c>
      <c r="EF32" s="734">
        <v>13876.685827486423</v>
      </c>
      <c r="EG32" s="734">
        <v>13876.685827486423</v>
      </c>
      <c r="EH32" s="734">
        <v>13876.685827486423</v>
      </c>
      <c r="EI32" s="734">
        <v>14292.986402311029</v>
      </c>
      <c r="EJ32" s="734">
        <v>14292.986402311029</v>
      </c>
      <c r="EK32" s="734">
        <v>14292.986402311029</v>
      </c>
      <c r="EL32" s="734">
        <v>14292.986402311029</v>
      </c>
      <c r="EM32" s="734">
        <v>14292.986402311029</v>
      </c>
      <c r="EN32" s="734">
        <v>14292.986402311029</v>
      </c>
      <c r="EO32" s="734">
        <v>14292.986402311029</v>
      </c>
      <c r="EP32" s="734">
        <v>14292.986402311029</v>
      </c>
      <c r="EQ32" s="734">
        <v>14292.986402311029</v>
      </c>
      <c r="ER32" s="734">
        <v>14292.986402311029</v>
      </c>
      <c r="ES32" s="734">
        <v>14292.986402311029</v>
      </c>
      <c r="ET32" s="734">
        <v>14292.986402311029</v>
      </c>
      <c r="EU32" s="734">
        <v>14721.775994380361</v>
      </c>
      <c r="EV32" s="734">
        <v>14721.775994380361</v>
      </c>
      <c r="EW32" s="734">
        <v>14721.775994380361</v>
      </c>
      <c r="EX32" s="734">
        <v>14721.775994380361</v>
      </c>
      <c r="EY32" s="734">
        <v>14721.775994380361</v>
      </c>
      <c r="EZ32" s="734">
        <v>14721.775994380361</v>
      </c>
      <c r="FA32" s="734">
        <v>14721.775994380361</v>
      </c>
      <c r="FB32" s="734">
        <v>14721.775994380361</v>
      </c>
      <c r="FC32" s="734">
        <v>14721.775994380361</v>
      </c>
      <c r="FD32" s="734">
        <v>14721.775994380361</v>
      </c>
      <c r="FE32" s="734">
        <v>14721.775994380361</v>
      </c>
      <c r="FF32" s="734">
        <v>14721.775994380361</v>
      </c>
    </row>
    <row r="33" spans="1:162" ht="15">
      <c r="A33"/>
      <c r="B33" s="37" t="s">
        <v>43</v>
      </c>
      <c r="C33" s="136">
        <f>'Old OSAR'!K43</f>
        <v>0</v>
      </c>
      <c r="D33" s="1121">
        <f t="shared" si="12"/>
        <v>123200</v>
      </c>
      <c r="E33" s="368">
        <f t="shared" si="13"/>
        <v>-123200</v>
      </c>
      <c r="F33" s="184">
        <f t="shared" si="14"/>
        <v>-1</v>
      </c>
      <c r="G33" s="342"/>
      <c r="H33" s="364">
        <f>'2025 Budget'!U36</f>
        <v>134336.84000000003</v>
      </c>
      <c r="I33" s="370">
        <f t="shared" si="8"/>
        <v>134336.84000000003</v>
      </c>
      <c r="J33" s="371" t="e">
        <f t="shared" si="15"/>
        <v>#DIV/0!</v>
      </c>
      <c r="K33" s="342"/>
      <c r="L33" s="388"/>
      <c r="M33" s="37" t="s">
        <v>31</v>
      </c>
      <c r="O33" s="682" t="s">
        <v>636</v>
      </c>
      <c r="P33" s="686">
        <v>71785.88</v>
      </c>
      <c r="Q33" s="725">
        <v>73920</v>
      </c>
      <c r="R33" s="725">
        <v>76137.600000000006</v>
      </c>
      <c r="S33" s="725">
        <v>78421.728000000003</v>
      </c>
      <c r="T33" s="725">
        <v>80774.379840000009</v>
      </c>
      <c r="U33" s="725">
        <v>83197.611235200005</v>
      </c>
      <c r="V33" s="725">
        <v>85693.539572256006</v>
      </c>
      <c r="W33" s="725">
        <v>88264.345759423682</v>
      </c>
      <c r="X33" s="725">
        <v>90912.276132206389</v>
      </c>
      <c r="Y33" s="725">
        <v>93639.644416172581</v>
      </c>
      <c r="Z33" s="725">
        <v>96448.833748657766</v>
      </c>
      <c r="AA33" s="725">
        <v>99342.298761117505</v>
      </c>
      <c r="AB33" s="727"/>
      <c r="AC33" s="714" t="s">
        <v>636</v>
      </c>
      <c r="AD33" s="686">
        <v>71785.88</v>
      </c>
      <c r="AE33" s="659">
        <v>6160</v>
      </c>
      <c r="AF33" s="659">
        <v>6160</v>
      </c>
      <c r="AG33" s="659">
        <v>6160</v>
      </c>
      <c r="AH33" s="659">
        <v>6160</v>
      </c>
      <c r="AI33" s="659">
        <v>6160</v>
      </c>
      <c r="AJ33" s="659">
        <v>6160</v>
      </c>
      <c r="AK33" s="659">
        <v>6160</v>
      </c>
      <c r="AL33" s="659">
        <v>6160</v>
      </c>
      <c r="AM33" s="659">
        <v>6160</v>
      </c>
      <c r="AN33" s="659">
        <v>6160</v>
      </c>
      <c r="AO33" s="659">
        <v>6160</v>
      </c>
      <c r="AP33" s="659">
        <v>6160</v>
      </c>
      <c r="AQ33" s="659">
        <v>6344.8</v>
      </c>
      <c r="AR33" s="659">
        <v>6344.8</v>
      </c>
      <c r="AS33" s="659">
        <v>6344.8</v>
      </c>
      <c r="AT33" s="659">
        <v>6344.8</v>
      </c>
      <c r="AU33" s="659">
        <v>6344.8</v>
      </c>
      <c r="AV33" s="659">
        <v>6344.8</v>
      </c>
      <c r="AW33" s="659">
        <v>6344.8</v>
      </c>
      <c r="AX33" s="659">
        <v>6344.8</v>
      </c>
      <c r="AY33" s="659">
        <v>6344.8</v>
      </c>
      <c r="AZ33" s="659">
        <v>6344.8</v>
      </c>
      <c r="BA33" s="659">
        <v>6344.8</v>
      </c>
      <c r="BB33" s="659">
        <v>6344.8</v>
      </c>
      <c r="BC33" s="659">
        <v>6535.1440000000002</v>
      </c>
      <c r="BD33" s="659">
        <v>6535.1440000000002</v>
      </c>
      <c r="BE33" s="659">
        <v>6535.1440000000002</v>
      </c>
      <c r="BF33" s="659">
        <v>6535.1440000000002</v>
      </c>
      <c r="BG33" s="659">
        <v>6535.1440000000002</v>
      </c>
      <c r="BH33" s="659">
        <v>6535.1440000000002</v>
      </c>
      <c r="BI33" s="659">
        <v>6535.1440000000002</v>
      </c>
      <c r="BJ33" s="659">
        <v>6535.1440000000002</v>
      </c>
      <c r="BK33" s="659">
        <v>6535.1440000000002</v>
      </c>
      <c r="BL33" s="659">
        <v>6535.1440000000002</v>
      </c>
      <c r="BM33" s="659">
        <v>6535.1440000000002</v>
      </c>
      <c r="BN33" s="659">
        <v>6535.1440000000002</v>
      </c>
      <c r="BO33" s="659">
        <v>6731.1983200000004</v>
      </c>
      <c r="BP33" s="659">
        <v>6731.1983200000004</v>
      </c>
      <c r="BQ33" s="659">
        <v>6731.1983200000004</v>
      </c>
      <c r="BR33" s="659">
        <v>6731.1983200000004</v>
      </c>
      <c r="BS33" s="659">
        <v>6731.1983200000004</v>
      </c>
      <c r="BT33" s="659">
        <v>6731.1983200000004</v>
      </c>
      <c r="BU33" s="659">
        <v>6731.1983200000004</v>
      </c>
      <c r="BV33" s="659">
        <v>6731.1983200000004</v>
      </c>
      <c r="BW33" s="659">
        <v>6731.1983200000004</v>
      </c>
      <c r="BX33" s="659">
        <v>6731.1983200000004</v>
      </c>
      <c r="BY33" s="659">
        <v>6731.1983200000004</v>
      </c>
      <c r="BZ33" s="659">
        <v>6731.1983200000004</v>
      </c>
      <c r="CA33" s="659">
        <v>6933.1342696000002</v>
      </c>
      <c r="CB33" s="659">
        <v>6933.1342696000002</v>
      </c>
      <c r="CC33" s="659">
        <v>6933.1342696000002</v>
      </c>
      <c r="CD33" s="659">
        <v>6933.1342696000002</v>
      </c>
      <c r="CE33" s="659">
        <v>6933.1342696000002</v>
      </c>
      <c r="CF33" s="659">
        <v>6933.1342696000002</v>
      </c>
      <c r="CG33" s="659">
        <v>6933.1342696000002</v>
      </c>
      <c r="CH33" s="659">
        <v>6933.1342696000002</v>
      </c>
      <c r="CI33" s="659">
        <v>6933.1342696000002</v>
      </c>
      <c r="CJ33" s="659">
        <v>6933.1342696000002</v>
      </c>
      <c r="CK33" s="659">
        <v>6933.1342696000002</v>
      </c>
      <c r="CL33" s="659">
        <v>6933.1342696000002</v>
      </c>
      <c r="CM33" s="659">
        <v>7141.1282976880002</v>
      </c>
      <c r="CN33" s="659">
        <v>7141.1282976880002</v>
      </c>
      <c r="CO33" s="659">
        <v>7141.1282976880002</v>
      </c>
      <c r="CP33" s="659">
        <v>7141.1282976880002</v>
      </c>
      <c r="CQ33" s="659">
        <v>7141.1282976880002</v>
      </c>
      <c r="CR33" s="659">
        <v>7141.1282976880002</v>
      </c>
      <c r="CS33" s="659">
        <v>7141.1282976880002</v>
      </c>
      <c r="CT33" s="659">
        <v>7141.1282976880002</v>
      </c>
      <c r="CU33" s="659">
        <v>7141.1282976880002</v>
      </c>
      <c r="CV33" s="659">
        <v>7141.1282976880002</v>
      </c>
      <c r="CW33" s="659">
        <v>7141.1282976880002</v>
      </c>
      <c r="CX33" s="659">
        <v>7141.1282976880002</v>
      </c>
      <c r="CY33" s="659">
        <v>7355.3621466186405</v>
      </c>
      <c r="CZ33" s="659">
        <v>7355.3621466186405</v>
      </c>
      <c r="DA33" s="659">
        <v>7355.3621466186405</v>
      </c>
      <c r="DB33" s="659">
        <v>7355.3621466186405</v>
      </c>
      <c r="DC33" s="659">
        <v>7355.3621466186405</v>
      </c>
      <c r="DD33" s="659">
        <v>7355.3621466186405</v>
      </c>
      <c r="DE33" s="659">
        <v>7355.3621466186405</v>
      </c>
      <c r="DF33" s="659">
        <v>7355.3621466186405</v>
      </c>
      <c r="DG33" s="659">
        <v>7355.3621466186405</v>
      </c>
      <c r="DH33" s="659">
        <v>7355.3621466186405</v>
      </c>
      <c r="DI33" s="659">
        <v>7355.3621466186405</v>
      </c>
      <c r="DJ33" s="659">
        <v>7355.3621466186405</v>
      </c>
      <c r="DK33" s="659">
        <v>7576.0230110171988</v>
      </c>
      <c r="DL33" s="659">
        <v>7576.0230110171988</v>
      </c>
      <c r="DM33" s="659">
        <v>7576.0230110171988</v>
      </c>
      <c r="DN33" s="659">
        <v>7576.0230110171988</v>
      </c>
      <c r="DO33" s="659">
        <v>7576.0230110171988</v>
      </c>
      <c r="DP33" s="659">
        <v>7576.0230110171988</v>
      </c>
      <c r="DQ33" s="659">
        <v>7576.0230110171988</v>
      </c>
      <c r="DR33" s="659">
        <v>7576.0230110171988</v>
      </c>
      <c r="DS33" s="659">
        <v>7576.0230110171988</v>
      </c>
      <c r="DT33" s="659">
        <v>7576.0230110171988</v>
      </c>
      <c r="DU33" s="659">
        <v>7576.0230110171988</v>
      </c>
      <c r="DV33" s="659">
        <v>7576.0230110171988</v>
      </c>
      <c r="DW33" s="659">
        <v>7803.3037013477151</v>
      </c>
      <c r="DX33" s="659">
        <v>7803.3037013477151</v>
      </c>
      <c r="DY33" s="659">
        <v>7803.3037013477151</v>
      </c>
      <c r="DZ33" s="659">
        <v>7803.3037013477151</v>
      </c>
      <c r="EA33" s="659">
        <v>7803.3037013477151</v>
      </c>
      <c r="EB33" s="659">
        <v>7803.3037013477151</v>
      </c>
      <c r="EC33" s="659">
        <v>7803.3037013477151</v>
      </c>
      <c r="ED33" s="659">
        <v>7803.3037013477151</v>
      </c>
      <c r="EE33" s="659">
        <v>7803.3037013477151</v>
      </c>
      <c r="EF33" s="659">
        <v>7803.3037013477151</v>
      </c>
      <c r="EG33" s="659">
        <v>7803.3037013477151</v>
      </c>
      <c r="EH33" s="659">
        <v>7803.3037013477151</v>
      </c>
      <c r="EI33" s="659">
        <v>8037.4028123881471</v>
      </c>
      <c r="EJ33" s="659">
        <v>8037.4028123881471</v>
      </c>
      <c r="EK33" s="659">
        <v>8037.4028123881471</v>
      </c>
      <c r="EL33" s="659">
        <v>8037.4028123881471</v>
      </c>
      <c r="EM33" s="659">
        <v>8037.4028123881471</v>
      </c>
      <c r="EN33" s="659">
        <v>8037.4028123881471</v>
      </c>
      <c r="EO33" s="659">
        <v>8037.4028123881471</v>
      </c>
      <c r="EP33" s="659">
        <v>8037.4028123881471</v>
      </c>
      <c r="EQ33" s="659">
        <v>8037.4028123881471</v>
      </c>
      <c r="ER33" s="659">
        <v>8037.4028123881471</v>
      </c>
      <c r="ES33" s="659">
        <v>8037.4028123881471</v>
      </c>
      <c r="ET33" s="659">
        <v>8037.4028123881471</v>
      </c>
      <c r="EU33" s="659">
        <v>8278.5248967597927</v>
      </c>
      <c r="EV33" s="659">
        <v>8278.5248967597927</v>
      </c>
      <c r="EW33" s="659">
        <v>8278.5248967597927</v>
      </c>
      <c r="EX33" s="659">
        <v>8278.5248967597927</v>
      </c>
      <c r="EY33" s="659">
        <v>8278.5248967597927</v>
      </c>
      <c r="EZ33" s="659">
        <v>8278.5248967597927</v>
      </c>
      <c r="FA33" s="659">
        <v>8278.5248967597927</v>
      </c>
      <c r="FB33" s="659">
        <v>8278.5248967597927</v>
      </c>
      <c r="FC33" s="659">
        <v>8278.5248967597927</v>
      </c>
      <c r="FD33" s="659">
        <v>8278.5248967597927</v>
      </c>
      <c r="FE33" s="659">
        <v>8278.5248967597927</v>
      </c>
      <c r="FF33" s="659">
        <v>8278.5248967597927</v>
      </c>
    </row>
    <row r="34" spans="1:162" ht="15">
      <c r="A34"/>
      <c r="B34" s="37" t="s">
        <v>44</v>
      </c>
      <c r="C34" s="136">
        <f>'Old OSAR'!K44</f>
        <v>0</v>
      </c>
      <c r="D34" s="1121">
        <f t="shared" si="12"/>
        <v>0</v>
      </c>
      <c r="E34" s="370">
        <f>C34-D34</f>
        <v>0</v>
      </c>
      <c r="F34" s="371">
        <v>0</v>
      </c>
      <c r="G34" s="342"/>
      <c r="H34" s="364">
        <f>'2025 Budget'!U37</f>
        <v>28944.2</v>
      </c>
      <c r="I34" s="370">
        <f t="shared" si="8"/>
        <v>28944.2</v>
      </c>
      <c r="J34" s="371">
        <v>1</v>
      </c>
      <c r="K34" s="342"/>
      <c r="L34"/>
      <c r="M34" s="37" t="s">
        <v>30</v>
      </c>
      <c r="O34" s="682" t="s">
        <v>637</v>
      </c>
      <c r="P34" s="686">
        <v>17787.239999999998</v>
      </c>
      <c r="Q34" s="725">
        <v>22176</v>
      </c>
      <c r="R34" s="725">
        <v>22841.279999999999</v>
      </c>
      <c r="S34" s="725">
        <v>23526.518400000001</v>
      </c>
      <c r="T34" s="725">
        <v>24232.313952</v>
      </c>
      <c r="U34" s="725">
        <v>24959.283370560002</v>
      </c>
      <c r="V34" s="725">
        <v>25708.061871676804</v>
      </c>
      <c r="W34" s="725">
        <v>26479.303727827108</v>
      </c>
      <c r="X34" s="725">
        <v>27273.68283966192</v>
      </c>
      <c r="Y34" s="725">
        <v>28091.893324851779</v>
      </c>
      <c r="Z34" s="725">
        <v>28934.650124597334</v>
      </c>
      <c r="AA34" s="725">
        <v>29802.689628335254</v>
      </c>
      <c r="AB34" s="727"/>
      <c r="AC34" s="714" t="s">
        <v>637</v>
      </c>
      <c r="AD34" s="686">
        <v>17787.239999999998</v>
      </c>
      <c r="AE34" s="659">
        <v>1848</v>
      </c>
      <c r="AF34" s="659">
        <v>1848</v>
      </c>
      <c r="AG34" s="659">
        <v>1848</v>
      </c>
      <c r="AH34" s="659">
        <v>1848</v>
      </c>
      <c r="AI34" s="659">
        <v>1848</v>
      </c>
      <c r="AJ34" s="659">
        <v>1848</v>
      </c>
      <c r="AK34" s="659">
        <v>1848</v>
      </c>
      <c r="AL34" s="659">
        <v>1848</v>
      </c>
      <c r="AM34" s="659">
        <v>1848</v>
      </c>
      <c r="AN34" s="659">
        <v>1848</v>
      </c>
      <c r="AO34" s="659">
        <v>1848</v>
      </c>
      <c r="AP34" s="659">
        <v>1848</v>
      </c>
      <c r="AQ34" s="659">
        <v>1903.4399999999998</v>
      </c>
      <c r="AR34" s="659">
        <v>1903.4399999999998</v>
      </c>
      <c r="AS34" s="659">
        <v>1903.4399999999998</v>
      </c>
      <c r="AT34" s="659">
        <v>1903.4399999999998</v>
      </c>
      <c r="AU34" s="659">
        <v>1903.4399999999998</v>
      </c>
      <c r="AV34" s="659">
        <v>1903.4399999999998</v>
      </c>
      <c r="AW34" s="659">
        <v>1903.4399999999998</v>
      </c>
      <c r="AX34" s="659">
        <v>1903.4399999999998</v>
      </c>
      <c r="AY34" s="659">
        <v>1903.4399999999998</v>
      </c>
      <c r="AZ34" s="659">
        <v>1903.4399999999998</v>
      </c>
      <c r="BA34" s="659">
        <v>1903.4399999999998</v>
      </c>
      <c r="BB34" s="659">
        <v>1903.4399999999998</v>
      </c>
      <c r="BC34" s="659">
        <v>1960.5432000000001</v>
      </c>
      <c r="BD34" s="659">
        <v>1960.5432000000001</v>
      </c>
      <c r="BE34" s="659">
        <v>1960.5432000000001</v>
      </c>
      <c r="BF34" s="659">
        <v>1960.5432000000001</v>
      </c>
      <c r="BG34" s="659">
        <v>1960.5432000000001</v>
      </c>
      <c r="BH34" s="659">
        <v>1960.5432000000001</v>
      </c>
      <c r="BI34" s="659">
        <v>1960.5432000000001</v>
      </c>
      <c r="BJ34" s="659">
        <v>1960.5432000000001</v>
      </c>
      <c r="BK34" s="659">
        <v>1960.5432000000001</v>
      </c>
      <c r="BL34" s="659">
        <v>1960.5432000000001</v>
      </c>
      <c r="BM34" s="659">
        <v>1960.5432000000001</v>
      </c>
      <c r="BN34" s="659">
        <v>1960.5432000000001</v>
      </c>
      <c r="BO34" s="659">
        <v>2019.359496</v>
      </c>
      <c r="BP34" s="659">
        <v>2019.359496</v>
      </c>
      <c r="BQ34" s="659">
        <v>2019.359496</v>
      </c>
      <c r="BR34" s="659">
        <v>2019.359496</v>
      </c>
      <c r="BS34" s="659">
        <v>2019.359496</v>
      </c>
      <c r="BT34" s="659">
        <v>2019.359496</v>
      </c>
      <c r="BU34" s="659">
        <v>2019.359496</v>
      </c>
      <c r="BV34" s="659">
        <v>2019.359496</v>
      </c>
      <c r="BW34" s="659">
        <v>2019.359496</v>
      </c>
      <c r="BX34" s="659">
        <v>2019.359496</v>
      </c>
      <c r="BY34" s="659">
        <v>2019.359496</v>
      </c>
      <c r="BZ34" s="659">
        <v>2019.359496</v>
      </c>
      <c r="CA34" s="659">
        <v>2079.94028088</v>
      </c>
      <c r="CB34" s="659">
        <v>2079.94028088</v>
      </c>
      <c r="CC34" s="659">
        <v>2079.94028088</v>
      </c>
      <c r="CD34" s="659">
        <v>2079.94028088</v>
      </c>
      <c r="CE34" s="659">
        <v>2079.94028088</v>
      </c>
      <c r="CF34" s="659">
        <v>2079.94028088</v>
      </c>
      <c r="CG34" s="659">
        <v>2079.94028088</v>
      </c>
      <c r="CH34" s="659">
        <v>2079.94028088</v>
      </c>
      <c r="CI34" s="659">
        <v>2079.94028088</v>
      </c>
      <c r="CJ34" s="659">
        <v>2079.94028088</v>
      </c>
      <c r="CK34" s="659">
        <v>2079.94028088</v>
      </c>
      <c r="CL34" s="659">
        <v>2079.94028088</v>
      </c>
      <c r="CM34" s="659">
        <v>2142.3384893064003</v>
      </c>
      <c r="CN34" s="659">
        <v>2142.3384893064003</v>
      </c>
      <c r="CO34" s="659">
        <v>2142.3384893064003</v>
      </c>
      <c r="CP34" s="659">
        <v>2142.3384893064003</v>
      </c>
      <c r="CQ34" s="659">
        <v>2142.3384893064003</v>
      </c>
      <c r="CR34" s="659">
        <v>2142.3384893064003</v>
      </c>
      <c r="CS34" s="659">
        <v>2142.3384893064003</v>
      </c>
      <c r="CT34" s="659">
        <v>2142.3384893064003</v>
      </c>
      <c r="CU34" s="659">
        <v>2142.3384893064003</v>
      </c>
      <c r="CV34" s="659">
        <v>2142.3384893064003</v>
      </c>
      <c r="CW34" s="659">
        <v>2142.3384893064003</v>
      </c>
      <c r="CX34" s="659">
        <v>2142.3384893064003</v>
      </c>
      <c r="CY34" s="659">
        <v>2206.6086439855922</v>
      </c>
      <c r="CZ34" s="659">
        <v>2206.6086439855922</v>
      </c>
      <c r="DA34" s="659">
        <v>2206.6086439855922</v>
      </c>
      <c r="DB34" s="659">
        <v>2206.6086439855922</v>
      </c>
      <c r="DC34" s="659">
        <v>2206.6086439855922</v>
      </c>
      <c r="DD34" s="659">
        <v>2206.6086439855922</v>
      </c>
      <c r="DE34" s="659">
        <v>2206.6086439855922</v>
      </c>
      <c r="DF34" s="659">
        <v>2206.6086439855922</v>
      </c>
      <c r="DG34" s="659">
        <v>2206.6086439855922</v>
      </c>
      <c r="DH34" s="659">
        <v>2206.6086439855922</v>
      </c>
      <c r="DI34" s="659">
        <v>2206.6086439855922</v>
      </c>
      <c r="DJ34" s="659">
        <v>2206.6086439855922</v>
      </c>
      <c r="DK34" s="659">
        <v>2272.8069033051602</v>
      </c>
      <c r="DL34" s="659">
        <v>2272.8069033051602</v>
      </c>
      <c r="DM34" s="659">
        <v>2272.8069033051602</v>
      </c>
      <c r="DN34" s="659">
        <v>2272.8069033051602</v>
      </c>
      <c r="DO34" s="659">
        <v>2272.8069033051602</v>
      </c>
      <c r="DP34" s="659">
        <v>2272.8069033051602</v>
      </c>
      <c r="DQ34" s="659">
        <v>2272.8069033051602</v>
      </c>
      <c r="DR34" s="659">
        <v>2272.8069033051602</v>
      </c>
      <c r="DS34" s="659">
        <v>2272.8069033051602</v>
      </c>
      <c r="DT34" s="659">
        <v>2272.8069033051602</v>
      </c>
      <c r="DU34" s="659">
        <v>2272.8069033051602</v>
      </c>
      <c r="DV34" s="659">
        <v>2272.8069033051602</v>
      </c>
      <c r="DW34" s="659">
        <v>2340.9911104043149</v>
      </c>
      <c r="DX34" s="659">
        <v>2340.9911104043149</v>
      </c>
      <c r="DY34" s="659">
        <v>2340.9911104043149</v>
      </c>
      <c r="DZ34" s="659">
        <v>2340.9911104043149</v>
      </c>
      <c r="EA34" s="659">
        <v>2340.9911104043149</v>
      </c>
      <c r="EB34" s="659">
        <v>2340.9911104043149</v>
      </c>
      <c r="EC34" s="659">
        <v>2340.9911104043149</v>
      </c>
      <c r="ED34" s="659">
        <v>2340.9911104043149</v>
      </c>
      <c r="EE34" s="659">
        <v>2340.9911104043149</v>
      </c>
      <c r="EF34" s="659">
        <v>2340.9911104043149</v>
      </c>
      <c r="EG34" s="659">
        <v>2340.9911104043149</v>
      </c>
      <c r="EH34" s="659">
        <v>2340.9911104043149</v>
      </c>
      <c r="EI34" s="659">
        <v>2411.2208437164445</v>
      </c>
      <c r="EJ34" s="659">
        <v>2411.2208437164445</v>
      </c>
      <c r="EK34" s="659">
        <v>2411.2208437164445</v>
      </c>
      <c r="EL34" s="659">
        <v>2411.2208437164445</v>
      </c>
      <c r="EM34" s="659">
        <v>2411.2208437164445</v>
      </c>
      <c r="EN34" s="659">
        <v>2411.2208437164445</v>
      </c>
      <c r="EO34" s="659">
        <v>2411.2208437164445</v>
      </c>
      <c r="EP34" s="659">
        <v>2411.2208437164445</v>
      </c>
      <c r="EQ34" s="659">
        <v>2411.2208437164445</v>
      </c>
      <c r="ER34" s="659">
        <v>2411.2208437164445</v>
      </c>
      <c r="ES34" s="659">
        <v>2411.2208437164445</v>
      </c>
      <c r="ET34" s="659">
        <v>2411.2208437164445</v>
      </c>
      <c r="EU34" s="659">
        <v>2483.5574690279377</v>
      </c>
      <c r="EV34" s="659">
        <v>2483.5574690279377</v>
      </c>
      <c r="EW34" s="659">
        <v>2483.5574690279377</v>
      </c>
      <c r="EX34" s="659">
        <v>2483.5574690279377</v>
      </c>
      <c r="EY34" s="659">
        <v>2483.5574690279377</v>
      </c>
      <c r="EZ34" s="659">
        <v>2483.5574690279377</v>
      </c>
      <c r="FA34" s="659">
        <v>2483.5574690279377</v>
      </c>
      <c r="FB34" s="659">
        <v>2483.5574690279377</v>
      </c>
      <c r="FC34" s="659">
        <v>2483.5574690279377</v>
      </c>
      <c r="FD34" s="659">
        <v>2483.5574690279377</v>
      </c>
      <c r="FE34" s="659">
        <v>2483.5574690279377</v>
      </c>
      <c r="FF34" s="659">
        <v>2483.5574690279377</v>
      </c>
    </row>
    <row r="35" spans="1:162" ht="15">
      <c r="A35"/>
      <c r="B35" s="37" t="s">
        <v>45</v>
      </c>
      <c r="C35" s="136">
        <f>'Old OSAR'!K45</f>
        <v>0</v>
      </c>
      <c r="D35" s="1121">
        <f t="shared" si="12"/>
        <v>0</v>
      </c>
      <c r="E35" s="370">
        <f t="shared" si="13"/>
        <v>0</v>
      </c>
      <c r="F35" s="371">
        <v>0</v>
      </c>
      <c r="G35" s="342"/>
      <c r="H35" s="364">
        <f>'2025 Budget'!U38</f>
        <v>0</v>
      </c>
      <c r="I35" s="370">
        <f t="shared" si="8"/>
        <v>0</v>
      </c>
      <c r="J35" s="371">
        <v>1</v>
      </c>
      <c r="K35" s="342"/>
      <c r="L35"/>
      <c r="M35" s="37" t="s">
        <v>31</v>
      </c>
      <c r="O35" s="682" t="s">
        <v>638</v>
      </c>
      <c r="P35" s="686">
        <v>56811.7</v>
      </c>
      <c r="Q35" s="725">
        <v>62832</v>
      </c>
      <c r="R35" s="725">
        <v>64716.959999999999</v>
      </c>
      <c r="S35" s="725">
        <v>66658.468800000002</v>
      </c>
      <c r="T35" s="725">
        <v>68658.22286400001</v>
      </c>
      <c r="U35" s="725">
        <v>70717.969549920017</v>
      </c>
      <c r="V35" s="725">
        <v>72839.508636417624</v>
      </c>
      <c r="W35" s="725">
        <v>75024.69389551015</v>
      </c>
      <c r="X35" s="725">
        <v>77275.434712375456</v>
      </c>
      <c r="Y35" s="725">
        <v>79593.697753746717</v>
      </c>
      <c r="Z35" s="725">
        <v>81981.508686359128</v>
      </c>
      <c r="AA35" s="725">
        <v>84440.9539469499</v>
      </c>
      <c r="AB35" s="727"/>
      <c r="AC35" s="714" t="s">
        <v>638</v>
      </c>
      <c r="AD35" s="686">
        <v>56811.7</v>
      </c>
      <c r="AE35" s="659">
        <v>5236</v>
      </c>
      <c r="AF35" s="659">
        <v>5236</v>
      </c>
      <c r="AG35" s="659">
        <v>5236</v>
      </c>
      <c r="AH35" s="659">
        <v>5236</v>
      </c>
      <c r="AI35" s="659">
        <v>5236</v>
      </c>
      <c r="AJ35" s="659">
        <v>5236</v>
      </c>
      <c r="AK35" s="659">
        <v>5236</v>
      </c>
      <c r="AL35" s="659">
        <v>5236</v>
      </c>
      <c r="AM35" s="659">
        <v>5236</v>
      </c>
      <c r="AN35" s="659">
        <v>5236</v>
      </c>
      <c r="AO35" s="659">
        <v>5236</v>
      </c>
      <c r="AP35" s="659">
        <v>5236</v>
      </c>
      <c r="AQ35" s="659">
        <v>5393.08</v>
      </c>
      <c r="AR35" s="659">
        <v>5393.08</v>
      </c>
      <c r="AS35" s="659">
        <v>5393.08</v>
      </c>
      <c r="AT35" s="659">
        <v>5393.08</v>
      </c>
      <c r="AU35" s="659">
        <v>5393.08</v>
      </c>
      <c r="AV35" s="659">
        <v>5393.08</v>
      </c>
      <c r="AW35" s="659">
        <v>5393.08</v>
      </c>
      <c r="AX35" s="659">
        <v>5393.08</v>
      </c>
      <c r="AY35" s="659">
        <v>5393.08</v>
      </c>
      <c r="AZ35" s="659">
        <v>5393.08</v>
      </c>
      <c r="BA35" s="659">
        <v>5393.08</v>
      </c>
      <c r="BB35" s="659">
        <v>5393.08</v>
      </c>
      <c r="BC35" s="659">
        <v>5554.8724000000002</v>
      </c>
      <c r="BD35" s="659">
        <v>5554.8724000000002</v>
      </c>
      <c r="BE35" s="659">
        <v>5554.8724000000002</v>
      </c>
      <c r="BF35" s="659">
        <v>5554.8724000000002</v>
      </c>
      <c r="BG35" s="659">
        <v>5554.8724000000002</v>
      </c>
      <c r="BH35" s="659">
        <v>5554.8724000000002</v>
      </c>
      <c r="BI35" s="659">
        <v>5554.8724000000002</v>
      </c>
      <c r="BJ35" s="659">
        <v>5554.8724000000002</v>
      </c>
      <c r="BK35" s="659">
        <v>5554.8724000000002</v>
      </c>
      <c r="BL35" s="659">
        <v>5554.8724000000002</v>
      </c>
      <c r="BM35" s="659">
        <v>5554.8724000000002</v>
      </c>
      <c r="BN35" s="659">
        <v>5554.8724000000002</v>
      </c>
      <c r="BO35" s="659">
        <v>5721.5185720000009</v>
      </c>
      <c r="BP35" s="659">
        <v>5721.5185720000009</v>
      </c>
      <c r="BQ35" s="659">
        <v>5721.5185720000009</v>
      </c>
      <c r="BR35" s="659">
        <v>5721.5185720000009</v>
      </c>
      <c r="BS35" s="659">
        <v>5721.5185720000009</v>
      </c>
      <c r="BT35" s="659">
        <v>5721.5185720000009</v>
      </c>
      <c r="BU35" s="659">
        <v>5721.5185720000009</v>
      </c>
      <c r="BV35" s="659">
        <v>5721.5185720000009</v>
      </c>
      <c r="BW35" s="659">
        <v>5721.5185720000009</v>
      </c>
      <c r="BX35" s="659">
        <v>5721.5185720000009</v>
      </c>
      <c r="BY35" s="659">
        <v>5721.5185720000009</v>
      </c>
      <c r="BZ35" s="659">
        <v>5721.5185720000009</v>
      </c>
      <c r="CA35" s="659">
        <v>5893.1641291600017</v>
      </c>
      <c r="CB35" s="659">
        <v>5893.1641291600017</v>
      </c>
      <c r="CC35" s="659">
        <v>5893.1641291600017</v>
      </c>
      <c r="CD35" s="659">
        <v>5893.1641291600017</v>
      </c>
      <c r="CE35" s="659">
        <v>5893.1641291600017</v>
      </c>
      <c r="CF35" s="659">
        <v>5893.1641291600017</v>
      </c>
      <c r="CG35" s="659">
        <v>5893.1641291600017</v>
      </c>
      <c r="CH35" s="659">
        <v>5893.1641291600017</v>
      </c>
      <c r="CI35" s="659">
        <v>5893.1641291600017</v>
      </c>
      <c r="CJ35" s="659">
        <v>5893.1641291600017</v>
      </c>
      <c r="CK35" s="659">
        <v>5893.1641291600017</v>
      </c>
      <c r="CL35" s="659">
        <v>5893.1641291600017</v>
      </c>
      <c r="CM35" s="659">
        <v>6069.9590530348023</v>
      </c>
      <c r="CN35" s="659">
        <v>6069.9590530348023</v>
      </c>
      <c r="CO35" s="659">
        <v>6069.9590530348023</v>
      </c>
      <c r="CP35" s="659">
        <v>6069.9590530348023</v>
      </c>
      <c r="CQ35" s="659">
        <v>6069.9590530348023</v>
      </c>
      <c r="CR35" s="659">
        <v>6069.9590530348023</v>
      </c>
      <c r="CS35" s="659">
        <v>6069.9590530348023</v>
      </c>
      <c r="CT35" s="659">
        <v>6069.9590530348023</v>
      </c>
      <c r="CU35" s="659">
        <v>6069.9590530348023</v>
      </c>
      <c r="CV35" s="659">
        <v>6069.9590530348023</v>
      </c>
      <c r="CW35" s="659">
        <v>6069.9590530348023</v>
      </c>
      <c r="CX35" s="659">
        <v>6069.9590530348023</v>
      </c>
      <c r="CY35" s="659">
        <v>6252.0578246258456</v>
      </c>
      <c r="CZ35" s="659">
        <v>6252.0578246258456</v>
      </c>
      <c r="DA35" s="659">
        <v>6252.0578246258456</v>
      </c>
      <c r="DB35" s="659">
        <v>6252.0578246258456</v>
      </c>
      <c r="DC35" s="659">
        <v>6252.0578246258456</v>
      </c>
      <c r="DD35" s="659">
        <v>6252.0578246258456</v>
      </c>
      <c r="DE35" s="659">
        <v>6252.0578246258456</v>
      </c>
      <c r="DF35" s="659">
        <v>6252.0578246258456</v>
      </c>
      <c r="DG35" s="659">
        <v>6252.0578246258456</v>
      </c>
      <c r="DH35" s="659">
        <v>6252.0578246258456</v>
      </c>
      <c r="DI35" s="659">
        <v>6252.0578246258456</v>
      </c>
      <c r="DJ35" s="659">
        <v>6252.0578246258456</v>
      </c>
      <c r="DK35" s="659">
        <v>6439.6195593646216</v>
      </c>
      <c r="DL35" s="659">
        <v>6439.6195593646216</v>
      </c>
      <c r="DM35" s="659">
        <v>6439.6195593646216</v>
      </c>
      <c r="DN35" s="659">
        <v>6439.6195593646216</v>
      </c>
      <c r="DO35" s="659">
        <v>6439.6195593646216</v>
      </c>
      <c r="DP35" s="659">
        <v>6439.6195593646216</v>
      </c>
      <c r="DQ35" s="659">
        <v>6439.6195593646216</v>
      </c>
      <c r="DR35" s="659">
        <v>6439.6195593646216</v>
      </c>
      <c r="DS35" s="659">
        <v>6439.6195593646216</v>
      </c>
      <c r="DT35" s="659">
        <v>6439.6195593646216</v>
      </c>
      <c r="DU35" s="659">
        <v>6439.6195593646216</v>
      </c>
      <c r="DV35" s="659">
        <v>6439.6195593646216</v>
      </c>
      <c r="DW35" s="659">
        <v>6632.8081461455595</v>
      </c>
      <c r="DX35" s="659">
        <v>6632.8081461455595</v>
      </c>
      <c r="DY35" s="659">
        <v>6632.8081461455595</v>
      </c>
      <c r="DZ35" s="659">
        <v>6632.8081461455595</v>
      </c>
      <c r="EA35" s="659">
        <v>6632.8081461455595</v>
      </c>
      <c r="EB35" s="659">
        <v>6632.8081461455595</v>
      </c>
      <c r="EC35" s="659">
        <v>6632.8081461455595</v>
      </c>
      <c r="ED35" s="659">
        <v>6632.8081461455595</v>
      </c>
      <c r="EE35" s="659">
        <v>6632.8081461455595</v>
      </c>
      <c r="EF35" s="659">
        <v>6632.8081461455595</v>
      </c>
      <c r="EG35" s="659">
        <v>6632.8081461455595</v>
      </c>
      <c r="EH35" s="659">
        <v>6632.8081461455595</v>
      </c>
      <c r="EI35" s="659">
        <v>6831.7923905299276</v>
      </c>
      <c r="EJ35" s="659">
        <v>6831.7923905299276</v>
      </c>
      <c r="EK35" s="659">
        <v>6831.7923905299276</v>
      </c>
      <c r="EL35" s="659">
        <v>6831.7923905299276</v>
      </c>
      <c r="EM35" s="659">
        <v>6831.7923905299276</v>
      </c>
      <c r="EN35" s="659">
        <v>6831.7923905299276</v>
      </c>
      <c r="EO35" s="659">
        <v>6831.7923905299276</v>
      </c>
      <c r="EP35" s="659">
        <v>6831.7923905299276</v>
      </c>
      <c r="EQ35" s="659">
        <v>6831.7923905299276</v>
      </c>
      <c r="ER35" s="659">
        <v>6831.7923905299276</v>
      </c>
      <c r="ES35" s="659">
        <v>6831.7923905299276</v>
      </c>
      <c r="ET35" s="659">
        <v>6831.7923905299276</v>
      </c>
      <c r="EU35" s="659">
        <v>7036.746162245825</v>
      </c>
      <c r="EV35" s="659">
        <v>7036.746162245825</v>
      </c>
      <c r="EW35" s="659">
        <v>7036.746162245825</v>
      </c>
      <c r="EX35" s="659">
        <v>7036.746162245825</v>
      </c>
      <c r="EY35" s="659">
        <v>7036.746162245825</v>
      </c>
      <c r="EZ35" s="659">
        <v>7036.746162245825</v>
      </c>
      <c r="FA35" s="659">
        <v>7036.746162245825</v>
      </c>
      <c r="FB35" s="659">
        <v>7036.746162245825</v>
      </c>
      <c r="FC35" s="659">
        <v>7036.746162245825</v>
      </c>
      <c r="FD35" s="659">
        <v>7036.746162245825</v>
      </c>
      <c r="FE35" s="659">
        <v>7036.746162245825</v>
      </c>
      <c r="FF35" s="659">
        <v>7036.746162245825</v>
      </c>
    </row>
    <row r="36" spans="1:162" ht="15">
      <c r="A36"/>
      <c r="B36" s="46" t="s">
        <v>46</v>
      </c>
      <c r="C36" s="220">
        <f>'Old OSAR'!K46</f>
        <v>0</v>
      </c>
      <c r="D36" s="389">
        <f>SUM(D25:D35)</f>
        <v>3645762.7120080069</v>
      </c>
      <c r="E36" s="390">
        <f t="shared" si="13"/>
        <v>-3645762.7120080069</v>
      </c>
      <c r="F36" s="391">
        <f t="shared" si="14"/>
        <v>-1</v>
      </c>
      <c r="G36" s="342"/>
      <c r="H36" s="380">
        <f>'2025 Budget'!U39</f>
        <v>2106378.06</v>
      </c>
      <c r="I36" s="392">
        <f t="shared" si="8"/>
        <v>2106378.06</v>
      </c>
      <c r="J36" s="393" t="e">
        <f t="shared" si="15"/>
        <v>#DIV/0!</v>
      </c>
      <c r="K36" s="342"/>
      <c r="L36"/>
      <c r="M36" s="37" t="s">
        <v>31</v>
      </c>
      <c r="O36" s="682" t="s">
        <v>65</v>
      </c>
      <c r="P36" s="686">
        <v>19999</v>
      </c>
      <c r="Q36" s="725">
        <v>33264</v>
      </c>
      <c r="R36" s="725">
        <v>34261.919999999998</v>
      </c>
      <c r="S36" s="725">
        <v>35289.777600000001</v>
      </c>
      <c r="T36" s="725">
        <v>36348.470928000002</v>
      </c>
      <c r="U36" s="725">
        <v>37438.925055840002</v>
      </c>
      <c r="V36" s="725">
        <v>38562.092807515204</v>
      </c>
      <c r="W36" s="725">
        <v>39718.955591740661</v>
      </c>
      <c r="X36" s="725">
        <v>40910.524259492886</v>
      </c>
      <c r="Y36" s="725">
        <v>42137.839987277672</v>
      </c>
      <c r="Z36" s="725">
        <v>43401.975186896001</v>
      </c>
      <c r="AA36" s="725">
        <v>44704.034442502882</v>
      </c>
      <c r="AB36" s="727"/>
      <c r="AC36" s="714" t="s">
        <v>65</v>
      </c>
      <c r="AD36" s="686">
        <v>19999</v>
      </c>
      <c r="AE36" s="659">
        <v>2772</v>
      </c>
      <c r="AF36" s="659">
        <v>2772</v>
      </c>
      <c r="AG36" s="659">
        <v>2772</v>
      </c>
      <c r="AH36" s="659">
        <v>2772</v>
      </c>
      <c r="AI36" s="659">
        <v>2772</v>
      </c>
      <c r="AJ36" s="659">
        <v>2772</v>
      </c>
      <c r="AK36" s="659">
        <v>2772</v>
      </c>
      <c r="AL36" s="659">
        <v>2772</v>
      </c>
      <c r="AM36" s="659">
        <v>2772</v>
      </c>
      <c r="AN36" s="659">
        <v>2772</v>
      </c>
      <c r="AO36" s="659">
        <v>2772</v>
      </c>
      <c r="AP36" s="659">
        <v>2772</v>
      </c>
      <c r="AQ36" s="659">
        <v>2855.16</v>
      </c>
      <c r="AR36" s="659">
        <v>2855.16</v>
      </c>
      <c r="AS36" s="659">
        <v>2855.16</v>
      </c>
      <c r="AT36" s="659">
        <v>2855.16</v>
      </c>
      <c r="AU36" s="659">
        <v>2855.16</v>
      </c>
      <c r="AV36" s="659">
        <v>2855.16</v>
      </c>
      <c r="AW36" s="659">
        <v>2855.16</v>
      </c>
      <c r="AX36" s="659">
        <v>2855.16</v>
      </c>
      <c r="AY36" s="659">
        <v>2855.16</v>
      </c>
      <c r="AZ36" s="659">
        <v>2855.16</v>
      </c>
      <c r="BA36" s="659">
        <v>2855.16</v>
      </c>
      <c r="BB36" s="659">
        <v>2855.16</v>
      </c>
      <c r="BC36" s="659">
        <v>2940.8148000000001</v>
      </c>
      <c r="BD36" s="659">
        <v>2940.8148000000001</v>
      </c>
      <c r="BE36" s="659">
        <v>2940.8148000000001</v>
      </c>
      <c r="BF36" s="659">
        <v>2940.8148000000001</v>
      </c>
      <c r="BG36" s="659">
        <v>2940.8148000000001</v>
      </c>
      <c r="BH36" s="659">
        <v>2940.8148000000001</v>
      </c>
      <c r="BI36" s="659">
        <v>2940.8148000000001</v>
      </c>
      <c r="BJ36" s="659">
        <v>2940.8148000000001</v>
      </c>
      <c r="BK36" s="659">
        <v>2940.8148000000001</v>
      </c>
      <c r="BL36" s="659">
        <v>2940.8148000000001</v>
      </c>
      <c r="BM36" s="659">
        <v>2940.8148000000001</v>
      </c>
      <c r="BN36" s="659">
        <v>2940.8148000000001</v>
      </c>
      <c r="BO36" s="659">
        <v>3029.0392440000001</v>
      </c>
      <c r="BP36" s="659">
        <v>3029.0392440000001</v>
      </c>
      <c r="BQ36" s="659">
        <v>3029.0392440000001</v>
      </c>
      <c r="BR36" s="659">
        <v>3029.0392440000001</v>
      </c>
      <c r="BS36" s="659">
        <v>3029.0392440000001</v>
      </c>
      <c r="BT36" s="659">
        <v>3029.0392440000001</v>
      </c>
      <c r="BU36" s="659">
        <v>3029.0392440000001</v>
      </c>
      <c r="BV36" s="659">
        <v>3029.0392440000001</v>
      </c>
      <c r="BW36" s="659">
        <v>3029.0392440000001</v>
      </c>
      <c r="BX36" s="659">
        <v>3029.0392440000001</v>
      </c>
      <c r="BY36" s="659">
        <v>3029.0392440000001</v>
      </c>
      <c r="BZ36" s="659">
        <v>3029.0392440000001</v>
      </c>
      <c r="CA36" s="659">
        <v>3119.9104213200003</v>
      </c>
      <c r="CB36" s="659">
        <v>3119.9104213200003</v>
      </c>
      <c r="CC36" s="659">
        <v>3119.9104213200003</v>
      </c>
      <c r="CD36" s="659">
        <v>3119.9104213200003</v>
      </c>
      <c r="CE36" s="659">
        <v>3119.9104213200003</v>
      </c>
      <c r="CF36" s="659">
        <v>3119.9104213200003</v>
      </c>
      <c r="CG36" s="659">
        <v>3119.9104213200003</v>
      </c>
      <c r="CH36" s="659">
        <v>3119.9104213200003</v>
      </c>
      <c r="CI36" s="659">
        <v>3119.9104213200003</v>
      </c>
      <c r="CJ36" s="659">
        <v>3119.9104213200003</v>
      </c>
      <c r="CK36" s="659">
        <v>3119.9104213200003</v>
      </c>
      <c r="CL36" s="659">
        <v>3119.9104213200003</v>
      </c>
      <c r="CM36" s="659">
        <v>3213.5077339596005</v>
      </c>
      <c r="CN36" s="659">
        <v>3213.5077339596005</v>
      </c>
      <c r="CO36" s="659">
        <v>3213.5077339596005</v>
      </c>
      <c r="CP36" s="659">
        <v>3213.5077339596005</v>
      </c>
      <c r="CQ36" s="659">
        <v>3213.5077339596005</v>
      </c>
      <c r="CR36" s="659">
        <v>3213.5077339596005</v>
      </c>
      <c r="CS36" s="659">
        <v>3213.5077339596005</v>
      </c>
      <c r="CT36" s="659">
        <v>3213.5077339596005</v>
      </c>
      <c r="CU36" s="659">
        <v>3213.5077339596005</v>
      </c>
      <c r="CV36" s="659">
        <v>3213.5077339596005</v>
      </c>
      <c r="CW36" s="659">
        <v>3213.5077339596005</v>
      </c>
      <c r="CX36" s="659">
        <v>3213.5077339596005</v>
      </c>
      <c r="CY36" s="659">
        <v>3309.9129659783885</v>
      </c>
      <c r="CZ36" s="659">
        <v>3309.9129659783885</v>
      </c>
      <c r="DA36" s="659">
        <v>3309.9129659783885</v>
      </c>
      <c r="DB36" s="659">
        <v>3309.9129659783885</v>
      </c>
      <c r="DC36" s="659">
        <v>3309.9129659783885</v>
      </c>
      <c r="DD36" s="659">
        <v>3309.9129659783885</v>
      </c>
      <c r="DE36" s="659">
        <v>3309.9129659783885</v>
      </c>
      <c r="DF36" s="659">
        <v>3309.9129659783885</v>
      </c>
      <c r="DG36" s="659">
        <v>3309.9129659783885</v>
      </c>
      <c r="DH36" s="659">
        <v>3309.9129659783885</v>
      </c>
      <c r="DI36" s="659">
        <v>3309.9129659783885</v>
      </c>
      <c r="DJ36" s="659">
        <v>3309.9129659783885</v>
      </c>
      <c r="DK36" s="659">
        <v>3409.2103549577405</v>
      </c>
      <c r="DL36" s="659">
        <v>3409.2103549577405</v>
      </c>
      <c r="DM36" s="659">
        <v>3409.2103549577405</v>
      </c>
      <c r="DN36" s="659">
        <v>3409.2103549577405</v>
      </c>
      <c r="DO36" s="659">
        <v>3409.2103549577405</v>
      </c>
      <c r="DP36" s="659">
        <v>3409.2103549577405</v>
      </c>
      <c r="DQ36" s="659">
        <v>3409.2103549577405</v>
      </c>
      <c r="DR36" s="659">
        <v>3409.2103549577405</v>
      </c>
      <c r="DS36" s="659">
        <v>3409.2103549577405</v>
      </c>
      <c r="DT36" s="659">
        <v>3409.2103549577405</v>
      </c>
      <c r="DU36" s="659">
        <v>3409.2103549577405</v>
      </c>
      <c r="DV36" s="659">
        <v>3409.2103549577405</v>
      </c>
      <c r="DW36" s="659">
        <v>3511.4866656064728</v>
      </c>
      <c r="DX36" s="659">
        <v>3511.4866656064728</v>
      </c>
      <c r="DY36" s="659">
        <v>3511.4866656064728</v>
      </c>
      <c r="DZ36" s="659">
        <v>3511.4866656064728</v>
      </c>
      <c r="EA36" s="659">
        <v>3511.4866656064728</v>
      </c>
      <c r="EB36" s="659">
        <v>3511.4866656064728</v>
      </c>
      <c r="EC36" s="659">
        <v>3511.4866656064728</v>
      </c>
      <c r="ED36" s="659">
        <v>3511.4866656064728</v>
      </c>
      <c r="EE36" s="659">
        <v>3511.4866656064728</v>
      </c>
      <c r="EF36" s="659">
        <v>3511.4866656064728</v>
      </c>
      <c r="EG36" s="659">
        <v>3511.4866656064728</v>
      </c>
      <c r="EH36" s="659">
        <v>3511.4866656064728</v>
      </c>
      <c r="EI36" s="659">
        <v>3616.8312655746668</v>
      </c>
      <c r="EJ36" s="659">
        <v>3616.8312655746668</v>
      </c>
      <c r="EK36" s="659">
        <v>3616.8312655746668</v>
      </c>
      <c r="EL36" s="659">
        <v>3616.8312655746668</v>
      </c>
      <c r="EM36" s="659">
        <v>3616.8312655746668</v>
      </c>
      <c r="EN36" s="659">
        <v>3616.8312655746668</v>
      </c>
      <c r="EO36" s="659">
        <v>3616.8312655746668</v>
      </c>
      <c r="EP36" s="659">
        <v>3616.8312655746668</v>
      </c>
      <c r="EQ36" s="659">
        <v>3616.8312655746668</v>
      </c>
      <c r="ER36" s="659">
        <v>3616.8312655746668</v>
      </c>
      <c r="ES36" s="659">
        <v>3616.8312655746668</v>
      </c>
      <c r="ET36" s="659">
        <v>3616.8312655746668</v>
      </c>
      <c r="EU36" s="659">
        <v>3725.3362035419068</v>
      </c>
      <c r="EV36" s="659">
        <v>3725.3362035419068</v>
      </c>
      <c r="EW36" s="659">
        <v>3725.3362035419068</v>
      </c>
      <c r="EX36" s="659">
        <v>3725.3362035419068</v>
      </c>
      <c r="EY36" s="659">
        <v>3725.3362035419068</v>
      </c>
      <c r="EZ36" s="659">
        <v>3725.3362035419068</v>
      </c>
      <c r="FA36" s="659">
        <v>3725.3362035419068</v>
      </c>
      <c r="FB36" s="659">
        <v>3725.3362035419068</v>
      </c>
      <c r="FC36" s="659">
        <v>3725.3362035419068</v>
      </c>
      <c r="FD36" s="659">
        <v>3725.3362035419068</v>
      </c>
      <c r="FE36" s="659">
        <v>3725.3362035419068</v>
      </c>
      <c r="FF36" s="659">
        <v>3725.3362035419068</v>
      </c>
    </row>
    <row r="37" spans="1:162">
      <c r="A37"/>
      <c r="B37" s="41"/>
      <c r="C37" s="394"/>
      <c r="D37" s="395"/>
      <c r="E37" s="360"/>
      <c r="F37" s="366"/>
      <c r="G37" s="342"/>
      <c r="H37" s="385"/>
      <c r="I37" s="360"/>
      <c r="J37" s="366"/>
      <c r="K37" s="342"/>
      <c r="L37"/>
      <c r="M37" s="37" t="s">
        <v>31</v>
      </c>
      <c r="O37" s="682" t="s">
        <v>639</v>
      </c>
      <c r="P37" s="686">
        <v>94629.72</v>
      </c>
      <c r="Q37" s="725">
        <v>92400</v>
      </c>
      <c r="R37" s="725">
        <v>95172</v>
      </c>
      <c r="S37" s="725">
        <v>98027.16</v>
      </c>
      <c r="T37" s="725">
        <v>100967.97480000001</v>
      </c>
      <c r="U37" s="725">
        <v>103997.01404400001</v>
      </c>
      <c r="V37" s="725">
        <v>107116.92446532001</v>
      </c>
      <c r="W37" s="725">
        <v>110330.43219927962</v>
      </c>
      <c r="X37" s="725">
        <v>113640.34516525801</v>
      </c>
      <c r="Y37" s="725">
        <v>117049.55552021576</v>
      </c>
      <c r="Z37" s="725">
        <v>120561.04218582223</v>
      </c>
      <c r="AA37" s="725">
        <v>124177.8734513969</v>
      </c>
      <c r="AB37" s="727"/>
      <c r="AC37" s="714" t="s">
        <v>639</v>
      </c>
      <c r="AD37" s="686">
        <v>94629.72</v>
      </c>
      <c r="AE37" s="659">
        <v>7700</v>
      </c>
      <c r="AF37" s="659">
        <v>7700</v>
      </c>
      <c r="AG37" s="659">
        <v>7700</v>
      </c>
      <c r="AH37" s="659">
        <v>7700</v>
      </c>
      <c r="AI37" s="659">
        <v>7700</v>
      </c>
      <c r="AJ37" s="659">
        <v>7700</v>
      </c>
      <c r="AK37" s="659">
        <v>7700</v>
      </c>
      <c r="AL37" s="659">
        <v>7700</v>
      </c>
      <c r="AM37" s="659">
        <v>7700</v>
      </c>
      <c r="AN37" s="659">
        <v>7700</v>
      </c>
      <c r="AO37" s="659">
        <v>7700</v>
      </c>
      <c r="AP37" s="659">
        <v>7700</v>
      </c>
      <c r="AQ37" s="659">
        <v>7931</v>
      </c>
      <c r="AR37" s="659">
        <v>7931</v>
      </c>
      <c r="AS37" s="659">
        <v>7931</v>
      </c>
      <c r="AT37" s="659">
        <v>7931</v>
      </c>
      <c r="AU37" s="659">
        <v>7931</v>
      </c>
      <c r="AV37" s="659">
        <v>7931</v>
      </c>
      <c r="AW37" s="659">
        <v>7931</v>
      </c>
      <c r="AX37" s="659">
        <v>7931</v>
      </c>
      <c r="AY37" s="659">
        <v>7931</v>
      </c>
      <c r="AZ37" s="659">
        <v>7931</v>
      </c>
      <c r="BA37" s="659">
        <v>7931</v>
      </c>
      <c r="BB37" s="659">
        <v>7931</v>
      </c>
      <c r="BC37" s="659">
        <v>8168.93</v>
      </c>
      <c r="BD37" s="659">
        <v>8168.93</v>
      </c>
      <c r="BE37" s="659">
        <v>8168.93</v>
      </c>
      <c r="BF37" s="659">
        <v>8168.93</v>
      </c>
      <c r="BG37" s="659">
        <v>8168.93</v>
      </c>
      <c r="BH37" s="659">
        <v>8168.93</v>
      </c>
      <c r="BI37" s="659">
        <v>8168.93</v>
      </c>
      <c r="BJ37" s="659">
        <v>8168.93</v>
      </c>
      <c r="BK37" s="659">
        <v>8168.93</v>
      </c>
      <c r="BL37" s="659">
        <v>8168.93</v>
      </c>
      <c r="BM37" s="659">
        <v>8168.93</v>
      </c>
      <c r="BN37" s="659">
        <v>8168.93</v>
      </c>
      <c r="BO37" s="659">
        <v>8413.9979000000003</v>
      </c>
      <c r="BP37" s="659">
        <v>8413.9979000000003</v>
      </c>
      <c r="BQ37" s="659">
        <v>8413.9979000000003</v>
      </c>
      <c r="BR37" s="659">
        <v>8413.9979000000003</v>
      </c>
      <c r="BS37" s="659">
        <v>8413.9979000000003</v>
      </c>
      <c r="BT37" s="659">
        <v>8413.9979000000003</v>
      </c>
      <c r="BU37" s="659">
        <v>8413.9979000000003</v>
      </c>
      <c r="BV37" s="659">
        <v>8413.9979000000003</v>
      </c>
      <c r="BW37" s="659">
        <v>8413.9979000000003</v>
      </c>
      <c r="BX37" s="659">
        <v>8413.9979000000003</v>
      </c>
      <c r="BY37" s="659">
        <v>8413.9979000000003</v>
      </c>
      <c r="BZ37" s="659">
        <v>8413.9979000000003</v>
      </c>
      <c r="CA37" s="659">
        <v>8666.4178370000009</v>
      </c>
      <c r="CB37" s="659">
        <v>8666.4178370000009</v>
      </c>
      <c r="CC37" s="659">
        <v>8666.4178370000009</v>
      </c>
      <c r="CD37" s="659">
        <v>8666.4178370000009</v>
      </c>
      <c r="CE37" s="659">
        <v>8666.4178370000009</v>
      </c>
      <c r="CF37" s="659">
        <v>8666.4178370000009</v>
      </c>
      <c r="CG37" s="659">
        <v>8666.4178370000009</v>
      </c>
      <c r="CH37" s="659">
        <v>8666.4178370000009</v>
      </c>
      <c r="CI37" s="659">
        <v>8666.4178370000009</v>
      </c>
      <c r="CJ37" s="659">
        <v>8666.4178370000009</v>
      </c>
      <c r="CK37" s="659">
        <v>8666.4178370000009</v>
      </c>
      <c r="CL37" s="659">
        <v>8666.4178370000009</v>
      </c>
      <c r="CM37" s="659">
        <v>8926.4103721100018</v>
      </c>
      <c r="CN37" s="659">
        <v>8926.4103721100018</v>
      </c>
      <c r="CO37" s="659">
        <v>8926.4103721100018</v>
      </c>
      <c r="CP37" s="659">
        <v>8926.4103721100018</v>
      </c>
      <c r="CQ37" s="659">
        <v>8926.4103721100018</v>
      </c>
      <c r="CR37" s="659">
        <v>8926.4103721100018</v>
      </c>
      <c r="CS37" s="659">
        <v>8926.4103721100018</v>
      </c>
      <c r="CT37" s="659">
        <v>8926.4103721100018</v>
      </c>
      <c r="CU37" s="659">
        <v>8926.4103721100018</v>
      </c>
      <c r="CV37" s="659">
        <v>8926.4103721100018</v>
      </c>
      <c r="CW37" s="659">
        <v>8926.4103721100018</v>
      </c>
      <c r="CX37" s="659">
        <v>8926.4103721100018</v>
      </c>
      <c r="CY37" s="659">
        <v>9194.2026832733009</v>
      </c>
      <c r="CZ37" s="659">
        <v>9194.2026832733009</v>
      </c>
      <c r="DA37" s="659">
        <v>9194.2026832733009</v>
      </c>
      <c r="DB37" s="659">
        <v>9194.2026832733009</v>
      </c>
      <c r="DC37" s="659">
        <v>9194.2026832733009</v>
      </c>
      <c r="DD37" s="659">
        <v>9194.2026832733009</v>
      </c>
      <c r="DE37" s="659">
        <v>9194.2026832733009</v>
      </c>
      <c r="DF37" s="659">
        <v>9194.2026832733009</v>
      </c>
      <c r="DG37" s="659">
        <v>9194.2026832733009</v>
      </c>
      <c r="DH37" s="659">
        <v>9194.2026832733009</v>
      </c>
      <c r="DI37" s="659">
        <v>9194.2026832733009</v>
      </c>
      <c r="DJ37" s="659">
        <v>9194.2026832733009</v>
      </c>
      <c r="DK37" s="659">
        <v>9470.028763771501</v>
      </c>
      <c r="DL37" s="659">
        <v>9470.028763771501</v>
      </c>
      <c r="DM37" s="659">
        <v>9470.028763771501</v>
      </c>
      <c r="DN37" s="659">
        <v>9470.028763771501</v>
      </c>
      <c r="DO37" s="659">
        <v>9470.028763771501</v>
      </c>
      <c r="DP37" s="659">
        <v>9470.028763771501</v>
      </c>
      <c r="DQ37" s="659">
        <v>9470.028763771501</v>
      </c>
      <c r="DR37" s="659">
        <v>9470.028763771501</v>
      </c>
      <c r="DS37" s="659">
        <v>9470.028763771501</v>
      </c>
      <c r="DT37" s="659">
        <v>9470.028763771501</v>
      </c>
      <c r="DU37" s="659">
        <v>9470.028763771501</v>
      </c>
      <c r="DV37" s="659">
        <v>9470.028763771501</v>
      </c>
      <c r="DW37" s="659">
        <v>9754.1296266846457</v>
      </c>
      <c r="DX37" s="659">
        <v>9754.1296266846457</v>
      </c>
      <c r="DY37" s="659">
        <v>9754.1296266846457</v>
      </c>
      <c r="DZ37" s="659">
        <v>9754.1296266846457</v>
      </c>
      <c r="EA37" s="659">
        <v>9754.1296266846457</v>
      </c>
      <c r="EB37" s="659">
        <v>9754.1296266846457</v>
      </c>
      <c r="EC37" s="659">
        <v>9754.1296266846457</v>
      </c>
      <c r="ED37" s="659">
        <v>9754.1296266846457</v>
      </c>
      <c r="EE37" s="659">
        <v>9754.1296266846457</v>
      </c>
      <c r="EF37" s="659">
        <v>9754.1296266846457</v>
      </c>
      <c r="EG37" s="659">
        <v>9754.1296266846457</v>
      </c>
      <c r="EH37" s="659">
        <v>9754.1296266846457</v>
      </c>
      <c r="EI37" s="659">
        <v>10046.753515485185</v>
      </c>
      <c r="EJ37" s="659">
        <v>10046.753515485185</v>
      </c>
      <c r="EK37" s="659">
        <v>10046.753515485185</v>
      </c>
      <c r="EL37" s="659">
        <v>10046.753515485185</v>
      </c>
      <c r="EM37" s="659">
        <v>10046.753515485185</v>
      </c>
      <c r="EN37" s="659">
        <v>10046.753515485185</v>
      </c>
      <c r="EO37" s="659">
        <v>10046.753515485185</v>
      </c>
      <c r="EP37" s="659">
        <v>10046.753515485185</v>
      </c>
      <c r="EQ37" s="659">
        <v>10046.753515485185</v>
      </c>
      <c r="ER37" s="659">
        <v>10046.753515485185</v>
      </c>
      <c r="ES37" s="659">
        <v>10046.753515485185</v>
      </c>
      <c r="ET37" s="659">
        <v>10046.753515485185</v>
      </c>
      <c r="EU37" s="659">
        <v>10348.156120949741</v>
      </c>
      <c r="EV37" s="659">
        <v>10348.156120949741</v>
      </c>
      <c r="EW37" s="659">
        <v>10348.156120949741</v>
      </c>
      <c r="EX37" s="659">
        <v>10348.156120949741</v>
      </c>
      <c r="EY37" s="659">
        <v>10348.156120949741</v>
      </c>
      <c r="EZ37" s="659">
        <v>10348.156120949741</v>
      </c>
      <c r="FA37" s="659">
        <v>10348.156120949741</v>
      </c>
      <c r="FB37" s="659">
        <v>10348.156120949741</v>
      </c>
      <c r="FC37" s="659">
        <v>10348.156120949741</v>
      </c>
      <c r="FD37" s="659">
        <v>10348.156120949741</v>
      </c>
      <c r="FE37" s="659">
        <v>10348.156120949741</v>
      </c>
      <c r="FF37" s="659">
        <v>10348.156120949741</v>
      </c>
    </row>
    <row r="38" spans="1:162" ht="15">
      <c r="A38"/>
      <c r="B38" s="34" t="s">
        <v>47</v>
      </c>
      <c r="C38" s="396">
        <f>'Old OSAR'!E49</f>
        <v>0.52832797481548144</v>
      </c>
      <c r="D38" s="397">
        <f>D36/D21</f>
        <v>0.54344768733827642</v>
      </c>
      <c r="E38" s="184">
        <f t="shared" ref="E38" si="16">C38-D38</f>
        <v>-1.5119712522794981E-2</v>
      </c>
      <c r="F38" s="184">
        <f>C38-D38</f>
        <v>-1.5119712522794981E-2</v>
      </c>
      <c r="G38" s="342"/>
      <c r="H38" s="398">
        <f>'2025 Budget'!U41</f>
        <v>13.559872119752484</v>
      </c>
      <c r="I38" s="184">
        <f t="shared" si="8"/>
        <v>13.031544144937003</v>
      </c>
      <c r="J38" s="184">
        <f>H38/C38-1</f>
        <v>24.665633406007451</v>
      </c>
      <c r="K38" s="342"/>
      <c r="L38"/>
      <c r="M38" s="37" t="s">
        <v>31</v>
      </c>
      <c r="O38" s="682" t="s">
        <v>640</v>
      </c>
      <c r="P38" s="686">
        <v>0</v>
      </c>
      <c r="Q38" s="725">
        <v>0</v>
      </c>
      <c r="R38" s="725">
        <v>0</v>
      </c>
      <c r="S38" s="725">
        <v>0</v>
      </c>
      <c r="T38" s="725">
        <v>0</v>
      </c>
      <c r="U38" s="725">
        <v>0</v>
      </c>
      <c r="V38" s="725">
        <v>0</v>
      </c>
      <c r="W38" s="725">
        <v>0</v>
      </c>
      <c r="X38" s="725">
        <v>0</v>
      </c>
      <c r="Y38" s="725">
        <v>0</v>
      </c>
      <c r="Z38" s="725">
        <v>0</v>
      </c>
      <c r="AA38" s="725">
        <v>0</v>
      </c>
      <c r="AB38" s="727"/>
      <c r="AC38" s="714" t="s">
        <v>640</v>
      </c>
      <c r="AD38" s="686">
        <v>0</v>
      </c>
      <c r="AE38" s="659">
        <v>0</v>
      </c>
      <c r="AF38" s="659">
        <v>0</v>
      </c>
      <c r="AG38" s="659">
        <v>0</v>
      </c>
      <c r="AH38" s="659">
        <v>0</v>
      </c>
      <c r="AI38" s="659">
        <v>0</v>
      </c>
      <c r="AJ38" s="659">
        <v>0</v>
      </c>
      <c r="AK38" s="659">
        <v>0</v>
      </c>
      <c r="AL38" s="659">
        <v>0</v>
      </c>
      <c r="AM38" s="659">
        <v>0</v>
      </c>
      <c r="AN38" s="659">
        <v>0</v>
      </c>
      <c r="AO38" s="659">
        <v>0</v>
      </c>
      <c r="AP38" s="659">
        <v>0</v>
      </c>
      <c r="AQ38" s="659">
        <v>0</v>
      </c>
      <c r="AR38" s="659">
        <v>0</v>
      </c>
      <c r="AS38" s="659">
        <v>0</v>
      </c>
      <c r="AT38" s="659">
        <v>0</v>
      </c>
      <c r="AU38" s="659">
        <v>0</v>
      </c>
      <c r="AV38" s="659">
        <v>0</v>
      </c>
      <c r="AW38" s="659">
        <v>0</v>
      </c>
      <c r="AX38" s="659">
        <v>0</v>
      </c>
      <c r="AY38" s="659">
        <v>0</v>
      </c>
      <c r="AZ38" s="659">
        <v>0</v>
      </c>
      <c r="BA38" s="659">
        <v>0</v>
      </c>
      <c r="BB38" s="659">
        <v>0</v>
      </c>
      <c r="BC38" s="659">
        <v>0</v>
      </c>
      <c r="BD38" s="659">
        <v>0</v>
      </c>
      <c r="BE38" s="659">
        <v>0</v>
      </c>
      <c r="BF38" s="659">
        <v>0</v>
      </c>
      <c r="BG38" s="659">
        <v>0</v>
      </c>
      <c r="BH38" s="659">
        <v>0</v>
      </c>
      <c r="BI38" s="659">
        <v>0</v>
      </c>
      <c r="BJ38" s="659">
        <v>0</v>
      </c>
      <c r="BK38" s="659">
        <v>0</v>
      </c>
      <c r="BL38" s="659">
        <v>0</v>
      </c>
      <c r="BM38" s="659">
        <v>0</v>
      </c>
      <c r="BN38" s="659">
        <v>0</v>
      </c>
      <c r="BO38" s="659">
        <v>0</v>
      </c>
      <c r="BP38" s="659">
        <v>0</v>
      </c>
      <c r="BQ38" s="659">
        <v>0</v>
      </c>
      <c r="BR38" s="659">
        <v>0</v>
      </c>
      <c r="BS38" s="659">
        <v>0</v>
      </c>
      <c r="BT38" s="659">
        <v>0</v>
      </c>
      <c r="BU38" s="659">
        <v>0</v>
      </c>
      <c r="BV38" s="659">
        <v>0</v>
      </c>
      <c r="BW38" s="659">
        <v>0</v>
      </c>
      <c r="BX38" s="659">
        <v>0</v>
      </c>
      <c r="BY38" s="659">
        <v>0</v>
      </c>
      <c r="BZ38" s="659">
        <v>0</v>
      </c>
      <c r="CA38" s="659">
        <v>0</v>
      </c>
      <c r="CB38" s="659">
        <v>0</v>
      </c>
      <c r="CC38" s="659">
        <v>0</v>
      </c>
      <c r="CD38" s="659">
        <v>0</v>
      </c>
      <c r="CE38" s="659">
        <v>0</v>
      </c>
      <c r="CF38" s="659">
        <v>0</v>
      </c>
      <c r="CG38" s="659">
        <v>0</v>
      </c>
      <c r="CH38" s="659">
        <v>0</v>
      </c>
      <c r="CI38" s="659">
        <v>0</v>
      </c>
      <c r="CJ38" s="659">
        <v>0</v>
      </c>
      <c r="CK38" s="659">
        <v>0</v>
      </c>
      <c r="CL38" s="659">
        <v>0</v>
      </c>
      <c r="CM38" s="659">
        <v>0</v>
      </c>
      <c r="CN38" s="659">
        <v>0</v>
      </c>
      <c r="CO38" s="659">
        <v>0</v>
      </c>
      <c r="CP38" s="659">
        <v>0</v>
      </c>
      <c r="CQ38" s="659">
        <v>0</v>
      </c>
      <c r="CR38" s="659">
        <v>0</v>
      </c>
      <c r="CS38" s="659">
        <v>0</v>
      </c>
      <c r="CT38" s="659">
        <v>0</v>
      </c>
      <c r="CU38" s="659">
        <v>0</v>
      </c>
      <c r="CV38" s="659">
        <v>0</v>
      </c>
      <c r="CW38" s="659">
        <v>0</v>
      </c>
      <c r="CX38" s="659">
        <v>0</v>
      </c>
      <c r="CY38" s="659">
        <v>0</v>
      </c>
      <c r="CZ38" s="659">
        <v>0</v>
      </c>
      <c r="DA38" s="659">
        <v>0</v>
      </c>
      <c r="DB38" s="659">
        <v>0</v>
      </c>
      <c r="DC38" s="659">
        <v>0</v>
      </c>
      <c r="DD38" s="659">
        <v>0</v>
      </c>
      <c r="DE38" s="659">
        <v>0</v>
      </c>
      <c r="DF38" s="659">
        <v>0</v>
      </c>
      <c r="DG38" s="659">
        <v>0</v>
      </c>
      <c r="DH38" s="659">
        <v>0</v>
      </c>
      <c r="DI38" s="659">
        <v>0</v>
      </c>
      <c r="DJ38" s="659">
        <v>0</v>
      </c>
      <c r="DK38" s="659">
        <v>0</v>
      </c>
      <c r="DL38" s="659">
        <v>0</v>
      </c>
      <c r="DM38" s="659">
        <v>0</v>
      </c>
      <c r="DN38" s="659">
        <v>0</v>
      </c>
      <c r="DO38" s="659">
        <v>0</v>
      </c>
      <c r="DP38" s="659">
        <v>0</v>
      </c>
      <c r="DQ38" s="659">
        <v>0</v>
      </c>
      <c r="DR38" s="659">
        <v>0</v>
      </c>
      <c r="DS38" s="659">
        <v>0</v>
      </c>
      <c r="DT38" s="659">
        <v>0</v>
      </c>
      <c r="DU38" s="659">
        <v>0</v>
      </c>
      <c r="DV38" s="659">
        <v>0</v>
      </c>
      <c r="DW38" s="659">
        <v>0</v>
      </c>
      <c r="DX38" s="659">
        <v>0</v>
      </c>
      <c r="DY38" s="659">
        <v>0</v>
      </c>
      <c r="DZ38" s="659">
        <v>0</v>
      </c>
      <c r="EA38" s="659">
        <v>0</v>
      </c>
      <c r="EB38" s="659">
        <v>0</v>
      </c>
      <c r="EC38" s="659">
        <v>0</v>
      </c>
      <c r="ED38" s="659">
        <v>0</v>
      </c>
      <c r="EE38" s="659">
        <v>0</v>
      </c>
      <c r="EF38" s="659">
        <v>0</v>
      </c>
      <c r="EG38" s="659">
        <v>0</v>
      </c>
      <c r="EH38" s="659">
        <v>0</v>
      </c>
      <c r="EI38" s="659">
        <v>0</v>
      </c>
      <c r="EJ38" s="659">
        <v>0</v>
      </c>
      <c r="EK38" s="659">
        <v>0</v>
      </c>
      <c r="EL38" s="659">
        <v>0</v>
      </c>
      <c r="EM38" s="659">
        <v>0</v>
      </c>
      <c r="EN38" s="659">
        <v>0</v>
      </c>
      <c r="EO38" s="659">
        <v>0</v>
      </c>
      <c r="EP38" s="659">
        <v>0</v>
      </c>
      <c r="EQ38" s="659">
        <v>0</v>
      </c>
      <c r="ER38" s="659">
        <v>0</v>
      </c>
      <c r="ES38" s="659">
        <v>0</v>
      </c>
      <c r="ET38" s="659">
        <v>0</v>
      </c>
      <c r="EU38" s="659">
        <v>0</v>
      </c>
      <c r="EV38" s="659">
        <v>0</v>
      </c>
      <c r="EW38" s="659">
        <v>0</v>
      </c>
      <c r="EX38" s="659">
        <v>0</v>
      </c>
      <c r="EY38" s="659">
        <v>0</v>
      </c>
      <c r="EZ38" s="659">
        <v>0</v>
      </c>
      <c r="FA38" s="659">
        <v>0</v>
      </c>
      <c r="FB38" s="659">
        <v>0</v>
      </c>
      <c r="FC38" s="659">
        <v>0</v>
      </c>
      <c r="FD38" s="659">
        <v>0</v>
      </c>
      <c r="FE38" s="659">
        <v>0</v>
      </c>
      <c r="FF38" s="659">
        <v>0</v>
      </c>
    </row>
    <row r="39" spans="1:162">
      <c r="A39"/>
      <c r="B39" s="41"/>
      <c r="C39" s="399"/>
      <c r="D39" s="395"/>
      <c r="E39" s="360"/>
      <c r="F39" s="366"/>
      <c r="G39" s="342"/>
      <c r="H39" s="385"/>
      <c r="I39" s="360"/>
      <c r="J39" s="366"/>
      <c r="K39" s="342"/>
      <c r="L39"/>
      <c r="M39" s="37" t="s">
        <v>31</v>
      </c>
      <c r="O39" s="735" t="s">
        <v>641</v>
      </c>
      <c r="P39" s="736">
        <v>64852.760000000009</v>
      </c>
      <c r="Q39" s="738">
        <v>39610.276621883779</v>
      </c>
      <c r="R39" s="738">
        <v>21673.166579707638</v>
      </c>
      <c r="S39" s="738">
        <v>19922.581569368565</v>
      </c>
      <c r="T39" s="738">
        <v>20520.25901644964</v>
      </c>
      <c r="U39" s="738">
        <v>21135.866786943152</v>
      </c>
      <c r="V39" s="738">
        <v>21769.942790551475</v>
      </c>
      <c r="W39" s="738">
        <v>22423.041074268047</v>
      </c>
      <c r="X39" s="738">
        <v>23095.732306496113</v>
      </c>
      <c r="Y39" s="738">
        <v>23788.60427569101</v>
      </c>
      <c r="Z39" s="738">
        <v>24502.262403961762</v>
      </c>
      <c r="AA39" s="738">
        <v>25237.330276080615</v>
      </c>
      <c r="AB39" s="727"/>
      <c r="AC39" s="739" t="s">
        <v>641</v>
      </c>
      <c r="AD39" s="736">
        <v>64852.760000000009</v>
      </c>
      <c r="AE39" s="734">
        <v>3300.8563851569816</v>
      </c>
      <c r="AF39" s="734">
        <v>3300.8563851569816</v>
      </c>
      <c r="AG39" s="734">
        <v>3300.8563851569816</v>
      </c>
      <c r="AH39" s="734">
        <v>3300.8563851569816</v>
      </c>
      <c r="AI39" s="734">
        <v>3300.8563851569816</v>
      </c>
      <c r="AJ39" s="734">
        <v>3300.8563851569816</v>
      </c>
      <c r="AK39" s="734">
        <v>3300.8563851569816</v>
      </c>
      <c r="AL39" s="734">
        <v>3300.8563851569816</v>
      </c>
      <c r="AM39" s="734">
        <v>3300.8563851569816</v>
      </c>
      <c r="AN39" s="734">
        <v>3300.8563851569816</v>
      </c>
      <c r="AO39" s="734">
        <v>3300.8563851569816</v>
      </c>
      <c r="AP39" s="734">
        <v>3300.8563851569816</v>
      </c>
      <c r="AQ39" s="734">
        <v>1806.0972149756365</v>
      </c>
      <c r="AR39" s="734">
        <v>1806.0972149756365</v>
      </c>
      <c r="AS39" s="734">
        <v>1806.0972149756365</v>
      </c>
      <c r="AT39" s="734">
        <v>1806.0972149756365</v>
      </c>
      <c r="AU39" s="734">
        <v>1806.0972149756365</v>
      </c>
      <c r="AV39" s="734">
        <v>1806.0972149756365</v>
      </c>
      <c r="AW39" s="734">
        <v>1806.0972149756365</v>
      </c>
      <c r="AX39" s="734">
        <v>1806.0972149756365</v>
      </c>
      <c r="AY39" s="734">
        <v>1806.0972149756365</v>
      </c>
      <c r="AZ39" s="734">
        <v>1806.0972149756365</v>
      </c>
      <c r="BA39" s="734">
        <v>1806.0972149756365</v>
      </c>
      <c r="BB39" s="734">
        <v>1806.0972149756365</v>
      </c>
      <c r="BC39" s="734">
        <v>1660.2151307807137</v>
      </c>
      <c r="BD39" s="734">
        <v>1660.2151307807137</v>
      </c>
      <c r="BE39" s="734">
        <v>1660.2151307807137</v>
      </c>
      <c r="BF39" s="734">
        <v>1660.2151307807137</v>
      </c>
      <c r="BG39" s="734">
        <v>1660.2151307807137</v>
      </c>
      <c r="BH39" s="734">
        <v>1660.2151307807137</v>
      </c>
      <c r="BI39" s="734">
        <v>1660.2151307807137</v>
      </c>
      <c r="BJ39" s="734">
        <v>1660.2151307807137</v>
      </c>
      <c r="BK39" s="734">
        <v>1660.2151307807137</v>
      </c>
      <c r="BL39" s="734">
        <v>1660.2151307807137</v>
      </c>
      <c r="BM39" s="734">
        <v>1660.2151307807137</v>
      </c>
      <c r="BN39" s="734">
        <v>1660.2151307807137</v>
      </c>
      <c r="BO39" s="734">
        <v>1710.0215847041366</v>
      </c>
      <c r="BP39" s="734">
        <v>1710.0215847041366</v>
      </c>
      <c r="BQ39" s="734">
        <v>1710.0215847041366</v>
      </c>
      <c r="BR39" s="734">
        <v>1710.0215847041366</v>
      </c>
      <c r="BS39" s="734">
        <v>1710.0215847041366</v>
      </c>
      <c r="BT39" s="734">
        <v>1710.0215847041366</v>
      </c>
      <c r="BU39" s="734">
        <v>1710.0215847041366</v>
      </c>
      <c r="BV39" s="734">
        <v>1710.0215847041366</v>
      </c>
      <c r="BW39" s="734">
        <v>1710.0215847041366</v>
      </c>
      <c r="BX39" s="734">
        <v>1710.0215847041366</v>
      </c>
      <c r="BY39" s="734">
        <v>1710.0215847041366</v>
      </c>
      <c r="BZ39" s="734">
        <v>1710.0215847041366</v>
      </c>
      <c r="CA39" s="734">
        <v>1761.3222322452627</v>
      </c>
      <c r="CB39" s="734">
        <v>1761.3222322452627</v>
      </c>
      <c r="CC39" s="734">
        <v>1761.3222322452627</v>
      </c>
      <c r="CD39" s="734">
        <v>1761.3222322452627</v>
      </c>
      <c r="CE39" s="734">
        <v>1761.3222322452627</v>
      </c>
      <c r="CF39" s="734">
        <v>1761.3222322452627</v>
      </c>
      <c r="CG39" s="734">
        <v>1761.3222322452627</v>
      </c>
      <c r="CH39" s="734">
        <v>1761.3222322452627</v>
      </c>
      <c r="CI39" s="734">
        <v>1761.3222322452627</v>
      </c>
      <c r="CJ39" s="734">
        <v>1761.3222322452627</v>
      </c>
      <c r="CK39" s="734">
        <v>1761.3222322452627</v>
      </c>
      <c r="CL39" s="734">
        <v>1761.3222322452627</v>
      </c>
      <c r="CM39" s="734">
        <v>1814.161899212623</v>
      </c>
      <c r="CN39" s="734">
        <v>1814.161899212623</v>
      </c>
      <c r="CO39" s="734">
        <v>1814.161899212623</v>
      </c>
      <c r="CP39" s="734">
        <v>1814.161899212623</v>
      </c>
      <c r="CQ39" s="734">
        <v>1814.161899212623</v>
      </c>
      <c r="CR39" s="734">
        <v>1814.161899212623</v>
      </c>
      <c r="CS39" s="734">
        <v>1814.161899212623</v>
      </c>
      <c r="CT39" s="734">
        <v>1814.161899212623</v>
      </c>
      <c r="CU39" s="734">
        <v>1814.161899212623</v>
      </c>
      <c r="CV39" s="734">
        <v>1814.161899212623</v>
      </c>
      <c r="CW39" s="734">
        <v>1814.161899212623</v>
      </c>
      <c r="CX39" s="734">
        <v>1814.161899212623</v>
      </c>
      <c r="CY39" s="734">
        <v>1868.5867561890038</v>
      </c>
      <c r="CZ39" s="734">
        <v>1868.5867561890038</v>
      </c>
      <c r="DA39" s="734">
        <v>1868.5867561890038</v>
      </c>
      <c r="DB39" s="734">
        <v>1868.5867561890038</v>
      </c>
      <c r="DC39" s="734">
        <v>1868.5867561890038</v>
      </c>
      <c r="DD39" s="734">
        <v>1868.5867561890038</v>
      </c>
      <c r="DE39" s="734">
        <v>1868.5867561890038</v>
      </c>
      <c r="DF39" s="734">
        <v>1868.5867561890038</v>
      </c>
      <c r="DG39" s="734">
        <v>1868.5867561890038</v>
      </c>
      <c r="DH39" s="734">
        <v>1868.5867561890038</v>
      </c>
      <c r="DI39" s="734">
        <v>1868.5867561890038</v>
      </c>
      <c r="DJ39" s="734">
        <v>1868.5867561890038</v>
      </c>
      <c r="DK39" s="734">
        <v>1924.6443588746761</v>
      </c>
      <c r="DL39" s="734">
        <v>1924.6443588746761</v>
      </c>
      <c r="DM39" s="734">
        <v>1924.6443588746761</v>
      </c>
      <c r="DN39" s="734">
        <v>1924.6443588746761</v>
      </c>
      <c r="DO39" s="734">
        <v>1924.6443588746761</v>
      </c>
      <c r="DP39" s="734">
        <v>1924.6443588746761</v>
      </c>
      <c r="DQ39" s="734">
        <v>1924.6443588746761</v>
      </c>
      <c r="DR39" s="734">
        <v>1924.6443588746761</v>
      </c>
      <c r="DS39" s="734">
        <v>1924.6443588746761</v>
      </c>
      <c r="DT39" s="734">
        <v>1924.6443588746761</v>
      </c>
      <c r="DU39" s="734">
        <v>1924.6443588746761</v>
      </c>
      <c r="DV39" s="734">
        <v>1924.6443588746761</v>
      </c>
      <c r="DW39" s="734">
        <v>1982.3836896409175</v>
      </c>
      <c r="DX39" s="734">
        <v>1982.3836896409175</v>
      </c>
      <c r="DY39" s="734">
        <v>1982.3836896409175</v>
      </c>
      <c r="DZ39" s="734">
        <v>1982.3836896409175</v>
      </c>
      <c r="EA39" s="734">
        <v>1982.3836896409175</v>
      </c>
      <c r="EB39" s="734">
        <v>1982.3836896409175</v>
      </c>
      <c r="EC39" s="734">
        <v>1982.3836896409175</v>
      </c>
      <c r="ED39" s="734">
        <v>1982.3836896409175</v>
      </c>
      <c r="EE39" s="734">
        <v>1982.3836896409175</v>
      </c>
      <c r="EF39" s="734">
        <v>1982.3836896409175</v>
      </c>
      <c r="EG39" s="734">
        <v>1982.3836896409175</v>
      </c>
      <c r="EH39" s="734">
        <v>1982.3836896409175</v>
      </c>
      <c r="EI39" s="734">
        <v>2041.8552003301468</v>
      </c>
      <c r="EJ39" s="734">
        <v>2041.8552003301468</v>
      </c>
      <c r="EK39" s="734">
        <v>2041.8552003301468</v>
      </c>
      <c r="EL39" s="734">
        <v>2041.8552003301468</v>
      </c>
      <c r="EM39" s="734">
        <v>2041.8552003301468</v>
      </c>
      <c r="EN39" s="734">
        <v>2041.8552003301468</v>
      </c>
      <c r="EO39" s="734">
        <v>2041.8552003301468</v>
      </c>
      <c r="EP39" s="734">
        <v>2041.8552003301468</v>
      </c>
      <c r="EQ39" s="734">
        <v>2041.8552003301468</v>
      </c>
      <c r="ER39" s="734">
        <v>2041.8552003301468</v>
      </c>
      <c r="ES39" s="734">
        <v>2041.8552003301468</v>
      </c>
      <c r="ET39" s="734">
        <v>2041.8552003301468</v>
      </c>
      <c r="EU39" s="734">
        <v>2103.1108563400512</v>
      </c>
      <c r="EV39" s="734">
        <v>2103.1108563400512</v>
      </c>
      <c r="EW39" s="734">
        <v>2103.1108563400512</v>
      </c>
      <c r="EX39" s="734">
        <v>2103.1108563400512</v>
      </c>
      <c r="EY39" s="734">
        <v>2103.1108563400512</v>
      </c>
      <c r="EZ39" s="734">
        <v>2103.1108563400512</v>
      </c>
      <c r="FA39" s="734">
        <v>2103.1108563400512</v>
      </c>
      <c r="FB39" s="734">
        <v>2103.1108563400512</v>
      </c>
      <c r="FC39" s="734">
        <v>2103.1108563400512</v>
      </c>
      <c r="FD39" s="734">
        <v>2103.1108563400512</v>
      </c>
      <c r="FE39" s="734">
        <v>2103.1108563400512</v>
      </c>
      <c r="FF39" s="734">
        <v>2103.1108563400512</v>
      </c>
    </row>
    <row r="40" spans="1:162" ht="15">
      <c r="A40"/>
      <c r="B40" s="46" t="s">
        <v>48</v>
      </c>
      <c r="C40" s="220">
        <f>'Old OSAR'!E51</f>
        <v>3348841.012565101</v>
      </c>
      <c r="D40" s="389">
        <f>D21-D36</f>
        <v>3062818.0712949717</v>
      </c>
      <c r="E40" s="378">
        <f t="shared" ref="E40" si="17">C40-D40</f>
        <v>286022.94127012929</v>
      </c>
      <c r="F40" s="379">
        <f t="shared" ref="F40" si="18">(C40-D40)/D40</f>
        <v>9.3385547104728184E-2</v>
      </c>
      <c r="G40" s="342"/>
      <c r="H40" s="380">
        <f>'2025 Budget'!U43</f>
        <v>-1951038.98</v>
      </c>
      <c r="I40" s="378">
        <f t="shared" si="8"/>
        <v>-5299879.992565101</v>
      </c>
      <c r="J40" s="379">
        <f>H40/C40-1</f>
        <v>-1.5826012559806681</v>
      </c>
      <c r="K40" s="342"/>
      <c r="L40"/>
      <c r="O40" s="715" t="s">
        <v>616</v>
      </c>
      <c r="P40" s="716">
        <v>669581.9</v>
      </c>
      <c r="Q40" s="719">
        <v>740826.75073417393</v>
      </c>
      <c r="R40" s="719">
        <v>821580.90052686783</v>
      </c>
      <c r="S40" s="719">
        <v>853412.94535494875</v>
      </c>
      <c r="T40" s="719">
        <v>879015.33371559728</v>
      </c>
      <c r="U40" s="719">
        <v>905385.79372706532</v>
      </c>
      <c r="V40" s="719">
        <v>932547.36753887741</v>
      </c>
      <c r="W40" s="719">
        <v>960523.78856504417</v>
      </c>
      <c r="X40" s="719">
        <v>989339.50222199573</v>
      </c>
      <c r="Y40" s="719">
        <v>1019019.6872886557</v>
      </c>
      <c r="Z40" s="719">
        <v>1049590.2779073156</v>
      </c>
      <c r="AA40" s="719">
        <v>1081077.9862445351</v>
      </c>
      <c r="AB40" s="729"/>
      <c r="AC40" s="721" t="s">
        <v>616</v>
      </c>
      <c r="AD40" s="716">
        <v>669581.9</v>
      </c>
      <c r="AE40" s="722">
        <v>61735.56256118117</v>
      </c>
      <c r="AF40" s="722">
        <v>61735.56256118117</v>
      </c>
      <c r="AG40" s="722">
        <v>61735.56256118117</v>
      </c>
      <c r="AH40" s="722">
        <v>61735.56256118117</v>
      </c>
      <c r="AI40" s="722">
        <v>61735.56256118117</v>
      </c>
      <c r="AJ40" s="722">
        <v>61735.56256118117</v>
      </c>
      <c r="AK40" s="722">
        <v>61735.56256118117</v>
      </c>
      <c r="AL40" s="722">
        <v>61735.56256118117</v>
      </c>
      <c r="AM40" s="722">
        <v>61735.56256118117</v>
      </c>
      <c r="AN40" s="722">
        <v>61735.56256118117</v>
      </c>
      <c r="AO40" s="722">
        <v>61735.56256118117</v>
      </c>
      <c r="AP40" s="722">
        <v>61735.56256118117</v>
      </c>
      <c r="AQ40" s="722">
        <v>68465.075043905657</v>
      </c>
      <c r="AR40" s="722">
        <v>68465.075043905657</v>
      </c>
      <c r="AS40" s="722">
        <v>68465.075043905657</v>
      </c>
      <c r="AT40" s="722">
        <v>68465.075043905657</v>
      </c>
      <c r="AU40" s="722">
        <v>68465.075043905657</v>
      </c>
      <c r="AV40" s="722">
        <v>68465.075043905657</v>
      </c>
      <c r="AW40" s="722">
        <v>68465.075043905657</v>
      </c>
      <c r="AX40" s="722">
        <v>68465.075043905657</v>
      </c>
      <c r="AY40" s="722">
        <v>68465.075043905657</v>
      </c>
      <c r="AZ40" s="722">
        <v>68465.075043905657</v>
      </c>
      <c r="BA40" s="722">
        <v>68465.075043905657</v>
      </c>
      <c r="BB40" s="722">
        <v>68465.075043905657</v>
      </c>
      <c r="BC40" s="722">
        <v>71117.74544624571</v>
      </c>
      <c r="BD40" s="722">
        <v>71117.74544624571</v>
      </c>
      <c r="BE40" s="722">
        <v>71117.74544624571</v>
      </c>
      <c r="BF40" s="722">
        <v>71117.74544624571</v>
      </c>
      <c r="BG40" s="722">
        <v>71117.74544624571</v>
      </c>
      <c r="BH40" s="722">
        <v>71117.74544624571</v>
      </c>
      <c r="BI40" s="722">
        <v>71117.74544624571</v>
      </c>
      <c r="BJ40" s="722">
        <v>71117.74544624571</v>
      </c>
      <c r="BK40" s="722">
        <v>71117.74544624571</v>
      </c>
      <c r="BL40" s="722">
        <v>71117.74544624571</v>
      </c>
      <c r="BM40" s="722">
        <v>71117.74544624571</v>
      </c>
      <c r="BN40" s="722">
        <v>71117.74544624571</v>
      </c>
      <c r="BO40" s="722">
        <v>73251.277809633102</v>
      </c>
      <c r="BP40" s="722">
        <v>73251.277809633102</v>
      </c>
      <c r="BQ40" s="722">
        <v>73251.277809633102</v>
      </c>
      <c r="BR40" s="722">
        <v>73251.277809633102</v>
      </c>
      <c r="BS40" s="722">
        <v>73251.277809633102</v>
      </c>
      <c r="BT40" s="722">
        <v>73251.277809633102</v>
      </c>
      <c r="BU40" s="722">
        <v>73251.277809633102</v>
      </c>
      <c r="BV40" s="722">
        <v>73251.277809633102</v>
      </c>
      <c r="BW40" s="722">
        <v>73251.277809633102</v>
      </c>
      <c r="BX40" s="722">
        <v>73251.277809633102</v>
      </c>
      <c r="BY40" s="722">
        <v>73251.277809633102</v>
      </c>
      <c r="BZ40" s="722">
        <v>73251.277809633102</v>
      </c>
      <c r="CA40" s="722">
        <v>75448.8161439221</v>
      </c>
      <c r="CB40" s="722">
        <v>75448.8161439221</v>
      </c>
      <c r="CC40" s="722">
        <v>75448.8161439221</v>
      </c>
      <c r="CD40" s="722">
        <v>75448.8161439221</v>
      </c>
      <c r="CE40" s="722">
        <v>75448.8161439221</v>
      </c>
      <c r="CF40" s="722">
        <v>75448.8161439221</v>
      </c>
      <c r="CG40" s="722">
        <v>75448.8161439221</v>
      </c>
      <c r="CH40" s="722">
        <v>75448.8161439221</v>
      </c>
      <c r="CI40" s="722">
        <v>75448.8161439221</v>
      </c>
      <c r="CJ40" s="722">
        <v>75448.8161439221</v>
      </c>
      <c r="CK40" s="722">
        <v>75448.8161439221</v>
      </c>
      <c r="CL40" s="722">
        <v>75448.8161439221</v>
      </c>
      <c r="CM40" s="722">
        <v>77712.28062823978</v>
      </c>
      <c r="CN40" s="722">
        <v>77712.28062823978</v>
      </c>
      <c r="CO40" s="722">
        <v>77712.28062823978</v>
      </c>
      <c r="CP40" s="722">
        <v>77712.28062823978</v>
      </c>
      <c r="CQ40" s="722">
        <v>77712.28062823978</v>
      </c>
      <c r="CR40" s="722">
        <v>77712.28062823978</v>
      </c>
      <c r="CS40" s="722">
        <v>77712.28062823978</v>
      </c>
      <c r="CT40" s="722">
        <v>77712.28062823978</v>
      </c>
      <c r="CU40" s="722">
        <v>77712.28062823978</v>
      </c>
      <c r="CV40" s="722">
        <v>77712.28062823978</v>
      </c>
      <c r="CW40" s="722">
        <v>77712.28062823978</v>
      </c>
      <c r="CX40" s="722">
        <v>77712.28062823978</v>
      </c>
      <c r="CY40" s="722">
        <v>80043.649047087005</v>
      </c>
      <c r="CZ40" s="722">
        <v>80043.649047087005</v>
      </c>
      <c r="DA40" s="722">
        <v>80043.649047087005</v>
      </c>
      <c r="DB40" s="722">
        <v>80043.649047087005</v>
      </c>
      <c r="DC40" s="722">
        <v>80043.649047087005</v>
      </c>
      <c r="DD40" s="722">
        <v>80043.649047087005</v>
      </c>
      <c r="DE40" s="722">
        <v>80043.649047087005</v>
      </c>
      <c r="DF40" s="722">
        <v>80043.649047087005</v>
      </c>
      <c r="DG40" s="722">
        <v>80043.649047087005</v>
      </c>
      <c r="DH40" s="722">
        <v>80043.649047087005</v>
      </c>
      <c r="DI40" s="722">
        <v>80043.649047087005</v>
      </c>
      <c r="DJ40" s="722">
        <v>80043.649047087005</v>
      </c>
      <c r="DK40" s="722">
        <v>82444.958518499625</v>
      </c>
      <c r="DL40" s="722">
        <v>82444.958518499625</v>
      </c>
      <c r="DM40" s="722">
        <v>82444.958518499625</v>
      </c>
      <c r="DN40" s="722">
        <v>82444.958518499625</v>
      </c>
      <c r="DO40" s="722">
        <v>82444.958518499625</v>
      </c>
      <c r="DP40" s="722">
        <v>82444.958518499625</v>
      </c>
      <c r="DQ40" s="722">
        <v>82444.958518499625</v>
      </c>
      <c r="DR40" s="722">
        <v>82444.958518499625</v>
      </c>
      <c r="DS40" s="722">
        <v>82444.958518499625</v>
      </c>
      <c r="DT40" s="722">
        <v>82444.958518499625</v>
      </c>
      <c r="DU40" s="722">
        <v>82444.958518499625</v>
      </c>
      <c r="DV40" s="722">
        <v>82444.958518499625</v>
      </c>
      <c r="DW40" s="722">
        <v>84918.307274054634</v>
      </c>
      <c r="DX40" s="722">
        <v>84918.307274054634</v>
      </c>
      <c r="DY40" s="722">
        <v>84918.307274054634</v>
      </c>
      <c r="DZ40" s="722">
        <v>84918.307274054634</v>
      </c>
      <c r="EA40" s="722">
        <v>84918.307274054634</v>
      </c>
      <c r="EB40" s="722">
        <v>84918.307274054634</v>
      </c>
      <c r="EC40" s="722">
        <v>84918.307274054634</v>
      </c>
      <c r="ED40" s="722">
        <v>84918.307274054634</v>
      </c>
      <c r="EE40" s="722">
        <v>84918.307274054634</v>
      </c>
      <c r="EF40" s="722">
        <v>84918.307274054634</v>
      </c>
      <c r="EG40" s="722">
        <v>84918.307274054634</v>
      </c>
      <c r="EH40" s="722">
        <v>84918.307274054634</v>
      </c>
      <c r="EI40" s="722">
        <v>87465.856492276289</v>
      </c>
      <c r="EJ40" s="722">
        <v>87465.856492276289</v>
      </c>
      <c r="EK40" s="722">
        <v>87465.856492276289</v>
      </c>
      <c r="EL40" s="722">
        <v>87465.856492276289</v>
      </c>
      <c r="EM40" s="722">
        <v>87465.856492276289</v>
      </c>
      <c r="EN40" s="722">
        <v>87465.856492276289</v>
      </c>
      <c r="EO40" s="722">
        <v>87465.856492276289</v>
      </c>
      <c r="EP40" s="722">
        <v>87465.856492276289</v>
      </c>
      <c r="EQ40" s="722">
        <v>87465.856492276289</v>
      </c>
      <c r="ER40" s="722">
        <v>87465.856492276289</v>
      </c>
      <c r="ES40" s="722">
        <v>87465.856492276289</v>
      </c>
      <c r="ET40" s="722">
        <v>87465.856492276289</v>
      </c>
      <c r="EU40" s="722">
        <v>90089.83218704458</v>
      </c>
      <c r="EV40" s="722">
        <v>90089.83218704458</v>
      </c>
      <c r="EW40" s="722">
        <v>90089.83218704458</v>
      </c>
      <c r="EX40" s="722">
        <v>90089.83218704458</v>
      </c>
      <c r="EY40" s="722">
        <v>90089.83218704458</v>
      </c>
      <c r="EZ40" s="722">
        <v>90089.83218704458</v>
      </c>
      <c r="FA40" s="722">
        <v>90089.83218704458</v>
      </c>
      <c r="FB40" s="722">
        <v>90089.83218704458</v>
      </c>
      <c r="FC40" s="722">
        <v>90089.83218704458</v>
      </c>
      <c r="FD40" s="722">
        <v>90089.83218704458</v>
      </c>
      <c r="FE40" s="722">
        <v>90089.83218704458</v>
      </c>
      <c r="FF40" s="722">
        <v>90089.83218704458</v>
      </c>
    </row>
    <row r="41" spans="1:162">
      <c r="A41"/>
      <c r="B41" s="46"/>
      <c r="C41" s="373"/>
      <c r="D41" s="395"/>
      <c r="E41" s="360"/>
      <c r="F41" s="366"/>
      <c r="G41" s="342"/>
      <c r="H41" s="385"/>
      <c r="I41" s="360"/>
      <c r="J41" s="366"/>
      <c r="K41" s="342"/>
      <c r="L41"/>
      <c r="M41" s="37" t="s">
        <v>31</v>
      </c>
      <c r="O41" s="636" t="s">
        <v>617</v>
      </c>
      <c r="P41" s="637"/>
      <c r="Q41" s="725">
        <v>-63985.500000000007</v>
      </c>
      <c r="R41" s="725">
        <v>-76570.200000000041</v>
      </c>
      <c r="S41" s="725">
        <v>-70605.016800000012</v>
      </c>
      <c r="T41" s="725">
        <v>-34814.282219999994</v>
      </c>
      <c r="U41" s="725">
        <v>-35858.710686599989</v>
      </c>
      <c r="V41" s="725">
        <v>-36934.472007198005</v>
      </c>
      <c r="W41" s="725">
        <v>-38042.506167413936</v>
      </c>
      <c r="X41" s="725">
        <v>-39183.781352436345</v>
      </c>
      <c r="Y41" s="725">
        <v>-40359.294793009438</v>
      </c>
      <c r="Z41" s="725">
        <v>-41570.073636799709</v>
      </c>
      <c r="AA41" s="725">
        <v>-42817.175845903723</v>
      </c>
      <c r="AB41" s="727"/>
      <c r="AC41" s="740" t="s">
        <v>617</v>
      </c>
      <c r="AD41" s="637"/>
      <c r="AE41" s="741">
        <v>-2920.5000000000018</v>
      </c>
      <c r="AF41" s="741">
        <v>-2654.9999999999995</v>
      </c>
      <c r="AG41" s="741">
        <v>-3540.0000000000014</v>
      </c>
      <c r="AH41" s="741">
        <v>-5309.9999999999991</v>
      </c>
      <c r="AI41" s="741">
        <v>-6195.0000000000009</v>
      </c>
      <c r="AJ41" s="741">
        <v>-6195.0000000000009</v>
      </c>
      <c r="AK41" s="741">
        <v>-6195.0000000000009</v>
      </c>
      <c r="AL41" s="741">
        <v>-6195.0000000000009</v>
      </c>
      <c r="AM41" s="741">
        <v>-6195.0000000000009</v>
      </c>
      <c r="AN41" s="741">
        <v>-6195.0000000000009</v>
      </c>
      <c r="AO41" s="741">
        <v>-6195.0000000000009</v>
      </c>
      <c r="AP41" s="741">
        <v>-6195.0000000000009</v>
      </c>
      <c r="AQ41" s="741">
        <v>-6380.8500000000022</v>
      </c>
      <c r="AR41" s="741">
        <v>-6380.8500000000022</v>
      </c>
      <c r="AS41" s="741">
        <v>-6380.8500000000022</v>
      </c>
      <c r="AT41" s="741">
        <v>-6380.8500000000022</v>
      </c>
      <c r="AU41" s="741">
        <v>-6380.8500000000022</v>
      </c>
      <c r="AV41" s="741">
        <v>-6380.8500000000022</v>
      </c>
      <c r="AW41" s="741">
        <v>-6380.8500000000022</v>
      </c>
      <c r="AX41" s="741">
        <v>-6380.8500000000022</v>
      </c>
      <c r="AY41" s="741">
        <v>-6380.8500000000022</v>
      </c>
      <c r="AZ41" s="741">
        <v>-6380.8500000000022</v>
      </c>
      <c r="BA41" s="741">
        <v>-6380.8500000000022</v>
      </c>
      <c r="BB41" s="741">
        <v>-6380.8500000000022</v>
      </c>
      <c r="BC41" s="741">
        <v>-6572.2755000000006</v>
      </c>
      <c r="BD41" s="741">
        <v>-6572.2755000000006</v>
      </c>
      <c r="BE41" s="741">
        <v>-6572.2755000000006</v>
      </c>
      <c r="BF41" s="741">
        <v>-6572.2755000000006</v>
      </c>
      <c r="BG41" s="741">
        <v>-6572.2755000000006</v>
      </c>
      <c r="BH41" s="741">
        <v>-6572.2755000000006</v>
      </c>
      <c r="BI41" s="741">
        <v>-6572.2755000000006</v>
      </c>
      <c r="BJ41" s="741">
        <v>-6572.2755000000006</v>
      </c>
      <c r="BK41" s="741">
        <v>-6384.4961999999996</v>
      </c>
      <c r="BL41" s="741">
        <v>-5257.8204000000023</v>
      </c>
      <c r="BM41" s="741">
        <v>-3567.8066999999996</v>
      </c>
      <c r="BN41" s="741">
        <v>-2816.6894999999995</v>
      </c>
      <c r="BO41" s="741">
        <v>-2901.1901849999995</v>
      </c>
      <c r="BP41" s="741">
        <v>-2901.1901849999995</v>
      </c>
      <c r="BQ41" s="741">
        <v>-2901.1901849999995</v>
      </c>
      <c r="BR41" s="741">
        <v>-2901.1901849999995</v>
      </c>
      <c r="BS41" s="741">
        <v>-2901.1901849999995</v>
      </c>
      <c r="BT41" s="741">
        <v>-2901.1901849999995</v>
      </c>
      <c r="BU41" s="741">
        <v>-2901.1901849999995</v>
      </c>
      <c r="BV41" s="741">
        <v>-2901.1901849999995</v>
      </c>
      <c r="BW41" s="741">
        <v>-2901.1901849999995</v>
      </c>
      <c r="BX41" s="741">
        <v>-2901.1901849999995</v>
      </c>
      <c r="BY41" s="741">
        <v>-2901.1901849999995</v>
      </c>
      <c r="BZ41" s="741">
        <v>-2901.1901849999995</v>
      </c>
      <c r="CA41" s="741">
        <v>-2988.2258905499993</v>
      </c>
      <c r="CB41" s="741">
        <v>-2988.2258905499993</v>
      </c>
      <c r="CC41" s="741">
        <v>-2988.2258905499993</v>
      </c>
      <c r="CD41" s="741">
        <v>-2988.2258905499993</v>
      </c>
      <c r="CE41" s="741">
        <v>-2988.2258905499993</v>
      </c>
      <c r="CF41" s="741">
        <v>-2988.2258905499993</v>
      </c>
      <c r="CG41" s="741">
        <v>-2988.2258905499993</v>
      </c>
      <c r="CH41" s="741">
        <v>-2988.2258905499993</v>
      </c>
      <c r="CI41" s="741">
        <v>-2988.2258905499993</v>
      </c>
      <c r="CJ41" s="741">
        <v>-2988.2258905499993</v>
      </c>
      <c r="CK41" s="741">
        <v>-2988.2258905499993</v>
      </c>
      <c r="CL41" s="741">
        <v>-2988.2258905499993</v>
      </c>
      <c r="CM41" s="741">
        <v>-3077.8726672665002</v>
      </c>
      <c r="CN41" s="741">
        <v>-3077.8726672665002</v>
      </c>
      <c r="CO41" s="741">
        <v>-3077.8726672665002</v>
      </c>
      <c r="CP41" s="741">
        <v>-3077.8726672665002</v>
      </c>
      <c r="CQ41" s="741">
        <v>-3077.8726672665002</v>
      </c>
      <c r="CR41" s="741">
        <v>-3077.8726672665002</v>
      </c>
      <c r="CS41" s="741">
        <v>-3077.8726672665002</v>
      </c>
      <c r="CT41" s="741">
        <v>-3077.8726672665002</v>
      </c>
      <c r="CU41" s="741">
        <v>-3077.8726672665002</v>
      </c>
      <c r="CV41" s="741">
        <v>-3077.8726672665002</v>
      </c>
      <c r="CW41" s="741">
        <v>-3077.8726672665002</v>
      </c>
      <c r="CX41" s="741">
        <v>-3077.8726672665002</v>
      </c>
      <c r="CY41" s="741">
        <v>-3170.2088472844944</v>
      </c>
      <c r="CZ41" s="741">
        <v>-3170.2088472844944</v>
      </c>
      <c r="DA41" s="741">
        <v>-3170.2088472844944</v>
      </c>
      <c r="DB41" s="741">
        <v>-3170.2088472844944</v>
      </c>
      <c r="DC41" s="741">
        <v>-3170.2088472844944</v>
      </c>
      <c r="DD41" s="741">
        <v>-3170.2088472844944</v>
      </c>
      <c r="DE41" s="741">
        <v>-3170.2088472844944</v>
      </c>
      <c r="DF41" s="741">
        <v>-3170.2088472844944</v>
      </c>
      <c r="DG41" s="741">
        <v>-3170.2088472844944</v>
      </c>
      <c r="DH41" s="741">
        <v>-3170.2088472844944</v>
      </c>
      <c r="DI41" s="741">
        <v>-3170.2088472844944</v>
      </c>
      <c r="DJ41" s="741">
        <v>-3170.2088472844944</v>
      </c>
      <c r="DK41" s="741">
        <v>-3265.3151127030287</v>
      </c>
      <c r="DL41" s="741">
        <v>-3265.3151127030287</v>
      </c>
      <c r="DM41" s="741">
        <v>-3265.3151127030287</v>
      </c>
      <c r="DN41" s="741">
        <v>-3265.3151127030287</v>
      </c>
      <c r="DO41" s="741">
        <v>-3265.3151127030287</v>
      </c>
      <c r="DP41" s="741">
        <v>-3265.3151127030287</v>
      </c>
      <c r="DQ41" s="741">
        <v>-3265.3151127030287</v>
      </c>
      <c r="DR41" s="741">
        <v>-3265.3151127030287</v>
      </c>
      <c r="DS41" s="741">
        <v>-3265.3151127030287</v>
      </c>
      <c r="DT41" s="741">
        <v>-3265.3151127030287</v>
      </c>
      <c r="DU41" s="741">
        <v>-3265.3151127030287</v>
      </c>
      <c r="DV41" s="741">
        <v>-3265.3151127030287</v>
      </c>
      <c r="DW41" s="741">
        <v>-3363.2745660841201</v>
      </c>
      <c r="DX41" s="741">
        <v>-3363.2745660841201</v>
      </c>
      <c r="DY41" s="741">
        <v>-3363.2745660841201</v>
      </c>
      <c r="DZ41" s="741">
        <v>-3363.2745660841201</v>
      </c>
      <c r="EA41" s="741">
        <v>-3363.2745660841201</v>
      </c>
      <c r="EB41" s="741">
        <v>-3363.2745660841201</v>
      </c>
      <c r="EC41" s="741">
        <v>-3363.2745660841201</v>
      </c>
      <c r="ED41" s="741">
        <v>-3363.2745660841201</v>
      </c>
      <c r="EE41" s="741">
        <v>-3363.2745660841201</v>
      </c>
      <c r="EF41" s="741">
        <v>-3363.2745660841201</v>
      </c>
      <c r="EG41" s="741">
        <v>-3363.2745660841201</v>
      </c>
      <c r="EH41" s="741">
        <v>-3363.2745660841201</v>
      </c>
      <c r="EI41" s="741">
        <v>-3464.1728030666436</v>
      </c>
      <c r="EJ41" s="741">
        <v>-3464.1728030666436</v>
      </c>
      <c r="EK41" s="741">
        <v>-3464.1728030666436</v>
      </c>
      <c r="EL41" s="741">
        <v>-3464.1728030666436</v>
      </c>
      <c r="EM41" s="741">
        <v>-3464.1728030666436</v>
      </c>
      <c r="EN41" s="741">
        <v>-3464.1728030666436</v>
      </c>
      <c r="EO41" s="741">
        <v>-3464.1728030666436</v>
      </c>
      <c r="EP41" s="741">
        <v>-3464.1728030666436</v>
      </c>
      <c r="EQ41" s="741">
        <v>-3464.1728030666436</v>
      </c>
      <c r="ER41" s="741">
        <v>-3464.1728030666436</v>
      </c>
      <c r="ES41" s="741">
        <v>-3464.1728030666436</v>
      </c>
      <c r="ET41" s="741">
        <v>-3464.1728030666436</v>
      </c>
      <c r="EU41" s="741">
        <v>-3568.0979871586433</v>
      </c>
      <c r="EV41" s="741">
        <v>-3568.0979871586433</v>
      </c>
      <c r="EW41" s="741">
        <v>-3568.0979871586433</v>
      </c>
      <c r="EX41" s="741">
        <v>-3568.0979871586433</v>
      </c>
      <c r="EY41" s="741">
        <v>-3568.0979871586433</v>
      </c>
      <c r="EZ41" s="741">
        <v>-3568.0979871586433</v>
      </c>
      <c r="FA41" s="741">
        <v>-3568.0979871586433</v>
      </c>
      <c r="FB41" s="741">
        <v>-3568.0979871586433</v>
      </c>
      <c r="FC41" s="741">
        <v>-3568.0979871586433</v>
      </c>
      <c r="FD41" s="741">
        <v>-3568.0979871586433</v>
      </c>
      <c r="FE41" s="741">
        <v>-3568.0979871586433</v>
      </c>
      <c r="FF41" s="741">
        <v>-3568.0979871586433</v>
      </c>
    </row>
    <row r="42" spans="1:162" ht="15">
      <c r="A42"/>
      <c r="B42" s="55" t="s">
        <v>49</v>
      </c>
      <c r="C42" s="136">
        <f>'Old OSAR'!K53</f>
        <v>61600</v>
      </c>
      <c r="D42" s="387">
        <f>SUMIFS(AE:AE,M:M,B42)*12</f>
        <v>61600</v>
      </c>
      <c r="E42" s="370">
        <f>C42-D42</f>
        <v>0</v>
      </c>
      <c r="F42" s="371">
        <f>(C42-D42)/D42</f>
        <v>0</v>
      </c>
      <c r="G42" s="342"/>
      <c r="H42" s="400">
        <f>'2025 Budget'!U45</f>
        <v>61600</v>
      </c>
      <c r="I42" s="370">
        <f t="shared" si="8"/>
        <v>0</v>
      </c>
      <c r="J42" s="371">
        <f>H42/C42-1</f>
        <v>0</v>
      </c>
      <c r="K42" s="342"/>
      <c r="L42"/>
      <c r="O42" s="715" t="s">
        <v>618</v>
      </c>
      <c r="P42" s="716">
        <v>669581.9</v>
      </c>
      <c r="Q42" s="719">
        <v>676841.25073417393</v>
      </c>
      <c r="R42" s="719">
        <v>745010.70052686776</v>
      </c>
      <c r="S42" s="719">
        <v>782807.92855494877</v>
      </c>
      <c r="T42" s="719">
        <v>844201.05149559723</v>
      </c>
      <c r="U42" s="719">
        <v>869527.08304046537</v>
      </c>
      <c r="V42" s="719">
        <v>895612.89553167939</v>
      </c>
      <c r="W42" s="719">
        <v>922481.28239763028</v>
      </c>
      <c r="X42" s="719">
        <v>950155.72086955933</v>
      </c>
      <c r="Y42" s="719">
        <v>978660.39249564626</v>
      </c>
      <c r="Z42" s="719">
        <v>1008020.2042705159</v>
      </c>
      <c r="AA42" s="719">
        <v>1038260.8103986314</v>
      </c>
      <c r="AB42" s="727"/>
      <c r="AC42" s="721" t="s">
        <v>618</v>
      </c>
      <c r="AD42" s="716">
        <v>669581.9</v>
      </c>
      <c r="AE42" s="722">
        <v>58815.06256118117</v>
      </c>
      <c r="AF42" s="722">
        <v>59080.56256118117</v>
      </c>
      <c r="AG42" s="722">
        <v>58195.56256118117</v>
      </c>
      <c r="AH42" s="722">
        <v>56425.56256118117</v>
      </c>
      <c r="AI42" s="722">
        <v>55540.56256118117</v>
      </c>
      <c r="AJ42" s="722">
        <v>55540.56256118117</v>
      </c>
      <c r="AK42" s="722">
        <v>55540.56256118117</v>
      </c>
      <c r="AL42" s="722">
        <v>55540.56256118117</v>
      </c>
      <c r="AM42" s="722">
        <v>55540.56256118117</v>
      </c>
      <c r="AN42" s="722">
        <v>55540.56256118117</v>
      </c>
      <c r="AO42" s="722">
        <v>55540.56256118117</v>
      </c>
      <c r="AP42" s="722">
        <v>55540.56256118117</v>
      </c>
      <c r="AQ42" s="722">
        <v>62084.225043905652</v>
      </c>
      <c r="AR42" s="722">
        <v>62084.225043905652</v>
      </c>
      <c r="AS42" s="722">
        <v>62084.225043905652</v>
      </c>
      <c r="AT42" s="722">
        <v>62084.225043905652</v>
      </c>
      <c r="AU42" s="722">
        <v>62084.225043905652</v>
      </c>
      <c r="AV42" s="722">
        <v>62084.225043905652</v>
      </c>
      <c r="AW42" s="722">
        <v>62084.225043905652</v>
      </c>
      <c r="AX42" s="722">
        <v>62084.225043905652</v>
      </c>
      <c r="AY42" s="722">
        <v>62084.225043905652</v>
      </c>
      <c r="AZ42" s="722">
        <v>62084.225043905652</v>
      </c>
      <c r="BA42" s="722">
        <v>62084.225043905652</v>
      </c>
      <c r="BB42" s="722">
        <v>62084.225043905652</v>
      </c>
      <c r="BC42" s="722">
        <v>64545.469946245707</v>
      </c>
      <c r="BD42" s="722">
        <v>64545.469946245707</v>
      </c>
      <c r="BE42" s="722">
        <v>64545.469946245707</v>
      </c>
      <c r="BF42" s="722">
        <v>64545.469946245707</v>
      </c>
      <c r="BG42" s="722">
        <v>64545.469946245707</v>
      </c>
      <c r="BH42" s="722">
        <v>64545.469946245707</v>
      </c>
      <c r="BI42" s="722">
        <v>64545.469946245707</v>
      </c>
      <c r="BJ42" s="722">
        <v>64545.469946245707</v>
      </c>
      <c r="BK42" s="722">
        <v>64733.249246245708</v>
      </c>
      <c r="BL42" s="722">
        <v>65859.925046245713</v>
      </c>
      <c r="BM42" s="722">
        <v>67549.938746245709</v>
      </c>
      <c r="BN42" s="722">
        <v>68301.055946245717</v>
      </c>
      <c r="BO42" s="722">
        <v>70350.087624633103</v>
      </c>
      <c r="BP42" s="722">
        <v>70350.087624633103</v>
      </c>
      <c r="BQ42" s="722">
        <v>70350.087624633103</v>
      </c>
      <c r="BR42" s="722">
        <v>70350.087624633103</v>
      </c>
      <c r="BS42" s="722">
        <v>70350.087624633103</v>
      </c>
      <c r="BT42" s="722">
        <v>70350.087624633103</v>
      </c>
      <c r="BU42" s="722">
        <v>70350.087624633103</v>
      </c>
      <c r="BV42" s="722">
        <v>70350.087624633103</v>
      </c>
      <c r="BW42" s="722">
        <v>70350.087624633103</v>
      </c>
      <c r="BX42" s="722">
        <v>70350.087624633103</v>
      </c>
      <c r="BY42" s="722">
        <v>70350.087624633103</v>
      </c>
      <c r="BZ42" s="722">
        <v>70350.087624633103</v>
      </c>
      <c r="CA42" s="722">
        <v>72460.590253372095</v>
      </c>
      <c r="CB42" s="722">
        <v>72460.590253372095</v>
      </c>
      <c r="CC42" s="722">
        <v>72460.590253372095</v>
      </c>
      <c r="CD42" s="722">
        <v>72460.590253372095</v>
      </c>
      <c r="CE42" s="722">
        <v>72460.590253372095</v>
      </c>
      <c r="CF42" s="722">
        <v>72460.590253372095</v>
      </c>
      <c r="CG42" s="722">
        <v>72460.590253372095</v>
      </c>
      <c r="CH42" s="722">
        <v>72460.590253372095</v>
      </c>
      <c r="CI42" s="722">
        <v>72460.590253372095</v>
      </c>
      <c r="CJ42" s="722">
        <v>72460.590253372095</v>
      </c>
      <c r="CK42" s="722">
        <v>72460.590253372095</v>
      </c>
      <c r="CL42" s="722">
        <v>72460.590253372095</v>
      </c>
      <c r="CM42" s="722">
        <v>74634.407960973273</v>
      </c>
      <c r="CN42" s="722">
        <v>74634.407960973273</v>
      </c>
      <c r="CO42" s="722">
        <v>74634.407960973273</v>
      </c>
      <c r="CP42" s="722">
        <v>74634.407960973273</v>
      </c>
      <c r="CQ42" s="722">
        <v>74634.407960973273</v>
      </c>
      <c r="CR42" s="722">
        <v>74634.407960973273</v>
      </c>
      <c r="CS42" s="722">
        <v>74634.407960973273</v>
      </c>
      <c r="CT42" s="722">
        <v>74634.407960973273</v>
      </c>
      <c r="CU42" s="722">
        <v>74634.407960973273</v>
      </c>
      <c r="CV42" s="722">
        <v>74634.407960973273</v>
      </c>
      <c r="CW42" s="722">
        <v>74634.407960973273</v>
      </c>
      <c r="CX42" s="722">
        <v>74634.407960973273</v>
      </c>
      <c r="CY42" s="722">
        <v>76873.440199802513</v>
      </c>
      <c r="CZ42" s="722">
        <v>76873.440199802513</v>
      </c>
      <c r="DA42" s="722">
        <v>76873.440199802513</v>
      </c>
      <c r="DB42" s="722">
        <v>76873.440199802513</v>
      </c>
      <c r="DC42" s="722">
        <v>76873.440199802513</v>
      </c>
      <c r="DD42" s="722">
        <v>76873.440199802513</v>
      </c>
      <c r="DE42" s="722">
        <v>76873.440199802513</v>
      </c>
      <c r="DF42" s="722">
        <v>76873.440199802513</v>
      </c>
      <c r="DG42" s="722">
        <v>76873.440199802513</v>
      </c>
      <c r="DH42" s="722">
        <v>76873.440199802513</v>
      </c>
      <c r="DI42" s="722">
        <v>76873.440199802513</v>
      </c>
      <c r="DJ42" s="722">
        <v>76873.440199802513</v>
      </c>
      <c r="DK42" s="722">
        <v>79179.643405796596</v>
      </c>
      <c r="DL42" s="722">
        <v>79179.643405796596</v>
      </c>
      <c r="DM42" s="722">
        <v>79179.643405796596</v>
      </c>
      <c r="DN42" s="722">
        <v>79179.643405796596</v>
      </c>
      <c r="DO42" s="722">
        <v>79179.643405796596</v>
      </c>
      <c r="DP42" s="722">
        <v>79179.643405796596</v>
      </c>
      <c r="DQ42" s="722">
        <v>79179.643405796596</v>
      </c>
      <c r="DR42" s="722">
        <v>79179.643405796596</v>
      </c>
      <c r="DS42" s="722">
        <v>79179.643405796596</v>
      </c>
      <c r="DT42" s="722">
        <v>79179.643405796596</v>
      </c>
      <c r="DU42" s="722">
        <v>79179.643405796596</v>
      </c>
      <c r="DV42" s="722">
        <v>79179.643405796596</v>
      </c>
      <c r="DW42" s="722">
        <v>81555.032707970517</v>
      </c>
      <c r="DX42" s="722">
        <v>81555.032707970517</v>
      </c>
      <c r="DY42" s="722">
        <v>81555.032707970517</v>
      </c>
      <c r="DZ42" s="722">
        <v>81555.032707970517</v>
      </c>
      <c r="EA42" s="722">
        <v>81555.032707970517</v>
      </c>
      <c r="EB42" s="722">
        <v>81555.032707970517</v>
      </c>
      <c r="EC42" s="722">
        <v>81555.032707970517</v>
      </c>
      <c r="ED42" s="722">
        <v>81555.032707970517</v>
      </c>
      <c r="EE42" s="722">
        <v>81555.032707970517</v>
      </c>
      <c r="EF42" s="722">
        <v>81555.032707970517</v>
      </c>
      <c r="EG42" s="722">
        <v>81555.032707970517</v>
      </c>
      <c r="EH42" s="722">
        <v>81555.032707970517</v>
      </c>
      <c r="EI42" s="722">
        <v>84001.683689209647</v>
      </c>
      <c r="EJ42" s="722">
        <v>84001.683689209647</v>
      </c>
      <c r="EK42" s="722">
        <v>84001.683689209647</v>
      </c>
      <c r="EL42" s="722">
        <v>84001.683689209647</v>
      </c>
      <c r="EM42" s="722">
        <v>84001.683689209647</v>
      </c>
      <c r="EN42" s="722">
        <v>84001.683689209647</v>
      </c>
      <c r="EO42" s="722">
        <v>84001.683689209647</v>
      </c>
      <c r="EP42" s="722">
        <v>84001.683689209647</v>
      </c>
      <c r="EQ42" s="722">
        <v>84001.683689209647</v>
      </c>
      <c r="ER42" s="722">
        <v>84001.683689209647</v>
      </c>
      <c r="ES42" s="722">
        <v>84001.683689209647</v>
      </c>
      <c r="ET42" s="722">
        <v>84001.683689209647</v>
      </c>
      <c r="EU42" s="722">
        <v>86521.734199885934</v>
      </c>
      <c r="EV42" s="722">
        <v>86521.734199885934</v>
      </c>
      <c r="EW42" s="722">
        <v>86521.734199885934</v>
      </c>
      <c r="EX42" s="722">
        <v>86521.734199885934</v>
      </c>
      <c r="EY42" s="722">
        <v>86521.734199885934</v>
      </c>
      <c r="EZ42" s="722">
        <v>86521.734199885934</v>
      </c>
      <c r="FA42" s="722">
        <v>86521.734199885934</v>
      </c>
      <c r="FB42" s="722">
        <v>86521.734199885934</v>
      </c>
      <c r="FC42" s="722">
        <v>86521.734199885934</v>
      </c>
      <c r="FD42" s="722">
        <v>86521.734199885934</v>
      </c>
      <c r="FE42" s="722">
        <v>86521.734199885934</v>
      </c>
      <c r="FF42" s="722">
        <v>86521.734199885934</v>
      </c>
    </row>
    <row r="43" spans="1:162" ht="13.5" thickBot="1">
      <c r="A43"/>
      <c r="B43" s="55" t="s">
        <v>50</v>
      </c>
      <c r="C43" s="367"/>
      <c r="D43" s="367"/>
      <c r="E43" s="367"/>
      <c r="F43" s="367"/>
      <c r="G43" s="342"/>
      <c r="H43" s="401"/>
      <c r="I43" s="402"/>
      <c r="J43" s="402"/>
      <c r="K43" s="342"/>
      <c r="L43"/>
      <c r="O43" s="743"/>
      <c r="P43" s="744"/>
      <c r="Q43" s="746"/>
      <c r="R43" s="746"/>
      <c r="S43" s="746"/>
      <c r="T43" s="746"/>
      <c r="U43" s="746"/>
      <c r="V43" s="746"/>
      <c r="W43" s="746"/>
      <c r="X43" s="746"/>
      <c r="Y43" s="746"/>
      <c r="Z43" s="746"/>
      <c r="AA43" s="746"/>
      <c r="AB43" s="747"/>
      <c r="AC43" s="748"/>
      <c r="AD43" s="744"/>
      <c r="AE43" s="749"/>
      <c r="AF43" s="749"/>
      <c r="AG43" s="749"/>
      <c r="AH43" s="749"/>
      <c r="AI43" s="749"/>
      <c r="AJ43" s="749"/>
      <c r="AK43" s="749"/>
      <c r="AL43" s="749"/>
      <c r="AM43" s="749"/>
      <c r="AN43" s="749"/>
      <c r="AO43" s="749"/>
      <c r="AP43" s="749"/>
      <c r="AQ43" s="749"/>
      <c r="AR43" s="749"/>
      <c r="AS43" s="749"/>
      <c r="AT43" s="749"/>
      <c r="AU43" s="749"/>
      <c r="AV43" s="749"/>
      <c r="AW43" s="749"/>
      <c r="AX43" s="749"/>
      <c r="AY43" s="749"/>
      <c r="AZ43" s="749"/>
      <c r="BA43" s="749"/>
      <c r="BB43" s="749"/>
      <c r="BC43" s="749"/>
      <c r="BD43" s="749"/>
      <c r="BE43" s="749"/>
      <c r="BF43" s="749"/>
      <c r="BG43" s="749"/>
      <c r="BH43" s="749"/>
      <c r="BI43" s="749"/>
      <c r="BJ43" s="749"/>
      <c r="BK43" s="749"/>
      <c r="BL43" s="749"/>
      <c r="BM43" s="749"/>
      <c r="BN43" s="749"/>
      <c r="BO43" s="749"/>
      <c r="BP43" s="749"/>
      <c r="BQ43" s="749"/>
      <c r="BR43" s="749"/>
      <c r="BS43" s="749"/>
      <c r="BT43" s="749"/>
      <c r="BU43" s="749"/>
      <c r="BV43" s="749"/>
      <c r="BW43" s="749"/>
      <c r="BX43" s="749"/>
      <c r="BY43" s="749"/>
      <c r="BZ43" s="749"/>
      <c r="CA43" s="749"/>
      <c r="CB43" s="749"/>
      <c r="CC43" s="749"/>
      <c r="CD43" s="749"/>
      <c r="CE43" s="749"/>
      <c r="CF43" s="749"/>
      <c r="CG43" s="749"/>
      <c r="CH43" s="749"/>
      <c r="CI43" s="749"/>
      <c r="CJ43" s="749"/>
      <c r="CK43" s="749"/>
      <c r="CL43" s="749"/>
      <c r="CM43" s="749"/>
      <c r="CN43" s="749"/>
      <c r="CO43" s="749"/>
      <c r="CP43" s="749"/>
      <c r="CQ43" s="749"/>
      <c r="CR43" s="749"/>
      <c r="CS43" s="749"/>
      <c r="CT43" s="749"/>
      <c r="CU43" s="749"/>
      <c r="CV43" s="749"/>
      <c r="CW43" s="749"/>
      <c r="CX43" s="749"/>
      <c r="CY43" s="749"/>
      <c r="CZ43" s="749"/>
      <c r="DA43" s="749"/>
      <c r="DB43" s="749"/>
      <c r="DC43" s="749"/>
      <c r="DD43" s="749"/>
      <c r="DE43" s="749"/>
      <c r="DF43" s="749"/>
      <c r="DG43" s="749"/>
      <c r="DH43" s="749"/>
      <c r="DI43" s="749"/>
      <c r="DJ43" s="749"/>
      <c r="DK43" s="749"/>
      <c r="DL43" s="749"/>
      <c r="DM43" s="749"/>
      <c r="DN43" s="749"/>
      <c r="DO43" s="749"/>
      <c r="DP43" s="749"/>
      <c r="DQ43" s="749"/>
      <c r="DR43" s="749"/>
      <c r="DS43" s="749"/>
      <c r="DT43" s="749"/>
      <c r="DU43" s="749"/>
      <c r="DV43" s="749"/>
      <c r="DW43" s="749"/>
      <c r="DX43" s="749"/>
      <c r="DY43" s="749"/>
      <c r="DZ43" s="749"/>
      <c r="EA43" s="749"/>
      <c r="EB43" s="749"/>
      <c r="EC43" s="749"/>
      <c r="ED43" s="749"/>
      <c r="EE43" s="749"/>
      <c r="EF43" s="749"/>
      <c r="EG43" s="749"/>
      <c r="EH43" s="749"/>
      <c r="EI43" s="749"/>
      <c r="EJ43" s="749"/>
      <c r="EK43" s="749"/>
      <c r="EL43" s="749"/>
      <c r="EM43" s="749"/>
      <c r="EN43" s="749"/>
      <c r="EO43" s="749"/>
      <c r="EP43" s="749"/>
      <c r="EQ43" s="749"/>
      <c r="ER43" s="749"/>
      <c r="ES43" s="749"/>
      <c r="ET43" s="749"/>
      <c r="EU43" s="749"/>
      <c r="EV43" s="749"/>
      <c r="EW43" s="749"/>
      <c r="EX43" s="749"/>
      <c r="EY43" s="749"/>
      <c r="EZ43" s="749"/>
      <c r="FA43" s="749"/>
      <c r="FB43" s="749"/>
      <c r="FC43" s="749"/>
      <c r="FD43" s="749"/>
      <c r="FE43" s="749"/>
      <c r="FF43" s="749"/>
    </row>
    <row r="44" spans="1:162" ht="15.75" thickBot="1">
      <c r="A44"/>
      <c r="B44" s="56" t="s">
        <v>51</v>
      </c>
      <c r="C44" s="220">
        <f>'Old OSAR'!K55</f>
        <v>61600</v>
      </c>
      <c r="D44" s="389">
        <f>SUM(D42:D43)</f>
        <v>61600</v>
      </c>
      <c r="E44" s="370">
        <f>C44-D44</f>
        <v>0</v>
      </c>
      <c r="F44" s="371">
        <f>(C44-D44)/D44</f>
        <v>0</v>
      </c>
      <c r="G44" s="342"/>
      <c r="H44" s="403">
        <f>'2025 Budget'!U47</f>
        <v>61600</v>
      </c>
      <c r="I44" s="370">
        <f t="shared" si="8"/>
        <v>0</v>
      </c>
      <c r="J44" s="371">
        <f>H44/C44-1</f>
        <v>0</v>
      </c>
      <c r="K44" s="342"/>
      <c r="L44"/>
      <c r="M44" s="46" t="s">
        <v>32</v>
      </c>
      <c r="O44" s="750" t="s">
        <v>359</v>
      </c>
      <c r="P44" s="751">
        <v>7099935.620000001</v>
      </c>
      <c r="Q44" s="753">
        <v>6795392.6430879515</v>
      </c>
      <c r="R44" s="753">
        <v>7149461.3553786809</v>
      </c>
      <c r="S44" s="753">
        <v>7849295.5337481024</v>
      </c>
      <c r="T44" s="753">
        <v>8668051.551610522</v>
      </c>
      <c r="U44" s="753">
        <v>8890485.9422618281</v>
      </c>
      <c r="V44" s="753">
        <v>9108240.6749584451</v>
      </c>
      <c r="W44" s="753">
        <v>9381487.8952072058</v>
      </c>
      <c r="X44" s="753">
        <v>9662932.5320634339</v>
      </c>
      <c r="Y44" s="753">
        <v>9952820.5080253445</v>
      </c>
      <c r="Z44" s="753">
        <v>10251405.123266114</v>
      </c>
      <c r="AA44" s="753">
        <v>10558947.276964108</v>
      </c>
      <c r="AB44" s="727"/>
      <c r="AC44" s="754" t="s">
        <v>359</v>
      </c>
      <c r="AD44" s="751">
        <v>7099935.620000001</v>
      </c>
      <c r="AE44" s="755">
        <v>584420.71481368481</v>
      </c>
      <c r="AF44" s="755">
        <v>588416.07307383569</v>
      </c>
      <c r="AG44" s="755">
        <v>578939.89043407247</v>
      </c>
      <c r="AH44" s="755">
        <v>559048.39860858151</v>
      </c>
      <c r="AI44" s="755">
        <v>551305.50082702958</v>
      </c>
      <c r="AJ44" s="755">
        <v>553950.09140611731</v>
      </c>
      <c r="AK44" s="755">
        <v>556596.01901626831</v>
      </c>
      <c r="AL44" s="755">
        <v>559243.2857917198</v>
      </c>
      <c r="AM44" s="755">
        <v>561891.89387011598</v>
      </c>
      <c r="AN44" s="755">
        <v>564541.84539251286</v>
      </c>
      <c r="AO44" s="755">
        <v>567193.14250338473</v>
      </c>
      <c r="AP44" s="755">
        <v>569845.78735062853</v>
      </c>
      <c r="AQ44" s="755">
        <v>578742.3837615638</v>
      </c>
      <c r="AR44" s="755">
        <v>581832.33838869072</v>
      </c>
      <c r="AS44" s="755">
        <v>584925.07765936363</v>
      </c>
      <c r="AT44" s="755">
        <v>588020.60786044761</v>
      </c>
      <c r="AU44" s="755">
        <v>591118.93529300182</v>
      </c>
      <c r="AV44" s="755">
        <v>594220.06627231103</v>
      </c>
      <c r="AW44" s="755">
        <v>597324.00712791807</v>
      </c>
      <c r="AX44" s="755">
        <v>600430.76420365577</v>
      </c>
      <c r="AY44" s="755">
        <v>603540.34385767963</v>
      </c>
      <c r="AZ44" s="755">
        <v>606652.75246249954</v>
      </c>
      <c r="BA44" s="755">
        <v>609767.99640501291</v>
      </c>
      <c r="BB44" s="755">
        <v>612886.0820865368</v>
      </c>
      <c r="BC44" s="755">
        <v>627983.5988174465</v>
      </c>
      <c r="BD44" s="755">
        <v>631152.40012133296</v>
      </c>
      <c r="BE44" s="755">
        <v>634323.93677542952</v>
      </c>
      <c r="BF44" s="755">
        <v>637498.21470178431</v>
      </c>
      <c r="BG44" s="755">
        <v>640675.23983526649</v>
      </c>
      <c r="BH44" s="755">
        <v>643855.01812359446</v>
      </c>
      <c r="BI44" s="755">
        <v>647037.55552736321</v>
      </c>
      <c r="BJ44" s="755">
        <v>650222.85802007245</v>
      </c>
      <c r="BK44" s="755">
        <v>655807.4359813492</v>
      </c>
      <c r="BL44" s="755">
        <v>673459.12966651306</v>
      </c>
      <c r="BM44" s="755">
        <v>698110.26190811768</v>
      </c>
      <c r="BN44" s="755">
        <v>709169.88426983368</v>
      </c>
      <c r="BO44" s="755">
        <v>714683.72180043801</v>
      </c>
      <c r="BP44" s="755">
        <v>716065.72097584663</v>
      </c>
      <c r="BQ44" s="755">
        <v>717450.59278260043</v>
      </c>
      <c r="BR44" s="755">
        <v>718838.34319176734</v>
      </c>
      <c r="BS44" s="755">
        <v>720228.97818682645</v>
      </c>
      <c r="BT44" s="755">
        <v>721622.50376369432</v>
      </c>
      <c r="BU44" s="755">
        <v>723018.92593075114</v>
      </c>
      <c r="BV44" s="755">
        <v>724418.25070886547</v>
      </c>
      <c r="BW44" s="755">
        <v>725820.48413142108</v>
      </c>
      <c r="BX44" s="755">
        <v>727225.63224434317</v>
      </c>
      <c r="BY44" s="755">
        <v>728633.70110612339</v>
      </c>
      <c r="BZ44" s="755">
        <v>730044.69678784709</v>
      </c>
      <c r="CA44" s="755">
        <v>733486.1931546242</v>
      </c>
      <c r="CB44" s="755">
        <v>734820.65177942358</v>
      </c>
      <c r="CC44" s="755">
        <v>736157.72319942201</v>
      </c>
      <c r="CD44" s="755">
        <v>737497.41253032605</v>
      </c>
      <c r="CE44" s="755">
        <v>738839.72489785857</v>
      </c>
      <c r="CF44" s="755">
        <v>740184.66543777811</v>
      </c>
      <c r="CG44" s="755">
        <v>741532.23929589929</v>
      </c>
      <c r="CH44" s="755">
        <v>742882.45162811119</v>
      </c>
      <c r="CI44" s="755">
        <v>744235.30760039855</v>
      </c>
      <c r="CJ44" s="755">
        <v>745590.81238886015</v>
      </c>
      <c r="CK44" s="755">
        <v>746948.97117972968</v>
      </c>
      <c r="CL44" s="755">
        <v>748309.78916939534</v>
      </c>
      <c r="CM44" s="755">
        <v>749472.37877119705</v>
      </c>
      <c r="CN44" s="755">
        <v>751194.0872852928</v>
      </c>
      <c r="CO44" s="755">
        <v>752920.04199705366</v>
      </c>
      <c r="CP44" s="755">
        <v>754650.25337874866</v>
      </c>
      <c r="CQ44" s="755">
        <v>756384.73192847404</v>
      </c>
      <c r="CR44" s="755">
        <v>758123.48817021726</v>
      </c>
      <c r="CS44" s="755">
        <v>759866.53265392082</v>
      </c>
      <c r="CT44" s="755">
        <v>761613.87595554627</v>
      </c>
      <c r="CU44" s="755">
        <v>763365.5286771385</v>
      </c>
      <c r="CV44" s="755">
        <v>765121.50144688948</v>
      </c>
      <c r="CW44" s="755">
        <v>766881.80491920351</v>
      </c>
      <c r="CX44" s="755">
        <v>768646.44977476122</v>
      </c>
      <c r="CY44" s="755">
        <v>771956.55013433378</v>
      </c>
      <c r="CZ44" s="755">
        <v>773729.9099038525</v>
      </c>
      <c r="DA44" s="755">
        <v>775507.64325696626</v>
      </c>
      <c r="DB44" s="755">
        <v>777289.76098011201</v>
      </c>
      <c r="DC44" s="755">
        <v>779076.27388632903</v>
      </c>
      <c r="DD44" s="755">
        <v>780867.19281532452</v>
      </c>
      <c r="DE44" s="755">
        <v>782662.52863353922</v>
      </c>
      <c r="DF44" s="755">
        <v>784462.29223421344</v>
      </c>
      <c r="DG44" s="755">
        <v>786266.49453745328</v>
      </c>
      <c r="DH44" s="755">
        <v>788075.14649029681</v>
      </c>
      <c r="DI44" s="755">
        <v>789888.25906678021</v>
      </c>
      <c r="DJ44" s="755">
        <v>791705.84326800494</v>
      </c>
      <c r="DK44" s="755">
        <v>795115.24663836462</v>
      </c>
      <c r="DL44" s="755">
        <v>796941.80720096896</v>
      </c>
      <c r="DM44" s="755">
        <v>798772.87255467614</v>
      </c>
      <c r="DN44" s="755">
        <v>800608.45380951627</v>
      </c>
      <c r="DO44" s="755">
        <v>802448.56210291979</v>
      </c>
      <c r="DP44" s="755">
        <v>804293.20859978523</v>
      </c>
      <c r="DQ44" s="755">
        <v>806142.40449254634</v>
      </c>
      <c r="DR44" s="755">
        <v>807996.16100124083</v>
      </c>
      <c r="DS44" s="755">
        <v>809854.48937357788</v>
      </c>
      <c r="DT44" s="755">
        <v>811717.40088500665</v>
      </c>
      <c r="DU44" s="755">
        <v>813584.90683878458</v>
      </c>
      <c r="DV44" s="755">
        <v>815457.01856604591</v>
      </c>
      <c r="DW44" s="755">
        <v>818968.70403751626</v>
      </c>
      <c r="DX44" s="755">
        <v>820850.06141699885</v>
      </c>
      <c r="DY44" s="755">
        <v>822736.05873131717</v>
      </c>
      <c r="DZ44" s="755">
        <v>824626.70742380247</v>
      </c>
      <c r="EA44" s="755">
        <v>826522.01896600809</v>
      </c>
      <c r="EB44" s="755">
        <v>828422.00485777936</v>
      </c>
      <c r="EC44" s="755">
        <v>830326.67662732338</v>
      </c>
      <c r="ED44" s="755">
        <v>832236.04583127866</v>
      </c>
      <c r="EE44" s="755">
        <v>834150.12405478593</v>
      </c>
      <c r="EF44" s="755">
        <v>836068.92291155749</v>
      </c>
      <c r="EG44" s="755">
        <v>837992.45404394891</v>
      </c>
      <c r="EH44" s="755">
        <v>839920.729123028</v>
      </c>
      <c r="EI44" s="755">
        <v>843537.76515864255</v>
      </c>
      <c r="EJ44" s="755">
        <v>845475.56325950951</v>
      </c>
      <c r="EK44" s="755">
        <v>847418.14049325744</v>
      </c>
      <c r="EL44" s="755">
        <v>849365.50864651741</v>
      </c>
      <c r="EM44" s="755">
        <v>851317.67953498918</v>
      </c>
      <c r="EN44" s="755">
        <v>853274.66500351357</v>
      </c>
      <c r="EO44" s="755">
        <v>855236.47692614386</v>
      </c>
      <c r="EP44" s="755">
        <v>857203.12720621785</v>
      </c>
      <c r="EQ44" s="755">
        <v>859174.62777643022</v>
      </c>
      <c r="ER44" s="755">
        <v>861150.99059890513</v>
      </c>
      <c r="ES44" s="755">
        <v>863132.22766526812</v>
      </c>
      <c r="ET44" s="755">
        <v>865118.35099671967</v>
      </c>
      <c r="EU44" s="755">
        <v>868843.89811340277</v>
      </c>
      <c r="EV44" s="755">
        <v>870839.83015729568</v>
      </c>
      <c r="EW44" s="755">
        <v>872840.68470805592</v>
      </c>
      <c r="EX44" s="755">
        <v>874846.47390591365</v>
      </c>
      <c r="EY44" s="755">
        <v>876857.20992103964</v>
      </c>
      <c r="EZ44" s="755">
        <v>878872.90495361981</v>
      </c>
      <c r="FA44" s="755">
        <v>880893.57123392913</v>
      </c>
      <c r="FB44" s="755">
        <v>882919.22102240531</v>
      </c>
      <c r="FC44" s="755">
        <v>884949.86660972412</v>
      </c>
      <c r="FD44" s="755">
        <v>886985.52031687321</v>
      </c>
      <c r="FE44" s="755">
        <v>889026.19449522719</v>
      </c>
      <c r="FF44" s="755">
        <v>891071.90152662236</v>
      </c>
    </row>
    <row r="45" spans="1:162">
      <c r="A45"/>
      <c r="B45" s="46"/>
      <c r="C45" s="404"/>
      <c r="D45" s="395"/>
      <c r="E45" s="360"/>
      <c r="F45" s="366"/>
      <c r="G45" s="342"/>
      <c r="H45" s="385"/>
      <c r="I45" s="360"/>
      <c r="J45" s="366"/>
      <c r="K45" s="342"/>
      <c r="L45"/>
      <c r="O45" s="682" t="s">
        <v>613</v>
      </c>
      <c r="P45" s="756">
        <v>1920.9782521645022</v>
      </c>
      <c r="Q45" s="725">
        <v>1838.5802605757444</v>
      </c>
      <c r="R45" s="725">
        <v>1934.3780723427169</v>
      </c>
      <c r="S45" s="725">
        <v>2123.7271465768677</v>
      </c>
      <c r="T45" s="725">
        <v>2345.2520431846651</v>
      </c>
      <c r="U45" s="725">
        <v>2405.4345081877241</v>
      </c>
      <c r="V45" s="725">
        <v>2464.350831969276</v>
      </c>
      <c r="W45" s="725">
        <v>2538.2813569283567</v>
      </c>
      <c r="X45" s="725">
        <v>2614.4297976362104</v>
      </c>
      <c r="Y45" s="725">
        <v>2692.862691565299</v>
      </c>
      <c r="Z45" s="725">
        <v>2773.6485723122605</v>
      </c>
      <c r="AA45" s="725">
        <v>2856.8580294816311</v>
      </c>
      <c r="AB45" s="747"/>
      <c r="AC45" s="656" t="s">
        <v>613</v>
      </c>
      <c r="AD45" s="756">
        <v>1920.9782521645022</v>
      </c>
      <c r="AE45" s="659">
        <v>1897.4698532911846</v>
      </c>
      <c r="AF45" s="659">
        <v>1910.4417956942718</v>
      </c>
      <c r="AG45" s="659">
        <v>1879.6749689417936</v>
      </c>
      <c r="AH45" s="659">
        <v>1815.0922032746153</v>
      </c>
      <c r="AI45" s="659">
        <v>1789.952924763083</v>
      </c>
      <c r="AJ45" s="659">
        <v>1798.5392578120691</v>
      </c>
      <c r="AK45" s="659">
        <v>1807.129931871001</v>
      </c>
      <c r="AL45" s="659">
        <v>1815.7249538692201</v>
      </c>
      <c r="AM45" s="659">
        <v>1824.3243307471298</v>
      </c>
      <c r="AN45" s="659">
        <v>1832.9280694562106</v>
      </c>
      <c r="AO45" s="659">
        <v>1841.5361769590413</v>
      </c>
      <c r="AP45" s="659">
        <v>1850.1486602293135</v>
      </c>
      <c r="AQ45" s="659">
        <v>1879.0337135115708</v>
      </c>
      <c r="AR45" s="659">
        <v>1889.0660337295153</v>
      </c>
      <c r="AS45" s="659">
        <v>1899.1073949979339</v>
      </c>
      <c r="AT45" s="659">
        <v>1909.1578177287261</v>
      </c>
      <c r="AU45" s="659">
        <v>1919.2173223798761</v>
      </c>
      <c r="AV45" s="659">
        <v>1929.2859294555553</v>
      </c>
      <c r="AW45" s="659">
        <v>1939.3636595062276</v>
      </c>
      <c r="AX45" s="659">
        <v>1949.4505331287526</v>
      </c>
      <c r="AY45" s="659">
        <v>1959.5465709664923</v>
      </c>
      <c r="AZ45" s="659">
        <v>1969.6517937094141</v>
      </c>
      <c r="BA45" s="659">
        <v>1979.7662220941977</v>
      </c>
      <c r="BB45" s="659">
        <v>1989.8898769043403</v>
      </c>
      <c r="BC45" s="659">
        <v>2038.9077883683328</v>
      </c>
      <c r="BD45" s="659">
        <v>2049.1961042900421</v>
      </c>
      <c r="BE45" s="659">
        <v>2059.4933012189272</v>
      </c>
      <c r="BF45" s="659">
        <v>2069.7993983824167</v>
      </c>
      <c r="BG45" s="659">
        <v>2080.1144150495666</v>
      </c>
      <c r="BH45" s="659">
        <v>2090.4383705311507</v>
      </c>
      <c r="BI45" s="659">
        <v>2100.7712841797506</v>
      </c>
      <c r="BJ45" s="659">
        <v>2111.1131753898458</v>
      </c>
      <c r="BK45" s="659">
        <v>2129.2449220173676</v>
      </c>
      <c r="BL45" s="659">
        <v>2186.5556158003669</v>
      </c>
      <c r="BM45" s="659">
        <v>2266.5917594419407</v>
      </c>
      <c r="BN45" s="659">
        <v>2302.4996242527068</v>
      </c>
      <c r="BO45" s="659">
        <v>2320.4016941572663</v>
      </c>
      <c r="BP45" s="659">
        <v>2324.8887044670346</v>
      </c>
      <c r="BQ45" s="659">
        <v>2329.3850415019497</v>
      </c>
      <c r="BR45" s="659">
        <v>2333.8907246485951</v>
      </c>
      <c r="BS45" s="659">
        <v>2338.4057733338523</v>
      </c>
      <c r="BT45" s="659">
        <v>2342.9302070249814</v>
      </c>
      <c r="BU45" s="659">
        <v>2347.4640452297117</v>
      </c>
      <c r="BV45" s="659">
        <v>2352.0073074963166</v>
      </c>
      <c r="BW45" s="659">
        <v>2356.5600134137048</v>
      </c>
      <c r="BX45" s="659">
        <v>2361.1221826115038</v>
      </c>
      <c r="BY45" s="659">
        <v>2365.6938347601408</v>
      </c>
      <c r="BZ45" s="659">
        <v>2370.2749895709321</v>
      </c>
      <c r="CA45" s="659">
        <v>2381.448679073455</v>
      </c>
      <c r="CB45" s="659">
        <v>2385.7813369461805</v>
      </c>
      <c r="CC45" s="659">
        <v>2390.1224779202012</v>
      </c>
      <c r="CD45" s="659">
        <v>2394.4721186049546</v>
      </c>
      <c r="CE45" s="659">
        <v>2398.8302756423977</v>
      </c>
      <c r="CF45" s="659">
        <v>2403.1969657070717</v>
      </c>
      <c r="CG45" s="659">
        <v>2407.5722055061665</v>
      </c>
      <c r="CH45" s="659">
        <v>2411.9560117795818</v>
      </c>
      <c r="CI45" s="659">
        <v>2416.3484012999952</v>
      </c>
      <c r="CJ45" s="659">
        <v>2420.7493908729225</v>
      </c>
      <c r="CK45" s="659">
        <v>2425.1589973367845</v>
      </c>
      <c r="CL45" s="659">
        <v>2429.5772375629717</v>
      </c>
      <c r="CM45" s="659">
        <v>2433.3518791272631</v>
      </c>
      <c r="CN45" s="659">
        <v>2438.9418418353662</v>
      </c>
      <c r="CO45" s="659">
        <v>2444.545590899525</v>
      </c>
      <c r="CP45" s="659">
        <v>2450.1631603206124</v>
      </c>
      <c r="CQ45" s="659">
        <v>2455.7945841833571</v>
      </c>
      <c r="CR45" s="659">
        <v>2461.4398966565495</v>
      </c>
      <c r="CS45" s="659">
        <v>2467.0991319932496</v>
      </c>
      <c r="CT45" s="659">
        <v>2472.7723245309944</v>
      </c>
      <c r="CU45" s="659">
        <v>2478.4595086920081</v>
      </c>
      <c r="CV45" s="659">
        <v>2484.1607189834076</v>
      </c>
      <c r="CW45" s="659">
        <v>2489.8759899974139</v>
      </c>
      <c r="CX45" s="659">
        <v>2495.6053564115623</v>
      </c>
      <c r="CY45" s="659">
        <v>2506.3524355010836</v>
      </c>
      <c r="CZ45" s="659">
        <v>2512.1100970904304</v>
      </c>
      <c r="DA45" s="659">
        <v>2517.881958626514</v>
      </c>
      <c r="DB45" s="659">
        <v>2523.6680551302338</v>
      </c>
      <c r="DC45" s="659">
        <v>2529.4684217088607</v>
      </c>
      <c r="DD45" s="659">
        <v>2535.2830935562483</v>
      </c>
      <c r="DE45" s="659">
        <v>2541.1121059530492</v>
      </c>
      <c r="DF45" s="659">
        <v>2546.955494266927</v>
      </c>
      <c r="DG45" s="659">
        <v>2552.8132939527704</v>
      </c>
      <c r="DH45" s="659">
        <v>2558.6855405529118</v>
      </c>
      <c r="DI45" s="659">
        <v>2564.5722696973385</v>
      </c>
      <c r="DJ45" s="659">
        <v>2570.4735171039119</v>
      </c>
      <c r="DK45" s="659">
        <v>2581.5430085661187</v>
      </c>
      <c r="DL45" s="659">
        <v>2587.4734000031458</v>
      </c>
      <c r="DM45" s="659">
        <v>2593.4184173853123</v>
      </c>
      <c r="DN45" s="659">
        <v>2599.378096784144</v>
      </c>
      <c r="DO45" s="659">
        <v>2605.3524743601292</v>
      </c>
      <c r="DP45" s="659">
        <v>2611.3415863629389</v>
      </c>
      <c r="DQ45" s="659">
        <v>2617.3454691316438</v>
      </c>
      <c r="DR45" s="659">
        <v>2623.3641590949378</v>
      </c>
      <c r="DS45" s="659">
        <v>2629.3976927713566</v>
      </c>
      <c r="DT45" s="659">
        <v>2635.446106769502</v>
      </c>
      <c r="DU45" s="659">
        <v>2641.5094377882615</v>
      </c>
      <c r="DV45" s="659">
        <v>2647.5877226170323</v>
      </c>
      <c r="DW45" s="659">
        <v>2658.9892988231049</v>
      </c>
      <c r="DX45" s="659">
        <v>2665.0976020032431</v>
      </c>
      <c r="DY45" s="659">
        <v>2671.220969906874</v>
      </c>
      <c r="DZ45" s="659">
        <v>2677.3594396876701</v>
      </c>
      <c r="EA45" s="659">
        <v>2683.5130485909353</v>
      </c>
      <c r="EB45" s="659">
        <v>2689.681833953829</v>
      </c>
      <c r="EC45" s="659">
        <v>2695.8658332055952</v>
      </c>
      <c r="ED45" s="659">
        <v>2702.065083867788</v>
      </c>
      <c r="EE45" s="659">
        <v>2708.2796235544997</v>
      </c>
      <c r="EF45" s="659">
        <v>2714.5094899725891</v>
      </c>
      <c r="EG45" s="659">
        <v>2720.7547209219119</v>
      </c>
      <c r="EH45" s="659">
        <v>2727.0153542955454</v>
      </c>
      <c r="EI45" s="659">
        <v>2738.7589777878006</v>
      </c>
      <c r="EJ45" s="659">
        <v>2745.0505300633426</v>
      </c>
      <c r="EK45" s="659">
        <v>2751.3575990040827</v>
      </c>
      <c r="EL45" s="659">
        <v>2757.6802228783031</v>
      </c>
      <c r="EM45" s="659">
        <v>2764.018440048666</v>
      </c>
      <c r="EN45" s="659">
        <v>2770.3722889724468</v>
      </c>
      <c r="EO45" s="659">
        <v>2776.7418082017657</v>
      </c>
      <c r="EP45" s="659">
        <v>2783.1270363838244</v>
      </c>
      <c r="EQ45" s="659">
        <v>2789.5280122611371</v>
      </c>
      <c r="ER45" s="659">
        <v>2795.9447746717701</v>
      </c>
      <c r="ES45" s="659">
        <v>2802.3773625495719</v>
      </c>
      <c r="ET45" s="659">
        <v>2808.8258149244143</v>
      </c>
      <c r="EU45" s="659">
        <v>2820.9217471214374</v>
      </c>
      <c r="EV45" s="659">
        <v>2827.4020459652456</v>
      </c>
      <c r="EW45" s="659">
        <v>2833.8983269742075</v>
      </c>
      <c r="EX45" s="659">
        <v>2840.4106295646548</v>
      </c>
      <c r="EY45" s="659">
        <v>2846.9389932501285</v>
      </c>
      <c r="EZ45" s="659">
        <v>2853.4834576416229</v>
      </c>
      <c r="FA45" s="659">
        <v>2860.0440624478219</v>
      </c>
      <c r="FB45" s="659">
        <v>2866.6208474753421</v>
      </c>
      <c r="FC45" s="659">
        <v>2873.2138526289746</v>
      </c>
      <c r="FD45" s="659">
        <v>2879.8231179119261</v>
      </c>
      <c r="FE45" s="659">
        <v>2886.4486834260624</v>
      </c>
      <c r="FF45" s="659">
        <v>2893.0905893721506</v>
      </c>
    </row>
    <row r="46" spans="1:162" ht="15">
      <c r="B46" s="56" t="s">
        <v>52</v>
      </c>
      <c r="C46" s="220" t="e">
        <f>'Old OSAR'!K57</f>
        <v>#REF!</v>
      </c>
      <c r="D46" s="389">
        <f>D40-D44</f>
        <v>3001218.0712949717</v>
      </c>
      <c r="E46" s="378" t="e">
        <f>C46-D46</f>
        <v>#REF!</v>
      </c>
      <c r="F46" s="379" t="e">
        <f>(C46-D46)/D46</f>
        <v>#REF!</v>
      </c>
      <c r="G46" s="342"/>
      <c r="H46" s="380">
        <f>'2025 Budget'!U49</f>
        <v>-2012638.98</v>
      </c>
      <c r="I46" s="392" t="e">
        <f t="shared" si="8"/>
        <v>#REF!</v>
      </c>
      <c r="J46" s="393" t="e">
        <f>H46/C46-1</f>
        <v>#REF!</v>
      </c>
      <c r="K46" s="342"/>
      <c r="L46"/>
      <c r="O46" s="682" t="s">
        <v>619</v>
      </c>
      <c r="P46" s="757" t="s">
        <v>482</v>
      </c>
      <c r="Q46" s="758">
        <v>-4.2893765973620157E-2</v>
      </c>
      <c r="R46" s="758">
        <v>5.2104231629775954E-2</v>
      </c>
      <c r="S46" s="758">
        <v>9.7886280319974484E-2</v>
      </c>
      <c r="T46" s="758">
        <v>0.10430949049404137</v>
      </c>
      <c r="U46" s="758">
        <v>2.5661406064201087E-2</v>
      </c>
      <c r="V46" s="758">
        <v>2.4493006806466822E-2</v>
      </c>
      <c r="W46" s="758">
        <v>3.0000000000000693E-2</v>
      </c>
      <c r="X46" s="758">
        <v>3.0000000000001359E-2</v>
      </c>
      <c r="Y46" s="758">
        <v>3.0000000000000693E-2</v>
      </c>
      <c r="Z46" s="758">
        <v>3.0000000000000915E-2</v>
      </c>
      <c r="AA46" s="758">
        <v>3.0000000000000915E-2</v>
      </c>
      <c r="AB46" s="747"/>
      <c r="AC46" s="656" t="s">
        <v>619</v>
      </c>
      <c r="AD46" s="757" t="s">
        <v>482</v>
      </c>
      <c r="AE46" s="759">
        <v>0</v>
      </c>
      <c r="AF46" s="759">
        <v>6.8364418968698271E-3</v>
      </c>
      <c r="AG46" s="759">
        <v>-1.6104561165809828E-2</v>
      </c>
      <c r="AH46" s="759">
        <v>-3.4358475126971988E-2</v>
      </c>
      <c r="AI46" s="759">
        <v>-1.3850138558348934E-2</v>
      </c>
      <c r="AJ46" s="759">
        <v>4.7969602609088113E-3</v>
      </c>
      <c r="AK46" s="759">
        <v>4.7764729191301925E-3</v>
      </c>
      <c r="AL46" s="759">
        <v>4.756172672830683E-3</v>
      </c>
      <c r="AM46" s="759">
        <v>4.7360570000345437E-3</v>
      </c>
      <c r="AN46" s="759">
        <v>4.7161234239292416E-3</v>
      </c>
      <c r="AO46" s="759">
        <v>4.6963695118622528E-3</v>
      </c>
      <c r="AP46" s="759">
        <v>4.6767928743567388E-3</v>
      </c>
      <c r="AQ46" s="759">
        <v>1.5612287759988686E-2</v>
      </c>
      <c r="AR46" s="759">
        <v>5.3390847358432136E-3</v>
      </c>
      <c r="AS46" s="759">
        <v>5.3155162864233496E-3</v>
      </c>
      <c r="AT46" s="759">
        <v>5.2921823996179285E-3</v>
      </c>
      <c r="AU46" s="759">
        <v>5.2690796736321044E-3</v>
      </c>
      <c r="AV46" s="759">
        <v>5.2462047722630079E-3</v>
      </c>
      <c r="AW46" s="759">
        <v>5.2235544233281139E-3</v>
      </c>
      <c r="AX46" s="759">
        <v>5.2011254171346888E-3</v>
      </c>
      <c r="AY46" s="759">
        <v>5.1789146049969759E-3</v>
      </c>
      <c r="AZ46" s="759">
        <v>5.1569188977926839E-3</v>
      </c>
      <c r="BA46" s="759">
        <v>5.1351352645612192E-3</v>
      </c>
      <c r="BB46" s="759">
        <v>5.1135607311421083E-3</v>
      </c>
      <c r="BC46" s="759">
        <v>2.4633479486940058E-2</v>
      </c>
      <c r="BD46" s="759">
        <v>5.0459937327242965E-3</v>
      </c>
      <c r="BE46" s="759">
        <v>5.0249934144064312E-3</v>
      </c>
      <c r="BF46" s="759">
        <v>5.0041906702924521E-3</v>
      </c>
      <c r="BG46" s="759">
        <v>4.9835827931978827E-3</v>
      </c>
      <c r="BH46" s="759">
        <v>4.9631671252747811E-3</v>
      </c>
      <c r="BI46" s="759">
        <v>4.9429410568915255E-3</v>
      </c>
      <c r="BJ46" s="759">
        <v>4.9229020255447953E-3</v>
      </c>
      <c r="BK46" s="759">
        <v>8.5887136885371973E-3</v>
      </c>
      <c r="BL46" s="759">
        <v>2.6915970629015407E-2</v>
      </c>
      <c r="BM46" s="759">
        <v>3.6603753896411684E-2</v>
      </c>
      <c r="BN46" s="759">
        <v>1.5842228606534503E-2</v>
      </c>
      <c r="BO46" s="759">
        <v>7.775058773514365E-3</v>
      </c>
      <c r="BP46" s="759">
        <v>1.9337213556887001E-3</v>
      </c>
      <c r="BQ46" s="759">
        <v>1.9340009808967995E-3</v>
      </c>
      <c r="BR46" s="759">
        <v>1.9342801067103732E-3</v>
      </c>
      <c r="BS46" s="759">
        <v>1.934558733865499E-3</v>
      </c>
      <c r="BT46" s="759">
        <v>1.934836863098921E-3</v>
      </c>
      <c r="BU46" s="759">
        <v>1.9351144951462729E-3</v>
      </c>
      <c r="BV46" s="759">
        <v>1.9353916307418562E-3</v>
      </c>
      <c r="BW46" s="759">
        <v>1.9356682706206385E-3</v>
      </c>
      <c r="BX46" s="759">
        <v>1.9359444155169214E-3</v>
      </c>
      <c r="BY46" s="759">
        <v>1.9362200661638962E-3</v>
      </c>
      <c r="BZ46" s="759">
        <v>1.9364952232949761E-3</v>
      </c>
      <c r="CA46" s="759">
        <v>4.7140899480806464E-3</v>
      </c>
      <c r="CB46" s="759">
        <v>1.8193370744445936E-3</v>
      </c>
      <c r="CC46" s="759">
        <v>1.819588789129245E-3</v>
      </c>
      <c r="CD46" s="759">
        <v>1.8198400813913551E-3</v>
      </c>
      <c r="CE46" s="759">
        <v>1.8200909518137909E-3</v>
      </c>
      <c r="CF46" s="759">
        <v>1.8203414009789753E-3</v>
      </c>
      <c r="CG46" s="759">
        <v>1.8205914294699976E-3</v>
      </c>
      <c r="CH46" s="759">
        <v>1.8208410378677264E-3</v>
      </c>
      <c r="CI46" s="759">
        <v>1.8210902267545848E-3</v>
      </c>
      <c r="CJ46" s="759">
        <v>1.8213389967107751E-3</v>
      </c>
      <c r="CK46" s="759">
        <v>1.8215873483178324E-3</v>
      </c>
      <c r="CL46" s="759">
        <v>1.8218352821564032E-3</v>
      </c>
      <c r="CM46" s="759">
        <v>1.5536207311843686E-3</v>
      </c>
      <c r="CN46" s="759">
        <v>2.2972274400807624E-3</v>
      </c>
      <c r="CO46" s="759">
        <v>2.2976148787301476E-3</v>
      </c>
      <c r="CP46" s="759">
        <v>2.2980014944293803E-3</v>
      </c>
      <c r="CQ46" s="759">
        <v>2.2983872886277457E-3</v>
      </c>
      <c r="CR46" s="759">
        <v>2.2987722627743068E-3</v>
      </c>
      <c r="CS46" s="759">
        <v>2.2991564183172386E-3</v>
      </c>
      <c r="CT46" s="759">
        <v>2.2995397567027176E-3</v>
      </c>
      <c r="CU46" s="759">
        <v>2.2999222793762542E-3</v>
      </c>
      <c r="CV46" s="759">
        <v>2.3003039877815823E-3</v>
      </c>
      <c r="CW46" s="759">
        <v>2.300684883361992E-3</v>
      </c>
      <c r="CX46" s="759">
        <v>2.3010649675585526E-3</v>
      </c>
      <c r="CY46" s="759">
        <v>4.3064016760143708E-3</v>
      </c>
      <c r="CZ46" s="759">
        <v>2.2972274400807624E-3</v>
      </c>
      <c r="DA46" s="759">
        <v>2.2976148787303696E-3</v>
      </c>
      <c r="DB46" s="759">
        <v>2.2980014944291582E-3</v>
      </c>
      <c r="DC46" s="759">
        <v>2.2983872886275236E-3</v>
      </c>
      <c r="DD46" s="759">
        <v>2.2987722627743068E-3</v>
      </c>
      <c r="DE46" s="759">
        <v>2.2991564183172386E-3</v>
      </c>
      <c r="DF46" s="759">
        <v>2.2995397567027176E-3</v>
      </c>
      <c r="DG46" s="759">
        <v>2.2999222793760321E-3</v>
      </c>
      <c r="DH46" s="759">
        <v>2.3003039877815823E-3</v>
      </c>
      <c r="DI46" s="759">
        <v>2.3006848833617699E-3</v>
      </c>
      <c r="DJ46" s="759">
        <v>2.3010649675589967E-3</v>
      </c>
      <c r="DK46" s="759">
        <v>4.3064016760143708E-3</v>
      </c>
      <c r="DL46" s="759">
        <v>2.2972274400809845E-3</v>
      </c>
      <c r="DM46" s="759">
        <v>2.2976148787303696E-3</v>
      </c>
      <c r="DN46" s="759">
        <v>2.2980014944291582E-3</v>
      </c>
      <c r="DO46" s="759">
        <v>2.2983872886275236E-3</v>
      </c>
      <c r="DP46" s="759">
        <v>2.2987722627745288E-3</v>
      </c>
      <c r="DQ46" s="759">
        <v>2.2991564183172386E-3</v>
      </c>
      <c r="DR46" s="759">
        <v>2.2995397567027176E-3</v>
      </c>
      <c r="DS46" s="759">
        <v>2.2999222793760321E-3</v>
      </c>
      <c r="DT46" s="759">
        <v>2.3003039877815823E-3</v>
      </c>
      <c r="DU46" s="759">
        <v>2.300684883361992E-3</v>
      </c>
      <c r="DV46" s="759">
        <v>2.3010649675587747E-3</v>
      </c>
      <c r="DW46" s="759">
        <v>4.3064016760141488E-3</v>
      </c>
      <c r="DX46" s="759">
        <v>2.2972274400809845E-3</v>
      </c>
      <c r="DY46" s="759">
        <v>2.2976148787301476E-3</v>
      </c>
      <c r="DZ46" s="759">
        <v>2.2980014944291582E-3</v>
      </c>
      <c r="EA46" s="759">
        <v>2.2983872886275236E-3</v>
      </c>
      <c r="EB46" s="759">
        <v>2.2987722627743068E-3</v>
      </c>
      <c r="EC46" s="759">
        <v>2.2991564183172386E-3</v>
      </c>
      <c r="ED46" s="759">
        <v>2.2995397567027176E-3</v>
      </c>
      <c r="EE46" s="759">
        <v>2.2999222793762542E-3</v>
      </c>
      <c r="EF46" s="759">
        <v>2.3003039877813602E-3</v>
      </c>
      <c r="EG46" s="759">
        <v>2.300684883361992E-3</v>
      </c>
      <c r="EH46" s="759">
        <v>2.3010649675587747E-3</v>
      </c>
      <c r="EI46" s="759">
        <v>4.3064016760143708E-3</v>
      </c>
      <c r="EJ46" s="759">
        <v>2.2972274400809845E-3</v>
      </c>
      <c r="EK46" s="759">
        <v>2.2976148787303696E-3</v>
      </c>
      <c r="EL46" s="759">
        <v>2.2980014944291582E-3</v>
      </c>
      <c r="EM46" s="759">
        <v>2.2983872886275236E-3</v>
      </c>
      <c r="EN46" s="759">
        <v>2.2987722627743068E-3</v>
      </c>
      <c r="EO46" s="759">
        <v>2.2991564183172386E-3</v>
      </c>
      <c r="EP46" s="759">
        <v>2.2995397567027176E-3</v>
      </c>
      <c r="EQ46" s="759">
        <v>2.2999222793760321E-3</v>
      </c>
      <c r="ER46" s="759">
        <v>2.3003039877815823E-3</v>
      </c>
      <c r="ES46" s="759">
        <v>2.3006848833617699E-3</v>
      </c>
      <c r="ET46" s="759">
        <v>2.3010649675587747E-3</v>
      </c>
      <c r="EU46" s="759">
        <v>4.3064016760143708E-3</v>
      </c>
      <c r="EV46" s="759">
        <v>2.2972274400807624E-3</v>
      </c>
      <c r="EW46" s="759">
        <v>2.2976148787301476E-3</v>
      </c>
      <c r="EX46" s="759">
        <v>2.2980014944291582E-3</v>
      </c>
      <c r="EY46" s="759">
        <v>2.2983872886275236E-3</v>
      </c>
      <c r="EZ46" s="759">
        <v>2.2987722627743068E-3</v>
      </c>
      <c r="FA46" s="759">
        <v>2.2991564183172386E-3</v>
      </c>
      <c r="FB46" s="759">
        <v>2.2995397567027176E-3</v>
      </c>
      <c r="FC46" s="759">
        <v>2.2999222793760321E-3</v>
      </c>
      <c r="FD46" s="759">
        <v>2.3003039877815823E-3</v>
      </c>
      <c r="FE46" s="759">
        <v>2.300684883361992E-3</v>
      </c>
      <c r="FF46" s="759">
        <v>2.3010649675589967E-3</v>
      </c>
    </row>
    <row r="47" spans="1:162">
      <c r="B47" s="46"/>
      <c r="C47" s="405"/>
      <c r="D47" s="145"/>
      <c r="E47" s="406"/>
      <c r="F47"/>
      <c r="G47" s="342"/>
      <c r="H47"/>
      <c r="I47"/>
      <c r="J47"/>
      <c r="K47" s="342"/>
      <c r="L47"/>
      <c r="O47" s="735" t="s">
        <v>620</v>
      </c>
      <c r="P47" s="760">
        <v>7.6169491237088535E-2</v>
      </c>
      <c r="Q47" s="761">
        <v>0.14126684036479306</v>
      </c>
      <c r="R47" s="761">
        <v>0.15141132790654324</v>
      </c>
      <c r="S47" s="761">
        <v>0.12248367876716036</v>
      </c>
      <c r="T47" s="761">
        <v>6.5965126807573854E-2</v>
      </c>
      <c r="U47" s="761">
        <v>6.5965126807573812E-2</v>
      </c>
      <c r="V47" s="761">
        <v>6.5965126807573812E-2</v>
      </c>
      <c r="W47" s="761">
        <v>6.596512680757384E-2</v>
      </c>
      <c r="X47" s="761">
        <v>6.5965126807573826E-2</v>
      </c>
      <c r="Y47" s="761">
        <v>6.596512680757384E-2</v>
      </c>
      <c r="Z47" s="761">
        <v>6.5965126807573826E-2</v>
      </c>
      <c r="AA47" s="761">
        <v>6.5965126807573812E-2</v>
      </c>
      <c r="AB47" s="762"/>
      <c r="AC47" s="763" t="s">
        <v>620</v>
      </c>
      <c r="AD47" s="760">
        <v>7.6169491237088535E-2</v>
      </c>
      <c r="AE47" s="761">
        <v>9.7594630036780983E-2</v>
      </c>
      <c r="AF47" s="761">
        <v>9.2653643406752251E-2</v>
      </c>
      <c r="AG47" s="761">
        <v>0.10881666804634507</v>
      </c>
      <c r="AH47" s="761">
        <v>0.14121357389464625</v>
      </c>
      <c r="AI47" s="761">
        <v>0.15722524149452483</v>
      </c>
      <c r="AJ47" s="761">
        <v>0.1570052728766079</v>
      </c>
      <c r="AK47" s="761">
        <v>0.15678740368761174</v>
      </c>
      <c r="AL47" s="761">
        <v>0.15657160392332228</v>
      </c>
      <c r="AM47" s="761">
        <v>0.15635784414854489</v>
      </c>
      <c r="AN47" s="761">
        <v>0.15614609548367925</v>
      </c>
      <c r="AO47" s="761">
        <v>0.15593632959167211</v>
      </c>
      <c r="AP47" s="761">
        <v>0.15572851866533663</v>
      </c>
      <c r="AQ47" s="761">
        <v>0.15260284401724725</v>
      </c>
      <c r="AR47" s="761">
        <v>0.15238131074911698</v>
      </c>
      <c r="AS47" s="761">
        <v>0.15216208590482655</v>
      </c>
      <c r="AT47" s="761">
        <v>0.15194513341430185</v>
      </c>
      <c r="AU47" s="761">
        <v>0.15173041795515427</v>
      </c>
      <c r="AV47" s="761">
        <v>0.15151790493340805</v>
      </c>
      <c r="AW47" s="761">
        <v>0.15130756046482122</v>
      </c>
      <c r="AX47" s="761">
        <v>0.1510993513567781</v>
      </c>
      <c r="AY47" s="761">
        <v>0.15089324509073343</v>
      </c>
      <c r="AZ47" s="761">
        <v>0.15068920980518838</v>
      </c>
      <c r="BA47" s="761">
        <v>0.15048721427918058</v>
      </c>
      <c r="BB47" s="761">
        <v>0.15028722791626845</v>
      </c>
      <c r="BC47" s="761">
        <v>0.13530070838007038</v>
      </c>
      <c r="BD47" s="761">
        <v>0.1351824937504747</v>
      </c>
      <c r="BE47" s="761">
        <v>0.13506546184130672</v>
      </c>
      <c r="BF47" s="761">
        <v>0.13494959490513353</v>
      </c>
      <c r="BG47" s="761">
        <v>0.13483487554788257</v>
      </c>
      <c r="BH47" s="761">
        <v>0.13472128672009126</v>
      </c>
      <c r="BI47" s="761">
        <v>0.13460881170841524</v>
      </c>
      <c r="BJ47" s="761">
        <v>0.13449743412738641</v>
      </c>
      <c r="BK47" s="761">
        <v>0.13114038466465919</v>
      </c>
      <c r="BL47" s="761">
        <v>0.11155063457973678</v>
      </c>
      <c r="BM47" s="761">
        <v>8.2234523671261509E-2</v>
      </c>
      <c r="BN47" s="761">
        <v>6.9204044505453949E-2</v>
      </c>
      <c r="BO47" s="761">
        <v>6.6166435295258272E-2</v>
      </c>
      <c r="BP47" s="761">
        <v>6.6129740192309841E-2</v>
      </c>
      <c r="BQ47" s="761">
        <v>6.6093123167237242E-2</v>
      </c>
      <c r="BR47" s="761">
        <v>6.6056584049798486E-2</v>
      </c>
      <c r="BS47" s="761">
        <v>6.6020122670140027E-2</v>
      </c>
      <c r="BT47" s="761">
        <v>6.5983738858795771E-2</v>
      </c>
      <c r="BU47" s="761">
        <v>6.594743244668623E-2</v>
      </c>
      <c r="BV47" s="761">
        <v>6.5911203265117471E-2</v>
      </c>
      <c r="BW47" s="761">
        <v>6.5875051145780184E-2</v>
      </c>
      <c r="BX47" s="761">
        <v>6.5838975920748832E-2</v>
      </c>
      <c r="BY47" s="761">
        <v>6.5802977422480563E-2</v>
      </c>
      <c r="BZ47" s="761">
        <v>6.5767055483814327E-2</v>
      </c>
      <c r="CA47" s="761">
        <v>6.6154527859834555E-2</v>
      </c>
      <c r="CB47" s="761">
        <v>6.6120008643089867E-2</v>
      </c>
      <c r="CC47" s="761">
        <v>6.6085558515173143E-2</v>
      </c>
      <c r="CD47" s="761">
        <v>6.6051177334580366E-2</v>
      </c>
      <c r="CE47" s="761">
        <v>6.6016864960110014E-2</v>
      </c>
      <c r="CF47" s="761">
        <v>6.5982621250862489E-2</v>
      </c>
      <c r="CG47" s="761">
        <v>6.5948446066239341E-2</v>
      </c>
      <c r="CH47" s="761">
        <v>6.5914339265942604E-2</v>
      </c>
      <c r="CI47" s="761">
        <v>6.5880300709974138E-2</v>
      </c>
      <c r="CJ47" s="761">
        <v>6.584633025863483E-2</v>
      </c>
      <c r="CK47" s="761">
        <v>6.5812427772524079E-2</v>
      </c>
      <c r="CL47" s="761">
        <v>6.5778593112538905E-2</v>
      </c>
      <c r="CM47" s="761">
        <v>6.620488310707022E-2</v>
      </c>
      <c r="CN47" s="761">
        <v>6.6161157531100551E-2</v>
      </c>
      <c r="CO47" s="761">
        <v>6.6117542838251067E-2</v>
      </c>
      <c r="CP47" s="761">
        <v>6.6074038739089222E-2</v>
      </c>
      <c r="CQ47" s="761">
        <v>6.6030644944979081E-2</v>
      </c>
      <c r="CR47" s="761">
        <v>6.5987361168078948E-2</v>
      </c>
      <c r="CS47" s="761">
        <v>6.5944187121338996E-2</v>
      </c>
      <c r="CT47" s="761">
        <v>6.5901122518498889E-2</v>
      </c>
      <c r="CU47" s="761">
        <v>6.585816707408533E-2</v>
      </c>
      <c r="CV47" s="761">
        <v>6.5815320503409838E-2</v>
      </c>
      <c r="CW47" s="761">
        <v>6.5772582522566236E-2</v>
      </c>
      <c r="CX47" s="761">
        <v>6.5729952848428419E-2</v>
      </c>
      <c r="CY47" s="761">
        <v>6.6204883107070206E-2</v>
      </c>
      <c r="CZ47" s="761">
        <v>6.6161157531100551E-2</v>
      </c>
      <c r="DA47" s="761">
        <v>6.6117542838251067E-2</v>
      </c>
      <c r="DB47" s="761">
        <v>6.6074038739089208E-2</v>
      </c>
      <c r="DC47" s="761">
        <v>6.6030644944979067E-2</v>
      </c>
      <c r="DD47" s="761">
        <v>6.5987361168078934E-2</v>
      </c>
      <c r="DE47" s="761">
        <v>6.594418712133901E-2</v>
      </c>
      <c r="DF47" s="761">
        <v>6.5901122518498875E-2</v>
      </c>
      <c r="DG47" s="761">
        <v>6.585816707408533E-2</v>
      </c>
      <c r="DH47" s="761">
        <v>6.5815320503409824E-2</v>
      </c>
      <c r="DI47" s="761">
        <v>6.5772582522566236E-2</v>
      </c>
      <c r="DJ47" s="761">
        <v>6.5729952848428433E-2</v>
      </c>
      <c r="DK47" s="761">
        <v>6.620488310707022E-2</v>
      </c>
      <c r="DL47" s="761">
        <v>6.6161157531100537E-2</v>
      </c>
      <c r="DM47" s="761">
        <v>6.6117542838251067E-2</v>
      </c>
      <c r="DN47" s="761">
        <v>6.6074038739089208E-2</v>
      </c>
      <c r="DO47" s="761">
        <v>6.6030644944979067E-2</v>
      </c>
      <c r="DP47" s="761">
        <v>6.5987361168078934E-2</v>
      </c>
      <c r="DQ47" s="761">
        <v>6.5944187121338996E-2</v>
      </c>
      <c r="DR47" s="761">
        <v>6.5901122518498875E-2</v>
      </c>
      <c r="DS47" s="761">
        <v>6.585816707408533E-2</v>
      </c>
      <c r="DT47" s="761">
        <v>6.5815320503409838E-2</v>
      </c>
      <c r="DU47" s="761">
        <v>6.5772582522566223E-2</v>
      </c>
      <c r="DV47" s="761">
        <v>6.5729952848428419E-2</v>
      </c>
      <c r="DW47" s="761">
        <v>6.6204883107070206E-2</v>
      </c>
      <c r="DX47" s="761">
        <v>6.6161157531100537E-2</v>
      </c>
      <c r="DY47" s="761">
        <v>6.6117542838251053E-2</v>
      </c>
      <c r="DZ47" s="761">
        <v>6.6074038739089208E-2</v>
      </c>
      <c r="EA47" s="761">
        <v>6.6030644944979053E-2</v>
      </c>
      <c r="EB47" s="761">
        <v>6.5987361168078934E-2</v>
      </c>
      <c r="EC47" s="761">
        <v>6.5944187121338982E-2</v>
      </c>
      <c r="ED47" s="761">
        <v>6.5901122518498875E-2</v>
      </c>
      <c r="EE47" s="761">
        <v>6.585816707408533E-2</v>
      </c>
      <c r="EF47" s="761">
        <v>6.5815320503409824E-2</v>
      </c>
      <c r="EG47" s="761">
        <v>6.5772582522566223E-2</v>
      </c>
      <c r="EH47" s="761">
        <v>6.5729952848428419E-2</v>
      </c>
      <c r="EI47" s="761">
        <v>6.620488310707022E-2</v>
      </c>
      <c r="EJ47" s="761">
        <v>6.6161157531100551E-2</v>
      </c>
      <c r="EK47" s="761">
        <v>6.6117542838251067E-2</v>
      </c>
      <c r="EL47" s="761">
        <v>6.6074038739089222E-2</v>
      </c>
      <c r="EM47" s="761">
        <v>6.6030644944979067E-2</v>
      </c>
      <c r="EN47" s="761">
        <v>6.5987361168078934E-2</v>
      </c>
      <c r="EO47" s="761">
        <v>6.594418712133901E-2</v>
      </c>
      <c r="EP47" s="761">
        <v>6.5901122518498889E-2</v>
      </c>
      <c r="EQ47" s="761">
        <v>6.5858167074085344E-2</v>
      </c>
      <c r="ER47" s="761">
        <v>6.5815320503409838E-2</v>
      </c>
      <c r="ES47" s="761">
        <v>6.5772582522566236E-2</v>
      </c>
      <c r="ET47" s="761">
        <v>6.5729952848428433E-2</v>
      </c>
      <c r="EU47" s="761">
        <v>6.6204883107070206E-2</v>
      </c>
      <c r="EV47" s="761">
        <v>6.6161157531100537E-2</v>
      </c>
      <c r="EW47" s="761">
        <v>6.6117542838251067E-2</v>
      </c>
      <c r="EX47" s="761">
        <v>6.6074038739089208E-2</v>
      </c>
      <c r="EY47" s="761">
        <v>6.6030644944979067E-2</v>
      </c>
      <c r="EZ47" s="761">
        <v>6.5987361168078934E-2</v>
      </c>
      <c r="FA47" s="761">
        <v>6.5944187121338982E-2</v>
      </c>
      <c r="FB47" s="761">
        <v>6.5901122518498875E-2</v>
      </c>
      <c r="FC47" s="761">
        <v>6.585816707408533E-2</v>
      </c>
      <c r="FD47" s="761">
        <v>6.5815320503409824E-2</v>
      </c>
      <c r="FE47" s="761">
        <v>6.5772582522566223E-2</v>
      </c>
      <c r="FF47" s="761">
        <v>6.5729952848428419E-2</v>
      </c>
    </row>
    <row r="48" spans="1:162">
      <c r="B48" s="34" t="s">
        <v>53</v>
      </c>
      <c r="C48" s="220">
        <f>'Old OSAR'!K59</f>
        <v>2863478.1265611108</v>
      </c>
      <c r="D48" s="127">
        <f>P86</f>
        <v>3102916</v>
      </c>
      <c r="G48" s="342"/>
      <c r="H48" s="127">
        <f>'2025 Budget'!U51</f>
        <v>4857014.96</v>
      </c>
      <c r="K48" s="342"/>
      <c r="L48" s="108" t="s">
        <v>455</v>
      </c>
      <c r="M48" s="108" t="s">
        <v>327</v>
      </c>
      <c r="O48" s="682"/>
      <c r="P48" s="764"/>
      <c r="Q48" s="766"/>
      <c r="R48" s="766"/>
      <c r="S48" s="766"/>
      <c r="T48" s="766"/>
      <c r="U48" s="766"/>
      <c r="V48" s="766"/>
      <c r="W48" s="766"/>
      <c r="X48" s="767"/>
      <c r="Y48" s="767"/>
      <c r="Z48" s="767"/>
      <c r="AA48" s="767"/>
      <c r="AB48" s="656"/>
      <c r="AC48" s="713"/>
      <c r="AD48" s="764"/>
      <c r="AE48" s="768"/>
      <c r="AF48" s="768"/>
      <c r="AG48" s="768"/>
      <c r="AH48" s="768"/>
      <c r="AI48" s="768"/>
      <c r="AJ48" s="768"/>
      <c r="AK48" s="768"/>
      <c r="AL48" s="768"/>
      <c r="AM48" s="768"/>
      <c r="AN48" s="768"/>
      <c r="AO48" s="768"/>
      <c r="AP48" s="768"/>
      <c r="AQ48" s="768"/>
      <c r="AR48" s="768"/>
      <c r="AS48" s="768"/>
      <c r="AT48" s="768"/>
      <c r="AU48" s="768"/>
      <c r="AV48" s="768"/>
      <c r="AW48" s="768"/>
      <c r="AX48" s="768"/>
      <c r="AY48" s="768"/>
      <c r="AZ48" s="768"/>
      <c r="BA48" s="768"/>
      <c r="BB48" s="768"/>
      <c r="BC48" s="768"/>
      <c r="BD48" s="768"/>
      <c r="BE48" s="768"/>
      <c r="BF48" s="768"/>
      <c r="BG48" s="768"/>
      <c r="BH48" s="768"/>
      <c r="BI48" s="768"/>
      <c r="BJ48" s="768"/>
      <c r="BK48" s="768"/>
      <c r="BL48" s="768"/>
      <c r="BM48" s="768"/>
      <c r="BN48" s="768"/>
      <c r="BO48" s="768"/>
      <c r="BP48" s="768"/>
      <c r="BQ48" s="768"/>
      <c r="BR48" s="768"/>
      <c r="BS48" s="768"/>
      <c r="BT48" s="768"/>
      <c r="BU48" s="768"/>
      <c r="BV48" s="768"/>
      <c r="BW48" s="768"/>
      <c r="BX48" s="768"/>
      <c r="BY48" s="768"/>
      <c r="BZ48" s="768"/>
      <c r="CA48" s="768"/>
      <c r="CB48" s="768"/>
      <c r="CC48" s="768"/>
      <c r="CD48" s="768"/>
      <c r="CE48" s="768"/>
      <c r="CF48" s="768"/>
      <c r="CG48" s="768"/>
      <c r="CH48" s="768"/>
      <c r="CI48" s="768"/>
      <c r="CJ48" s="768"/>
      <c r="CK48" s="768"/>
      <c r="CL48" s="768"/>
      <c r="CM48" s="768"/>
      <c r="CN48" s="768"/>
      <c r="CO48" s="768"/>
      <c r="CP48" s="768"/>
      <c r="CQ48" s="768"/>
      <c r="CR48" s="768"/>
      <c r="CS48" s="768"/>
      <c r="CT48" s="768"/>
      <c r="CU48" s="768"/>
      <c r="CV48" s="768"/>
      <c r="CW48" s="768"/>
      <c r="CX48" s="768"/>
      <c r="CY48" s="768"/>
      <c r="CZ48" s="768"/>
      <c r="DA48" s="768"/>
      <c r="DB48" s="768"/>
      <c r="DC48" s="768"/>
      <c r="DD48" s="768"/>
      <c r="DE48" s="768"/>
      <c r="DF48" s="768"/>
      <c r="DG48" s="768"/>
      <c r="DH48" s="768"/>
      <c r="DI48" s="768"/>
      <c r="DJ48" s="768"/>
      <c r="DK48" s="768"/>
      <c r="DL48" s="768"/>
      <c r="DM48" s="768"/>
      <c r="DN48" s="768"/>
      <c r="DO48" s="768"/>
      <c r="DP48" s="768"/>
      <c r="DQ48" s="768"/>
      <c r="DR48" s="768"/>
      <c r="DS48" s="768"/>
      <c r="DT48" s="768"/>
      <c r="DU48" s="768"/>
      <c r="DV48" s="768"/>
      <c r="DW48" s="768"/>
      <c r="DX48" s="768"/>
      <c r="DY48" s="768"/>
      <c r="DZ48" s="768"/>
      <c r="EA48" s="768"/>
      <c r="EB48" s="768"/>
      <c r="EC48" s="768"/>
      <c r="ED48" s="768"/>
      <c r="EE48" s="768"/>
      <c r="EF48" s="768"/>
      <c r="EG48" s="768"/>
      <c r="EH48" s="768"/>
      <c r="EI48" s="768"/>
      <c r="EJ48" s="768"/>
      <c r="EK48" s="768"/>
      <c r="EL48" s="768"/>
      <c r="EM48" s="768"/>
      <c r="EN48" s="768"/>
      <c r="EO48" s="768"/>
      <c r="EP48" s="768"/>
      <c r="EQ48" s="768"/>
      <c r="ER48" s="768"/>
      <c r="ES48" s="768"/>
      <c r="ET48" s="768"/>
      <c r="EU48" s="768"/>
      <c r="EV48" s="768"/>
      <c r="EW48" s="768"/>
      <c r="EX48" s="768"/>
      <c r="EY48" s="768"/>
      <c r="EZ48" s="768"/>
      <c r="FA48" s="768"/>
      <c r="FB48" s="768"/>
      <c r="FC48" s="768"/>
      <c r="FD48" s="768"/>
      <c r="FE48" s="768"/>
      <c r="FF48" s="769"/>
    </row>
    <row r="49" spans="2:162">
      <c r="B49" s="34"/>
      <c r="C49" s="417"/>
      <c r="D49" s="58"/>
      <c r="E49" s="33"/>
      <c r="F49" s="33"/>
      <c r="G49" s="342"/>
      <c r="H49" s="58"/>
      <c r="K49" s="342"/>
      <c r="M49" s="34" t="s">
        <v>34</v>
      </c>
      <c r="O49" s="770" t="s">
        <v>72</v>
      </c>
      <c r="P49" s="771"/>
      <c r="Q49" s="772"/>
      <c r="R49" s="772"/>
      <c r="S49" s="772"/>
      <c r="T49" s="772"/>
      <c r="U49" s="773"/>
      <c r="V49" s="773"/>
      <c r="W49" s="767"/>
      <c r="X49" s="682"/>
      <c r="Y49" s="682"/>
      <c r="Z49" s="682"/>
      <c r="AA49" s="682"/>
      <c r="AB49" s="656"/>
      <c r="AC49" s="709" t="s">
        <v>72</v>
      </c>
      <c r="AD49" s="771"/>
      <c r="AE49" s="774"/>
      <c r="AF49" s="774"/>
      <c r="AG49" s="774"/>
      <c r="AH49" s="774"/>
      <c r="AI49" s="774"/>
      <c r="AJ49" s="774"/>
      <c r="AK49" s="774"/>
      <c r="AL49" s="774"/>
      <c r="AM49" s="774"/>
      <c r="AN49" s="774"/>
      <c r="AO49" s="774"/>
      <c r="AP49" s="774"/>
      <c r="AQ49" s="774"/>
      <c r="AR49" s="774"/>
      <c r="AS49" s="774"/>
      <c r="AT49" s="774"/>
      <c r="AU49" s="774"/>
      <c r="AV49" s="774"/>
      <c r="AW49" s="774"/>
      <c r="AX49" s="774"/>
      <c r="AY49" s="774"/>
      <c r="AZ49" s="774"/>
      <c r="BA49" s="774"/>
      <c r="BB49" s="774"/>
      <c r="BC49" s="774"/>
      <c r="BD49" s="774"/>
      <c r="BE49" s="774"/>
      <c r="BF49" s="774"/>
      <c r="BG49" s="774"/>
      <c r="BH49" s="774"/>
      <c r="BI49" s="774"/>
      <c r="BJ49" s="774"/>
      <c r="BK49" s="774"/>
      <c r="BL49" s="774"/>
      <c r="BM49" s="774"/>
      <c r="BN49" s="774"/>
      <c r="BO49" s="774"/>
      <c r="BP49" s="774"/>
      <c r="BQ49" s="774"/>
      <c r="BR49" s="774"/>
      <c r="BS49" s="774"/>
      <c r="BT49" s="774"/>
      <c r="BU49" s="774"/>
      <c r="BV49" s="774"/>
      <c r="BW49" s="774"/>
      <c r="BX49" s="774"/>
      <c r="BY49" s="774"/>
      <c r="BZ49" s="774"/>
      <c r="CA49" s="774"/>
      <c r="CB49" s="774"/>
      <c r="CC49" s="774"/>
      <c r="CD49" s="774"/>
      <c r="CE49" s="774"/>
      <c r="CF49" s="774"/>
      <c r="CG49" s="774"/>
      <c r="CH49" s="774"/>
      <c r="CI49" s="774"/>
      <c r="CJ49" s="774"/>
      <c r="CK49" s="774"/>
      <c r="CL49" s="774"/>
      <c r="CM49" s="774"/>
      <c r="CN49" s="774"/>
      <c r="CO49" s="774"/>
      <c r="CP49" s="774"/>
      <c r="CQ49" s="774"/>
      <c r="CR49" s="774"/>
      <c r="CS49" s="774"/>
      <c r="CT49" s="774"/>
      <c r="CU49" s="774"/>
      <c r="CV49" s="774"/>
      <c r="CW49" s="774"/>
      <c r="CX49" s="774"/>
      <c r="CY49" s="774"/>
      <c r="CZ49" s="774"/>
      <c r="DA49" s="774"/>
      <c r="DB49" s="774"/>
      <c r="DC49" s="774"/>
      <c r="DD49" s="774"/>
      <c r="DE49" s="774"/>
      <c r="DF49" s="774"/>
      <c r="DG49" s="774"/>
      <c r="DH49" s="774"/>
      <c r="DI49" s="774"/>
      <c r="DJ49" s="774"/>
      <c r="DK49" s="774"/>
      <c r="DL49" s="774"/>
      <c r="DM49" s="774"/>
      <c r="DN49" s="774"/>
      <c r="DO49" s="774"/>
      <c r="DP49" s="774"/>
      <c r="DQ49" s="774"/>
      <c r="DR49" s="774"/>
      <c r="DS49" s="774"/>
      <c r="DT49" s="774"/>
      <c r="DU49" s="774"/>
      <c r="DV49" s="774"/>
      <c r="DW49" s="774"/>
      <c r="DX49" s="774"/>
      <c r="DY49" s="774"/>
      <c r="DZ49" s="774"/>
      <c r="EA49" s="774"/>
      <c r="EB49" s="774"/>
      <c r="EC49" s="774"/>
      <c r="ED49" s="774"/>
      <c r="EE49" s="774"/>
      <c r="EF49" s="774"/>
      <c r="EG49" s="774"/>
      <c r="EH49" s="774"/>
      <c r="EI49" s="774"/>
      <c r="EJ49" s="774"/>
      <c r="EK49" s="774"/>
      <c r="EL49" s="774"/>
      <c r="EM49" s="774"/>
      <c r="EN49" s="774"/>
      <c r="EO49" s="774"/>
      <c r="EP49" s="774"/>
      <c r="EQ49" s="774"/>
      <c r="ER49" s="774"/>
      <c r="ES49" s="774"/>
      <c r="ET49" s="774"/>
      <c r="EU49" s="774"/>
      <c r="EV49" s="774"/>
      <c r="EW49" s="774"/>
      <c r="EX49" s="774"/>
      <c r="EY49" s="774"/>
      <c r="EZ49" s="774"/>
      <c r="FA49" s="774"/>
      <c r="FB49" s="774"/>
      <c r="FC49" s="774"/>
      <c r="FD49" s="774"/>
      <c r="FE49" s="774"/>
      <c r="FF49" s="774"/>
    </row>
    <row r="50" spans="2:162">
      <c r="B50" s="34" t="s">
        <v>54</v>
      </c>
      <c r="C50" s="220" t="e">
        <f>'Old OSAR'!K61</f>
        <v>#REF!</v>
      </c>
      <c r="D50" s="127">
        <f>D46-D48</f>
        <v>-101697.92870502826</v>
      </c>
      <c r="E50" s="126"/>
      <c r="F50" s="126"/>
      <c r="G50" s="429"/>
      <c r="H50" s="127">
        <f>'2025 Budget'!U53</f>
        <v>-6869653.9399999995</v>
      </c>
      <c r="K50" s="342"/>
      <c r="M50" s="37" t="s">
        <v>40</v>
      </c>
      <c r="O50" s="682" t="s">
        <v>358</v>
      </c>
      <c r="P50" s="686">
        <v>688888.3899999999</v>
      </c>
      <c r="Q50" s="635">
        <v>646800</v>
      </c>
      <c r="R50" s="638">
        <v>679140</v>
      </c>
      <c r="S50" s="635">
        <v>699514.20000000007</v>
      </c>
      <c r="T50" s="635">
        <v>720499.62600000005</v>
      </c>
      <c r="U50" s="635">
        <v>742114.61478000006</v>
      </c>
      <c r="V50" s="635">
        <v>764378.05322340003</v>
      </c>
      <c r="W50" s="635">
        <v>787309.39482010202</v>
      </c>
      <c r="X50" s="635">
        <v>810928.67666470516</v>
      </c>
      <c r="Y50" s="635">
        <v>835256.53696464631</v>
      </c>
      <c r="Z50" s="635">
        <v>860314.23307358567</v>
      </c>
      <c r="AA50" s="635">
        <v>886123.66006579332</v>
      </c>
      <c r="AB50" s="775"/>
      <c r="AC50" s="714" t="s">
        <v>358</v>
      </c>
      <c r="AD50" s="686">
        <v>688888.3899999999</v>
      </c>
      <c r="AE50" s="635">
        <v>53900</v>
      </c>
      <c r="AF50" s="635">
        <v>53900</v>
      </c>
      <c r="AG50" s="635">
        <v>53900</v>
      </c>
      <c r="AH50" s="635">
        <v>53900</v>
      </c>
      <c r="AI50" s="635">
        <v>53900</v>
      </c>
      <c r="AJ50" s="635">
        <v>53900</v>
      </c>
      <c r="AK50" s="635">
        <v>53900</v>
      </c>
      <c r="AL50" s="635">
        <v>53900</v>
      </c>
      <c r="AM50" s="635">
        <v>53900</v>
      </c>
      <c r="AN50" s="635">
        <v>53900</v>
      </c>
      <c r="AO50" s="635">
        <v>53900</v>
      </c>
      <c r="AP50" s="635">
        <v>53900</v>
      </c>
      <c r="AQ50" s="635">
        <v>56595</v>
      </c>
      <c r="AR50" s="635">
        <v>56595</v>
      </c>
      <c r="AS50" s="635">
        <v>56595</v>
      </c>
      <c r="AT50" s="635">
        <v>56595</v>
      </c>
      <c r="AU50" s="635">
        <v>56595</v>
      </c>
      <c r="AV50" s="635">
        <v>56595</v>
      </c>
      <c r="AW50" s="635">
        <v>56595</v>
      </c>
      <c r="AX50" s="635">
        <v>56595</v>
      </c>
      <c r="AY50" s="635">
        <v>56595</v>
      </c>
      <c r="AZ50" s="635">
        <v>56595</v>
      </c>
      <c r="BA50" s="635">
        <v>56595</v>
      </c>
      <c r="BB50" s="635">
        <v>56595</v>
      </c>
      <c r="BC50" s="635">
        <v>58292.850000000006</v>
      </c>
      <c r="BD50" s="635">
        <v>58292.850000000006</v>
      </c>
      <c r="BE50" s="635">
        <v>58292.850000000006</v>
      </c>
      <c r="BF50" s="635">
        <v>58292.850000000006</v>
      </c>
      <c r="BG50" s="635">
        <v>58292.850000000006</v>
      </c>
      <c r="BH50" s="635">
        <v>58292.850000000006</v>
      </c>
      <c r="BI50" s="635">
        <v>58292.850000000006</v>
      </c>
      <c r="BJ50" s="635">
        <v>58292.850000000006</v>
      </c>
      <c r="BK50" s="635">
        <v>58292.850000000006</v>
      </c>
      <c r="BL50" s="635">
        <v>58292.850000000006</v>
      </c>
      <c r="BM50" s="635">
        <v>58292.850000000006</v>
      </c>
      <c r="BN50" s="635">
        <v>58292.850000000006</v>
      </c>
      <c r="BO50" s="635">
        <v>60041.635500000004</v>
      </c>
      <c r="BP50" s="635">
        <v>60041.635500000004</v>
      </c>
      <c r="BQ50" s="635">
        <v>60041.635500000004</v>
      </c>
      <c r="BR50" s="635">
        <v>60041.635500000004</v>
      </c>
      <c r="BS50" s="635">
        <v>60041.635500000004</v>
      </c>
      <c r="BT50" s="635">
        <v>60041.635500000004</v>
      </c>
      <c r="BU50" s="635">
        <v>60041.635500000004</v>
      </c>
      <c r="BV50" s="635">
        <v>60041.635500000004</v>
      </c>
      <c r="BW50" s="635">
        <v>60041.635500000004</v>
      </c>
      <c r="BX50" s="635">
        <v>60041.635500000004</v>
      </c>
      <c r="BY50" s="635">
        <v>60041.635500000004</v>
      </c>
      <c r="BZ50" s="635">
        <v>60041.635500000004</v>
      </c>
      <c r="CA50" s="635">
        <v>61842.884565000008</v>
      </c>
      <c r="CB50" s="635">
        <v>61842.884565000008</v>
      </c>
      <c r="CC50" s="635">
        <v>61842.884565000008</v>
      </c>
      <c r="CD50" s="635">
        <v>61842.884565000008</v>
      </c>
      <c r="CE50" s="635">
        <v>61842.884565000008</v>
      </c>
      <c r="CF50" s="635">
        <v>61842.884565000008</v>
      </c>
      <c r="CG50" s="635">
        <v>61842.884565000008</v>
      </c>
      <c r="CH50" s="635">
        <v>61842.884565000008</v>
      </c>
      <c r="CI50" s="635">
        <v>61842.884565000008</v>
      </c>
      <c r="CJ50" s="635">
        <v>61842.884565000008</v>
      </c>
      <c r="CK50" s="635">
        <v>61842.884565000008</v>
      </c>
      <c r="CL50" s="635">
        <v>61842.884565000008</v>
      </c>
      <c r="CM50" s="635">
        <v>63698.17110195</v>
      </c>
      <c r="CN50" s="635">
        <v>63698.17110195</v>
      </c>
      <c r="CO50" s="635">
        <v>63698.17110195</v>
      </c>
      <c r="CP50" s="635">
        <v>63698.17110195</v>
      </c>
      <c r="CQ50" s="635">
        <v>63698.17110195</v>
      </c>
      <c r="CR50" s="635">
        <v>63698.17110195</v>
      </c>
      <c r="CS50" s="635">
        <v>63698.17110195</v>
      </c>
      <c r="CT50" s="635">
        <v>63698.17110195</v>
      </c>
      <c r="CU50" s="635">
        <v>63698.17110195</v>
      </c>
      <c r="CV50" s="635">
        <v>63698.17110195</v>
      </c>
      <c r="CW50" s="635">
        <v>63698.17110195</v>
      </c>
      <c r="CX50" s="635">
        <v>63698.17110195</v>
      </c>
      <c r="CY50" s="635">
        <v>65609.116235008507</v>
      </c>
      <c r="CZ50" s="635">
        <v>65609.116235008507</v>
      </c>
      <c r="DA50" s="635">
        <v>65609.116235008507</v>
      </c>
      <c r="DB50" s="635">
        <v>65609.116235008507</v>
      </c>
      <c r="DC50" s="635">
        <v>65609.116235008507</v>
      </c>
      <c r="DD50" s="635">
        <v>65609.116235008507</v>
      </c>
      <c r="DE50" s="635">
        <v>65609.116235008507</v>
      </c>
      <c r="DF50" s="635">
        <v>65609.116235008507</v>
      </c>
      <c r="DG50" s="635">
        <v>65609.116235008507</v>
      </c>
      <c r="DH50" s="635">
        <v>65609.116235008507</v>
      </c>
      <c r="DI50" s="635">
        <v>65609.116235008507</v>
      </c>
      <c r="DJ50" s="635">
        <v>65609.116235008507</v>
      </c>
      <c r="DK50" s="635">
        <v>67577.389722058768</v>
      </c>
      <c r="DL50" s="635">
        <v>67577.389722058768</v>
      </c>
      <c r="DM50" s="635">
        <v>67577.389722058768</v>
      </c>
      <c r="DN50" s="635">
        <v>67577.389722058768</v>
      </c>
      <c r="DO50" s="635">
        <v>67577.389722058768</v>
      </c>
      <c r="DP50" s="635">
        <v>67577.389722058768</v>
      </c>
      <c r="DQ50" s="635">
        <v>67577.389722058768</v>
      </c>
      <c r="DR50" s="635">
        <v>67577.389722058768</v>
      </c>
      <c r="DS50" s="635">
        <v>67577.389722058768</v>
      </c>
      <c r="DT50" s="635">
        <v>67577.389722058768</v>
      </c>
      <c r="DU50" s="635">
        <v>67577.389722058768</v>
      </c>
      <c r="DV50" s="635">
        <v>67577.389722058768</v>
      </c>
      <c r="DW50" s="635">
        <v>69604.711413720521</v>
      </c>
      <c r="DX50" s="635">
        <v>69604.711413720521</v>
      </c>
      <c r="DY50" s="635">
        <v>69604.711413720521</v>
      </c>
      <c r="DZ50" s="635">
        <v>69604.711413720521</v>
      </c>
      <c r="EA50" s="635">
        <v>69604.711413720521</v>
      </c>
      <c r="EB50" s="635">
        <v>69604.711413720521</v>
      </c>
      <c r="EC50" s="635">
        <v>69604.711413720521</v>
      </c>
      <c r="ED50" s="635">
        <v>69604.711413720521</v>
      </c>
      <c r="EE50" s="635">
        <v>69604.711413720521</v>
      </c>
      <c r="EF50" s="635">
        <v>69604.711413720521</v>
      </c>
      <c r="EG50" s="635">
        <v>69604.711413720521</v>
      </c>
      <c r="EH50" s="635">
        <v>69604.711413720521</v>
      </c>
      <c r="EI50" s="635">
        <v>71692.852756132139</v>
      </c>
      <c r="EJ50" s="635">
        <v>71692.852756132139</v>
      </c>
      <c r="EK50" s="635">
        <v>71692.852756132139</v>
      </c>
      <c r="EL50" s="635">
        <v>71692.852756132139</v>
      </c>
      <c r="EM50" s="635">
        <v>71692.852756132139</v>
      </c>
      <c r="EN50" s="635">
        <v>71692.852756132139</v>
      </c>
      <c r="EO50" s="635">
        <v>71692.852756132139</v>
      </c>
      <c r="EP50" s="635">
        <v>71692.852756132139</v>
      </c>
      <c r="EQ50" s="635">
        <v>71692.852756132139</v>
      </c>
      <c r="ER50" s="635">
        <v>71692.852756132139</v>
      </c>
      <c r="ES50" s="635">
        <v>71692.852756132139</v>
      </c>
      <c r="ET50" s="635">
        <v>71692.852756132139</v>
      </c>
      <c r="EU50" s="635">
        <v>73843.638338816105</v>
      </c>
      <c r="EV50" s="635">
        <v>73843.638338816105</v>
      </c>
      <c r="EW50" s="635">
        <v>73843.638338816105</v>
      </c>
      <c r="EX50" s="635">
        <v>73843.638338816105</v>
      </c>
      <c r="EY50" s="635">
        <v>73843.638338816105</v>
      </c>
      <c r="EZ50" s="635">
        <v>73843.638338816105</v>
      </c>
      <c r="FA50" s="635">
        <v>73843.638338816105</v>
      </c>
      <c r="FB50" s="635">
        <v>73843.638338816105</v>
      </c>
      <c r="FC50" s="635">
        <v>73843.638338816105</v>
      </c>
      <c r="FD50" s="635">
        <v>73843.638338816105</v>
      </c>
      <c r="FE50" s="635">
        <v>73843.638338816105</v>
      </c>
      <c r="FF50" s="635">
        <v>73843.638338816105</v>
      </c>
    </row>
    <row r="51" spans="2:162">
      <c r="B51" s="34"/>
      <c r="C51" s="414"/>
      <c r="D51" s="57"/>
      <c r="E51" s="126"/>
      <c r="F51" s="126"/>
      <c r="G51" s="342"/>
      <c r="H51" s="57"/>
      <c r="K51" s="342"/>
      <c r="M51" s="41" t="s">
        <v>37</v>
      </c>
      <c r="O51" s="682" t="s">
        <v>366</v>
      </c>
      <c r="P51" s="686">
        <v>378063.92</v>
      </c>
      <c r="Q51" s="635">
        <v>369600</v>
      </c>
      <c r="R51" s="638">
        <v>388080</v>
      </c>
      <c r="S51" s="638">
        <v>399722.4</v>
      </c>
      <c r="T51" s="638">
        <v>411714.07200000004</v>
      </c>
      <c r="U51" s="638">
        <v>424065.49416000006</v>
      </c>
      <c r="V51" s="638">
        <v>436787.45898480009</v>
      </c>
      <c r="W51" s="638">
        <v>449891.0827543441</v>
      </c>
      <c r="X51" s="638">
        <v>463387.81523697445</v>
      </c>
      <c r="Y51" s="638">
        <v>477289.44969408371</v>
      </c>
      <c r="Z51" s="638">
        <v>491608.13318490621</v>
      </c>
      <c r="AA51" s="638">
        <v>506356.37718045339</v>
      </c>
      <c r="AB51" s="776"/>
      <c r="AC51" s="714" t="s">
        <v>366</v>
      </c>
      <c r="AD51" s="686">
        <v>378063.92</v>
      </c>
      <c r="AE51" s="635">
        <v>30800</v>
      </c>
      <c r="AF51" s="635">
        <v>30800</v>
      </c>
      <c r="AG51" s="635">
        <v>30800</v>
      </c>
      <c r="AH51" s="635">
        <v>30800</v>
      </c>
      <c r="AI51" s="635">
        <v>30800</v>
      </c>
      <c r="AJ51" s="635">
        <v>30800</v>
      </c>
      <c r="AK51" s="635">
        <v>30800</v>
      </c>
      <c r="AL51" s="635">
        <v>30800</v>
      </c>
      <c r="AM51" s="635">
        <v>30800</v>
      </c>
      <c r="AN51" s="635">
        <v>30800</v>
      </c>
      <c r="AO51" s="635">
        <v>30800</v>
      </c>
      <c r="AP51" s="635">
        <v>30800</v>
      </c>
      <c r="AQ51" s="635">
        <v>32340</v>
      </c>
      <c r="AR51" s="635">
        <v>32340</v>
      </c>
      <c r="AS51" s="635">
        <v>32340</v>
      </c>
      <c r="AT51" s="635">
        <v>32340</v>
      </c>
      <c r="AU51" s="635">
        <v>32340</v>
      </c>
      <c r="AV51" s="635">
        <v>32340</v>
      </c>
      <c r="AW51" s="635">
        <v>32340</v>
      </c>
      <c r="AX51" s="635">
        <v>32340</v>
      </c>
      <c r="AY51" s="635">
        <v>32340</v>
      </c>
      <c r="AZ51" s="635">
        <v>32340</v>
      </c>
      <c r="BA51" s="635">
        <v>32340</v>
      </c>
      <c r="BB51" s="635">
        <v>32340</v>
      </c>
      <c r="BC51" s="635">
        <v>33310.200000000004</v>
      </c>
      <c r="BD51" s="635">
        <v>33310.200000000004</v>
      </c>
      <c r="BE51" s="635">
        <v>33310.200000000004</v>
      </c>
      <c r="BF51" s="635">
        <v>33310.200000000004</v>
      </c>
      <c r="BG51" s="635">
        <v>33310.200000000004</v>
      </c>
      <c r="BH51" s="635">
        <v>33310.200000000004</v>
      </c>
      <c r="BI51" s="635">
        <v>33310.200000000004</v>
      </c>
      <c r="BJ51" s="635">
        <v>33310.200000000004</v>
      </c>
      <c r="BK51" s="635">
        <v>33310.200000000004</v>
      </c>
      <c r="BL51" s="635">
        <v>33310.200000000004</v>
      </c>
      <c r="BM51" s="635">
        <v>33310.200000000004</v>
      </c>
      <c r="BN51" s="635">
        <v>33310.200000000004</v>
      </c>
      <c r="BO51" s="635">
        <v>34309.506000000001</v>
      </c>
      <c r="BP51" s="635">
        <v>34309.506000000001</v>
      </c>
      <c r="BQ51" s="635">
        <v>34309.506000000001</v>
      </c>
      <c r="BR51" s="635">
        <v>34309.506000000001</v>
      </c>
      <c r="BS51" s="635">
        <v>34309.506000000001</v>
      </c>
      <c r="BT51" s="635">
        <v>34309.506000000001</v>
      </c>
      <c r="BU51" s="635">
        <v>34309.506000000001</v>
      </c>
      <c r="BV51" s="635">
        <v>34309.506000000001</v>
      </c>
      <c r="BW51" s="635">
        <v>34309.506000000001</v>
      </c>
      <c r="BX51" s="635">
        <v>34309.506000000001</v>
      </c>
      <c r="BY51" s="635">
        <v>34309.506000000001</v>
      </c>
      <c r="BZ51" s="635">
        <v>34309.506000000001</v>
      </c>
      <c r="CA51" s="635">
        <v>35338.791180000007</v>
      </c>
      <c r="CB51" s="635">
        <v>35338.791180000007</v>
      </c>
      <c r="CC51" s="635">
        <v>35338.791180000007</v>
      </c>
      <c r="CD51" s="635">
        <v>35338.791180000007</v>
      </c>
      <c r="CE51" s="635">
        <v>35338.791180000007</v>
      </c>
      <c r="CF51" s="635">
        <v>35338.791180000007</v>
      </c>
      <c r="CG51" s="635">
        <v>35338.791180000007</v>
      </c>
      <c r="CH51" s="635">
        <v>35338.791180000007</v>
      </c>
      <c r="CI51" s="635">
        <v>35338.791180000007</v>
      </c>
      <c r="CJ51" s="635">
        <v>35338.791180000007</v>
      </c>
      <c r="CK51" s="635">
        <v>35338.791180000007</v>
      </c>
      <c r="CL51" s="635">
        <v>35338.791180000007</v>
      </c>
      <c r="CM51" s="635">
        <v>36398.954915400005</v>
      </c>
      <c r="CN51" s="635">
        <v>36398.954915400005</v>
      </c>
      <c r="CO51" s="635">
        <v>36398.954915400005</v>
      </c>
      <c r="CP51" s="635">
        <v>36398.954915400005</v>
      </c>
      <c r="CQ51" s="635">
        <v>36398.954915400005</v>
      </c>
      <c r="CR51" s="635">
        <v>36398.954915400005</v>
      </c>
      <c r="CS51" s="635">
        <v>36398.954915400005</v>
      </c>
      <c r="CT51" s="635">
        <v>36398.954915400005</v>
      </c>
      <c r="CU51" s="635">
        <v>36398.954915400005</v>
      </c>
      <c r="CV51" s="635">
        <v>36398.954915400005</v>
      </c>
      <c r="CW51" s="635">
        <v>36398.954915400005</v>
      </c>
      <c r="CX51" s="635">
        <v>36398.954915400005</v>
      </c>
      <c r="CY51" s="635">
        <v>37490.923562862008</v>
      </c>
      <c r="CZ51" s="635">
        <v>37490.923562862008</v>
      </c>
      <c r="DA51" s="635">
        <v>37490.923562862008</v>
      </c>
      <c r="DB51" s="635">
        <v>37490.923562862008</v>
      </c>
      <c r="DC51" s="635">
        <v>37490.923562862008</v>
      </c>
      <c r="DD51" s="635">
        <v>37490.923562862008</v>
      </c>
      <c r="DE51" s="635">
        <v>37490.923562862008</v>
      </c>
      <c r="DF51" s="635">
        <v>37490.923562862008</v>
      </c>
      <c r="DG51" s="635">
        <v>37490.923562862008</v>
      </c>
      <c r="DH51" s="635">
        <v>37490.923562862008</v>
      </c>
      <c r="DI51" s="635">
        <v>37490.923562862008</v>
      </c>
      <c r="DJ51" s="635">
        <v>37490.923562862008</v>
      </c>
      <c r="DK51" s="635">
        <v>38615.651269747868</v>
      </c>
      <c r="DL51" s="635">
        <v>38615.651269747868</v>
      </c>
      <c r="DM51" s="635">
        <v>38615.651269747868</v>
      </c>
      <c r="DN51" s="635">
        <v>38615.651269747868</v>
      </c>
      <c r="DO51" s="635">
        <v>38615.651269747868</v>
      </c>
      <c r="DP51" s="635">
        <v>38615.651269747868</v>
      </c>
      <c r="DQ51" s="635">
        <v>38615.651269747868</v>
      </c>
      <c r="DR51" s="635">
        <v>38615.651269747868</v>
      </c>
      <c r="DS51" s="635">
        <v>38615.651269747868</v>
      </c>
      <c r="DT51" s="635">
        <v>38615.651269747868</v>
      </c>
      <c r="DU51" s="635">
        <v>38615.651269747868</v>
      </c>
      <c r="DV51" s="635">
        <v>38615.651269747868</v>
      </c>
      <c r="DW51" s="635">
        <v>39774.120807840307</v>
      </c>
      <c r="DX51" s="635">
        <v>39774.120807840307</v>
      </c>
      <c r="DY51" s="635">
        <v>39774.120807840307</v>
      </c>
      <c r="DZ51" s="635">
        <v>39774.120807840307</v>
      </c>
      <c r="EA51" s="635">
        <v>39774.120807840307</v>
      </c>
      <c r="EB51" s="635">
        <v>39774.120807840307</v>
      </c>
      <c r="EC51" s="635">
        <v>39774.120807840307</v>
      </c>
      <c r="ED51" s="635">
        <v>39774.120807840307</v>
      </c>
      <c r="EE51" s="635">
        <v>39774.120807840307</v>
      </c>
      <c r="EF51" s="635">
        <v>39774.120807840307</v>
      </c>
      <c r="EG51" s="635">
        <v>39774.120807840307</v>
      </c>
      <c r="EH51" s="635">
        <v>39774.120807840307</v>
      </c>
      <c r="EI51" s="635">
        <v>40967.344432075515</v>
      </c>
      <c r="EJ51" s="635">
        <v>40967.344432075515</v>
      </c>
      <c r="EK51" s="635">
        <v>40967.344432075515</v>
      </c>
      <c r="EL51" s="635">
        <v>40967.344432075515</v>
      </c>
      <c r="EM51" s="635">
        <v>40967.344432075515</v>
      </c>
      <c r="EN51" s="635">
        <v>40967.344432075515</v>
      </c>
      <c r="EO51" s="635">
        <v>40967.344432075515</v>
      </c>
      <c r="EP51" s="635">
        <v>40967.344432075515</v>
      </c>
      <c r="EQ51" s="635">
        <v>40967.344432075515</v>
      </c>
      <c r="ER51" s="635">
        <v>40967.344432075515</v>
      </c>
      <c r="ES51" s="635">
        <v>40967.344432075515</v>
      </c>
      <c r="ET51" s="635">
        <v>40967.344432075515</v>
      </c>
      <c r="EU51" s="635">
        <v>42196.364765037782</v>
      </c>
      <c r="EV51" s="635">
        <v>42196.364765037782</v>
      </c>
      <c r="EW51" s="635">
        <v>42196.364765037782</v>
      </c>
      <c r="EX51" s="635">
        <v>42196.364765037782</v>
      </c>
      <c r="EY51" s="635">
        <v>42196.364765037782</v>
      </c>
      <c r="EZ51" s="635">
        <v>42196.364765037782</v>
      </c>
      <c r="FA51" s="635">
        <v>42196.364765037782</v>
      </c>
      <c r="FB51" s="635">
        <v>42196.364765037782</v>
      </c>
      <c r="FC51" s="635">
        <v>42196.364765037782</v>
      </c>
      <c r="FD51" s="635">
        <v>42196.364765037782</v>
      </c>
      <c r="FE51" s="635">
        <v>42196.364765037782</v>
      </c>
      <c r="FF51" s="635">
        <v>42196.364765037782</v>
      </c>
    </row>
    <row r="52" spans="2:162">
      <c r="B52" s="46" t="s">
        <v>451</v>
      </c>
      <c r="C52" s="418" t="e">
        <f>'Old OSAR'!K63</f>
        <v>#REF!</v>
      </c>
      <c r="D52" s="426"/>
      <c r="E52" s="126"/>
      <c r="F52" s="126"/>
      <c r="G52" s="342"/>
      <c r="H52" s="426"/>
      <c r="K52" s="342"/>
      <c r="M52" s="41" t="s">
        <v>38</v>
      </c>
      <c r="O52" s="682" t="s">
        <v>642</v>
      </c>
      <c r="P52" s="686">
        <v>124683.2</v>
      </c>
      <c r="Q52" s="635">
        <v>123200</v>
      </c>
      <c r="R52" s="638">
        <v>129360</v>
      </c>
      <c r="S52" s="638">
        <v>133240.80000000002</v>
      </c>
      <c r="T52" s="638">
        <v>137238.02400000003</v>
      </c>
      <c r="U52" s="638">
        <v>141355.16472000003</v>
      </c>
      <c r="V52" s="638">
        <v>145595.81966160002</v>
      </c>
      <c r="W52" s="638">
        <v>149963.69425144803</v>
      </c>
      <c r="X52" s="638">
        <v>154462.60507899147</v>
      </c>
      <c r="Y52" s="638">
        <v>159096.48323136123</v>
      </c>
      <c r="Z52" s="638">
        <v>163869.37772830206</v>
      </c>
      <c r="AA52" s="638">
        <v>168785.45906015113</v>
      </c>
      <c r="AB52" s="776"/>
      <c r="AC52" s="714" t="s">
        <v>642</v>
      </c>
      <c r="AD52" s="686">
        <v>124683.2</v>
      </c>
      <c r="AE52" s="635">
        <v>10266.666666666666</v>
      </c>
      <c r="AF52" s="635">
        <v>10266.666666666666</v>
      </c>
      <c r="AG52" s="635">
        <v>10266.666666666666</v>
      </c>
      <c r="AH52" s="635">
        <v>10266.666666666666</v>
      </c>
      <c r="AI52" s="635">
        <v>10266.666666666666</v>
      </c>
      <c r="AJ52" s="635">
        <v>10266.666666666666</v>
      </c>
      <c r="AK52" s="635">
        <v>10266.666666666666</v>
      </c>
      <c r="AL52" s="635">
        <v>10266.666666666666</v>
      </c>
      <c r="AM52" s="635">
        <v>10266.666666666666</v>
      </c>
      <c r="AN52" s="635">
        <v>10266.666666666666</v>
      </c>
      <c r="AO52" s="635">
        <v>10266.666666666666</v>
      </c>
      <c r="AP52" s="635">
        <v>10266.666666666666</v>
      </c>
      <c r="AQ52" s="635">
        <v>10780</v>
      </c>
      <c r="AR52" s="635">
        <v>10780</v>
      </c>
      <c r="AS52" s="635">
        <v>10780</v>
      </c>
      <c r="AT52" s="635">
        <v>10780</v>
      </c>
      <c r="AU52" s="635">
        <v>10780</v>
      </c>
      <c r="AV52" s="635">
        <v>10780</v>
      </c>
      <c r="AW52" s="635">
        <v>10780</v>
      </c>
      <c r="AX52" s="635">
        <v>10780</v>
      </c>
      <c r="AY52" s="635">
        <v>10780</v>
      </c>
      <c r="AZ52" s="635">
        <v>10780</v>
      </c>
      <c r="BA52" s="635">
        <v>10780</v>
      </c>
      <c r="BB52" s="635">
        <v>10780</v>
      </c>
      <c r="BC52" s="635">
        <v>11103.400000000001</v>
      </c>
      <c r="BD52" s="635">
        <v>11103.400000000001</v>
      </c>
      <c r="BE52" s="635">
        <v>11103.400000000001</v>
      </c>
      <c r="BF52" s="635">
        <v>11103.400000000001</v>
      </c>
      <c r="BG52" s="635">
        <v>11103.400000000001</v>
      </c>
      <c r="BH52" s="635">
        <v>11103.400000000001</v>
      </c>
      <c r="BI52" s="635">
        <v>11103.400000000001</v>
      </c>
      <c r="BJ52" s="635">
        <v>11103.400000000001</v>
      </c>
      <c r="BK52" s="635">
        <v>11103.400000000001</v>
      </c>
      <c r="BL52" s="635">
        <v>11103.400000000001</v>
      </c>
      <c r="BM52" s="635">
        <v>11103.400000000001</v>
      </c>
      <c r="BN52" s="635">
        <v>11103.400000000001</v>
      </c>
      <c r="BO52" s="635">
        <v>11436.502000000002</v>
      </c>
      <c r="BP52" s="635">
        <v>11436.502000000002</v>
      </c>
      <c r="BQ52" s="635">
        <v>11436.502000000002</v>
      </c>
      <c r="BR52" s="635">
        <v>11436.502000000002</v>
      </c>
      <c r="BS52" s="635">
        <v>11436.502000000002</v>
      </c>
      <c r="BT52" s="635">
        <v>11436.502000000002</v>
      </c>
      <c r="BU52" s="635">
        <v>11436.502000000002</v>
      </c>
      <c r="BV52" s="635">
        <v>11436.502000000002</v>
      </c>
      <c r="BW52" s="635">
        <v>11436.502000000002</v>
      </c>
      <c r="BX52" s="635">
        <v>11436.502000000002</v>
      </c>
      <c r="BY52" s="635">
        <v>11436.502000000002</v>
      </c>
      <c r="BZ52" s="635">
        <v>11436.502000000002</v>
      </c>
      <c r="CA52" s="635">
        <v>11779.597060000002</v>
      </c>
      <c r="CB52" s="635">
        <v>11779.597060000002</v>
      </c>
      <c r="CC52" s="635">
        <v>11779.597060000002</v>
      </c>
      <c r="CD52" s="635">
        <v>11779.597060000002</v>
      </c>
      <c r="CE52" s="635">
        <v>11779.597060000002</v>
      </c>
      <c r="CF52" s="635">
        <v>11779.597060000002</v>
      </c>
      <c r="CG52" s="635">
        <v>11779.597060000002</v>
      </c>
      <c r="CH52" s="635">
        <v>11779.597060000002</v>
      </c>
      <c r="CI52" s="635">
        <v>11779.597060000002</v>
      </c>
      <c r="CJ52" s="635">
        <v>11779.597060000002</v>
      </c>
      <c r="CK52" s="635">
        <v>11779.597060000002</v>
      </c>
      <c r="CL52" s="635">
        <v>11779.597060000002</v>
      </c>
      <c r="CM52" s="635">
        <v>12132.984971800002</v>
      </c>
      <c r="CN52" s="635">
        <v>12132.984971800002</v>
      </c>
      <c r="CO52" s="635">
        <v>12132.984971800002</v>
      </c>
      <c r="CP52" s="635">
        <v>12132.984971800002</v>
      </c>
      <c r="CQ52" s="635">
        <v>12132.984971800002</v>
      </c>
      <c r="CR52" s="635">
        <v>12132.984971800002</v>
      </c>
      <c r="CS52" s="635">
        <v>12132.984971800002</v>
      </c>
      <c r="CT52" s="635">
        <v>12132.984971800002</v>
      </c>
      <c r="CU52" s="635">
        <v>12132.984971800002</v>
      </c>
      <c r="CV52" s="635">
        <v>12132.984971800002</v>
      </c>
      <c r="CW52" s="635">
        <v>12132.984971800002</v>
      </c>
      <c r="CX52" s="635">
        <v>12132.984971800002</v>
      </c>
      <c r="CY52" s="635">
        <v>12496.974520954003</v>
      </c>
      <c r="CZ52" s="635">
        <v>12496.974520954003</v>
      </c>
      <c r="DA52" s="635">
        <v>12496.974520954003</v>
      </c>
      <c r="DB52" s="635">
        <v>12496.974520954003</v>
      </c>
      <c r="DC52" s="635">
        <v>12496.974520954003</v>
      </c>
      <c r="DD52" s="635">
        <v>12496.974520954003</v>
      </c>
      <c r="DE52" s="635">
        <v>12496.974520954003</v>
      </c>
      <c r="DF52" s="635">
        <v>12496.974520954003</v>
      </c>
      <c r="DG52" s="635">
        <v>12496.974520954003</v>
      </c>
      <c r="DH52" s="635">
        <v>12496.974520954003</v>
      </c>
      <c r="DI52" s="635">
        <v>12496.974520954003</v>
      </c>
      <c r="DJ52" s="635">
        <v>12496.974520954003</v>
      </c>
      <c r="DK52" s="635">
        <v>12871.883756582623</v>
      </c>
      <c r="DL52" s="635">
        <v>12871.883756582623</v>
      </c>
      <c r="DM52" s="635">
        <v>12871.883756582623</v>
      </c>
      <c r="DN52" s="635">
        <v>12871.883756582623</v>
      </c>
      <c r="DO52" s="635">
        <v>12871.883756582623</v>
      </c>
      <c r="DP52" s="635">
        <v>12871.883756582623</v>
      </c>
      <c r="DQ52" s="635">
        <v>12871.883756582623</v>
      </c>
      <c r="DR52" s="635">
        <v>12871.883756582623</v>
      </c>
      <c r="DS52" s="635">
        <v>12871.883756582623</v>
      </c>
      <c r="DT52" s="635">
        <v>12871.883756582623</v>
      </c>
      <c r="DU52" s="635">
        <v>12871.883756582623</v>
      </c>
      <c r="DV52" s="635">
        <v>12871.883756582623</v>
      </c>
      <c r="DW52" s="635">
        <v>13258.040269280102</v>
      </c>
      <c r="DX52" s="635">
        <v>13258.040269280102</v>
      </c>
      <c r="DY52" s="635">
        <v>13258.040269280102</v>
      </c>
      <c r="DZ52" s="635">
        <v>13258.040269280102</v>
      </c>
      <c r="EA52" s="635">
        <v>13258.040269280102</v>
      </c>
      <c r="EB52" s="635">
        <v>13258.040269280102</v>
      </c>
      <c r="EC52" s="635">
        <v>13258.040269280102</v>
      </c>
      <c r="ED52" s="635">
        <v>13258.040269280102</v>
      </c>
      <c r="EE52" s="635">
        <v>13258.040269280102</v>
      </c>
      <c r="EF52" s="635">
        <v>13258.040269280102</v>
      </c>
      <c r="EG52" s="635">
        <v>13258.040269280102</v>
      </c>
      <c r="EH52" s="635">
        <v>13258.040269280102</v>
      </c>
      <c r="EI52" s="635">
        <v>13655.781477358505</v>
      </c>
      <c r="EJ52" s="635">
        <v>13655.781477358505</v>
      </c>
      <c r="EK52" s="635">
        <v>13655.781477358505</v>
      </c>
      <c r="EL52" s="635">
        <v>13655.781477358505</v>
      </c>
      <c r="EM52" s="635">
        <v>13655.781477358505</v>
      </c>
      <c r="EN52" s="635">
        <v>13655.781477358505</v>
      </c>
      <c r="EO52" s="635">
        <v>13655.781477358505</v>
      </c>
      <c r="EP52" s="635">
        <v>13655.781477358505</v>
      </c>
      <c r="EQ52" s="635">
        <v>13655.781477358505</v>
      </c>
      <c r="ER52" s="635">
        <v>13655.781477358505</v>
      </c>
      <c r="ES52" s="635">
        <v>13655.781477358505</v>
      </c>
      <c r="ET52" s="635">
        <v>13655.781477358505</v>
      </c>
      <c r="EU52" s="635">
        <v>14065.45492167926</v>
      </c>
      <c r="EV52" s="635">
        <v>14065.45492167926</v>
      </c>
      <c r="EW52" s="635">
        <v>14065.45492167926</v>
      </c>
      <c r="EX52" s="635">
        <v>14065.45492167926</v>
      </c>
      <c r="EY52" s="635">
        <v>14065.45492167926</v>
      </c>
      <c r="EZ52" s="635">
        <v>14065.45492167926</v>
      </c>
      <c r="FA52" s="635">
        <v>14065.45492167926</v>
      </c>
      <c r="FB52" s="635">
        <v>14065.45492167926</v>
      </c>
      <c r="FC52" s="635">
        <v>14065.45492167926</v>
      </c>
      <c r="FD52" s="635">
        <v>14065.45492167926</v>
      </c>
      <c r="FE52" s="635">
        <v>14065.45492167926</v>
      </c>
      <c r="FF52" s="635">
        <v>14065.45492167926</v>
      </c>
    </row>
    <row r="53" spans="2:162">
      <c r="B53" s="46"/>
      <c r="C53" s="419"/>
      <c r="D53" s="427"/>
      <c r="E53" s="126"/>
      <c r="F53" s="126"/>
      <c r="G53" s="342"/>
      <c r="H53" s="427"/>
      <c r="K53" s="342"/>
      <c r="M53" s="41" t="s">
        <v>38</v>
      </c>
      <c r="O53" s="682" t="s">
        <v>643</v>
      </c>
      <c r="P53" s="686">
        <v>40277.85</v>
      </c>
      <c r="Q53" s="635">
        <v>77000</v>
      </c>
      <c r="R53" s="638">
        <v>80850</v>
      </c>
      <c r="S53" s="638">
        <v>83275.5</v>
      </c>
      <c r="T53" s="638">
        <v>85773.764999999999</v>
      </c>
      <c r="U53" s="638">
        <v>88346.97795</v>
      </c>
      <c r="V53" s="638">
        <v>90997.387288500002</v>
      </c>
      <c r="W53" s="638">
        <v>93727.308907155006</v>
      </c>
      <c r="X53" s="638">
        <v>96539.12817436966</v>
      </c>
      <c r="Y53" s="638">
        <v>99435.302019600756</v>
      </c>
      <c r="Z53" s="638">
        <v>102418.36108018878</v>
      </c>
      <c r="AA53" s="638">
        <v>105490.91191259446</v>
      </c>
      <c r="AB53" s="776"/>
      <c r="AC53" s="714" t="s">
        <v>643</v>
      </c>
      <c r="AD53" s="686">
        <v>40277.85</v>
      </c>
      <c r="AE53" s="635">
        <v>6416.666666666667</v>
      </c>
      <c r="AF53" s="635">
        <v>6416.666666666667</v>
      </c>
      <c r="AG53" s="635">
        <v>6416.666666666667</v>
      </c>
      <c r="AH53" s="635">
        <v>6416.666666666667</v>
      </c>
      <c r="AI53" s="635">
        <v>6416.666666666667</v>
      </c>
      <c r="AJ53" s="635">
        <v>6416.666666666667</v>
      </c>
      <c r="AK53" s="635">
        <v>6416.666666666667</v>
      </c>
      <c r="AL53" s="635">
        <v>6416.666666666667</v>
      </c>
      <c r="AM53" s="635">
        <v>6416.666666666667</v>
      </c>
      <c r="AN53" s="635">
        <v>6416.666666666667</v>
      </c>
      <c r="AO53" s="635">
        <v>6416.666666666667</v>
      </c>
      <c r="AP53" s="635">
        <v>6416.666666666667</v>
      </c>
      <c r="AQ53" s="635">
        <v>6737.5</v>
      </c>
      <c r="AR53" s="635">
        <v>6737.5</v>
      </c>
      <c r="AS53" s="635">
        <v>6737.5</v>
      </c>
      <c r="AT53" s="635">
        <v>6737.5</v>
      </c>
      <c r="AU53" s="635">
        <v>6737.5</v>
      </c>
      <c r="AV53" s="635">
        <v>6737.5</v>
      </c>
      <c r="AW53" s="635">
        <v>6737.5</v>
      </c>
      <c r="AX53" s="635">
        <v>6737.5</v>
      </c>
      <c r="AY53" s="635">
        <v>6737.5</v>
      </c>
      <c r="AZ53" s="635">
        <v>6737.5</v>
      </c>
      <c r="BA53" s="635">
        <v>6737.5</v>
      </c>
      <c r="BB53" s="635">
        <v>6737.5</v>
      </c>
      <c r="BC53" s="635">
        <v>6939.625</v>
      </c>
      <c r="BD53" s="635">
        <v>6939.625</v>
      </c>
      <c r="BE53" s="635">
        <v>6939.625</v>
      </c>
      <c r="BF53" s="635">
        <v>6939.625</v>
      </c>
      <c r="BG53" s="635">
        <v>6939.625</v>
      </c>
      <c r="BH53" s="635">
        <v>6939.625</v>
      </c>
      <c r="BI53" s="635">
        <v>6939.625</v>
      </c>
      <c r="BJ53" s="635">
        <v>6939.625</v>
      </c>
      <c r="BK53" s="635">
        <v>6939.625</v>
      </c>
      <c r="BL53" s="635">
        <v>6939.625</v>
      </c>
      <c r="BM53" s="635">
        <v>6939.625</v>
      </c>
      <c r="BN53" s="635">
        <v>6939.625</v>
      </c>
      <c r="BO53" s="635">
        <v>7147.8137500000003</v>
      </c>
      <c r="BP53" s="635">
        <v>7147.8137500000003</v>
      </c>
      <c r="BQ53" s="635">
        <v>7147.8137500000003</v>
      </c>
      <c r="BR53" s="635">
        <v>7147.8137500000003</v>
      </c>
      <c r="BS53" s="635">
        <v>7147.8137500000003</v>
      </c>
      <c r="BT53" s="635">
        <v>7147.8137500000003</v>
      </c>
      <c r="BU53" s="635">
        <v>7147.8137500000003</v>
      </c>
      <c r="BV53" s="635">
        <v>7147.8137500000003</v>
      </c>
      <c r="BW53" s="635">
        <v>7147.8137500000003</v>
      </c>
      <c r="BX53" s="635">
        <v>7147.8137500000003</v>
      </c>
      <c r="BY53" s="635">
        <v>7147.8137500000003</v>
      </c>
      <c r="BZ53" s="635">
        <v>7147.8137500000003</v>
      </c>
      <c r="CA53" s="635">
        <v>7362.2481625</v>
      </c>
      <c r="CB53" s="635">
        <v>7362.2481625</v>
      </c>
      <c r="CC53" s="635">
        <v>7362.2481625</v>
      </c>
      <c r="CD53" s="635">
        <v>7362.2481625</v>
      </c>
      <c r="CE53" s="635">
        <v>7362.2481625</v>
      </c>
      <c r="CF53" s="635">
        <v>7362.2481625</v>
      </c>
      <c r="CG53" s="635">
        <v>7362.2481625</v>
      </c>
      <c r="CH53" s="635">
        <v>7362.2481625</v>
      </c>
      <c r="CI53" s="635">
        <v>7362.2481625</v>
      </c>
      <c r="CJ53" s="635">
        <v>7362.2481625</v>
      </c>
      <c r="CK53" s="635">
        <v>7362.2481625</v>
      </c>
      <c r="CL53" s="635">
        <v>7362.2481625</v>
      </c>
      <c r="CM53" s="635">
        <v>7583.1156073749999</v>
      </c>
      <c r="CN53" s="635">
        <v>7583.1156073749999</v>
      </c>
      <c r="CO53" s="635">
        <v>7583.1156073749999</v>
      </c>
      <c r="CP53" s="635">
        <v>7583.1156073749999</v>
      </c>
      <c r="CQ53" s="635">
        <v>7583.1156073749999</v>
      </c>
      <c r="CR53" s="635">
        <v>7583.1156073749999</v>
      </c>
      <c r="CS53" s="635">
        <v>7583.1156073749999</v>
      </c>
      <c r="CT53" s="635">
        <v>7583.1156073749999</v>
      </c>
      <c r="CU53" s="635">
        <v>7583.1156073749999</v>
      </c>
      <c r="CV53" s="635">
        <v>7583.1156073749999</v>
      </c>
      <c r="CW53" s="635">
        <v>7583.1156073749999</v>
      </c>
      <c r="CX53" s="635">
        <v>7583.1156073749999</v>
      </c>
      <c r="CY53" s="635">
        <v>7810.6090755962505</v>
      </c>
      <c r="CZ53" s="635">
        <v>7810.6090755962505</v>
      </c>
      <c r="DA53" s="635">
        <v>7810.6090755962505</v>
      </c>
      <c r="DB53" s="635">
        <v>7810.6090755962505</v>
      </c>
      <c r="DC53" s="635">
        <v>7810.6090755962505</v>
      </c>
      <c r="DD53" s="635">
        <v>7810.6090755962505</v>
      </c>
      <c r="DE53" s="635">
        <v>7810.6090755962505</v>
      </c>
      <c r="DF53" s="635">
        <v>7810.6090755962505</v>
      </c>
      <c r="DG53" s="635">
        <v>7810.6090755962505</v>
      </c>
      <c r="DH53" s="635">
        <v>7810.6090755962505</v>
      </c>
      <c r="DI53" s="635">
        <v>7810.6090755962505</v>
      </c>
      <c r="DJ53" s="635">
        <v>7810.6090755962505</v>
      </c>
      <c r="DK53" s="635">
        <v>8044.927347864138</v>
      </c>
      <c r="DL53" s="635">
        <v>8044.927347864138</v>
      </c>
      <c r="DM53" s="635">
        <v>8044.927347864138</v>
      </c>
      <c r="DN53" s="635">
        <v>8044.927347864138</v>
      </c>
      <c r="DO53" s="635">
        <v>8044.927347864138</v>
      </c>
      <c r="DP53" s="635">
        <v>8044.927347864138</v>
      </c>
      <c r="DQ53" s="635">
        <v>8044.927347864138</v>
      </c>
      <c r="DR53" s="635">
        <v>8044.927347864138</v>
      </c>
      <c r="DS53" s="635">
        <v>8044.927347864138</v>
      </c>
      <c r="DT53" s="635">
        <v>8044.927347864138</v>
      </c>
      <c r="DU53" s="635">
        <v>8044.927347864138</v>
      </c>
      <c r="DV53" s="635">
        <v>8044.927347864138</v>
      </c>
      <c r="DW53" s="635">
        <v>8286.2751683000624</v>
      </c>
      <c r="DX53" s="635">
        <v>8286.2751683000624</v>
      </c>
      <c r="DY53" s="635">
        <v>8286.2751683000624</v>
      </c>
      <c r="DZ53" s="635">
        <v>8286.2751683000624</v>
      </c>
      <c r="EA53" s="635">
        <v>8286.2751683000624</v>
      </c>
      <c r="EB53" s="635">
        <v>8286.2751683000624</v>
      </c>
      <c r="EC53" s="635">
        <v>8286.2751683000624</v>
      </c>
      <c r="ED53" s="635">
        <v>8286.2751683000624</v>
      </c>
      <c r="EE53" s="635">
        <v>8286.2751683000624</v>
      </c>
      <c r="EF53" s="635">
        <v>8286.2751683000624</v>
      </c>
      <c r="EG53" s="635">
        <v>8286.2751683000624</v>
      </c>
      <c r="EH53" s="635">
        <v>8286.2751683000624</v>
      </c>
      <c r="EI53" s="635">
        <v>8534.8634233490648</v>
      </c>
      <c r="EJ53" s="635">
        <v>8534.8634233490648</v>
      </c>
      <c r="EK53" s="635">
        <v>8534.8634233490648</v>
      </c>
      <c r="EL53" s="635">
        <v>8534.8634233490648</v>
      </c>
      <c r="EM53" s="635">
        <v>8534.8634233490648</v>
      </c>
      <c r="EN53" s="635">
        <v>8534.8634233490648</v>
      </c>
      <c r="EO53" s="635">
        <v>8534.8634233490648</v>
      </c>
      <c r="EP53" s="635">
        <v>8534.8634233490648</v>
      </c>
      <c r="EQ53" s="635">
        <v>8534.8634233490648</v>
      </c>
      <c r="ER53" s="635">
        <v>8534.8634233490648</v>
      </c>
      <c r="ES53" s="635">
        <v>8534.8634233490648</v>
      </c>
      <c r="ET53" s="635">
        <v>8534.8634233490648</v>
      </c>
      <c r="EU53" s="635">
        <v>8790.9093260495374</v>
      </c>
      <c r="EV53" s="635">
        <v>8790.9093260495374</v>
      </c>
      <c r="EW53" s="635">
        <v>8790.9093260495374</v>
      </c>
      <c r="EX53" s="635">
        <v>8790.9093260495374</v>
      </c>
      <c r="EY53" s="635">
        <v>8790.9093260495374</v>
      </c>
      <c r="EZ53" s="635">
        <v>8790.9093260495374</v>
      </c>
      <c r="FA53" s="635">
        <v>8790.9093260495374</v>
      </c>
      <c r="FB53" s="635">
        <v>8790.9093260495374</v>
      </c>
      <c r="FC53" s="635">
        <v>8790.9093260495374</v>
      </c>
      <c r="FD53" s="635">
        <v>8790.9093260495374</v>
      </c>
      <c r="FE53" s="635">
        <v>8790.9093260495374</v>
      </c>
      <c r="FF53" s="635">
        <v>8790.9093260495374</v>
      </c>
    </row>
    <row r="54" spans="2:162">
      <c r="B54" s="46" t="s">
        <v>452</v>
      </c>
      <c r="C54" s="418">
        <f>'Old OSAR'!K65</f>
        <v>1.0384200813054618</v>
      </c>
      <c r="D54" s="426"/>
      <c r="E54" s="126"/>
      <c r="F54" s="126"/>
      <c r="G54" s="342"/>
      <c r="H54" s="426">
        <f>'2025 Budget'!U57</f>
        <v>-0.7028651489707991</v>
      </c>
      <c r="K54" s="342"/>
      <c r="M54" s="41" t="s">
        <v>38</v>
      </c>
      <c r="O54" s="682" t="s">
        <v>644</v>
      </c>
      <c r="P54" s="686">
        <v>193416.05</v>
      </c>
      <c r="Q54" s="635">
        <v>177100</v>
      </c>
      <c r="R54" s="638">
        <v>185955</v>
      </c>
      <c r="S54" s="638">
        <v>191533.65</v>
      </c>
      <c r="T54" s="638">
        <v>197279.65950000001</v>
      </c>
      <c r="U54" s="638">
        <v>203198.04928500002</v>
      </c>
      <c r="V54" s="638">
        <v>209293.99076355001</v>
      </c>
      <c r="W54" s="638">
        <v>215572.81048645652</v>
      </c>
      <c r="X54" s="638">
        <v>222039.99480105023</v>
      </c>
      <c r="Y54" s="638">
        <v>228701.19464508173</v>
      </c>
      <c r="Z54" s="638">
        <v>235562.2304844342</v>
      </c>
      <c r="AA54" s="638">
        <v>242629.09739896722</v>
      </c>
      <c r="AB54" s="776"/>
      <c r="AC54" s="714" t="s">
        <v>644</v>
      </c>
      <c r="AD54" s="686">
        <v>193416.05</v>
      </c>
      <c r="AE54" s="635">
        <v>14758.333333333334</v>
      </c>
      <c r="AF54" s="635">
        <v>14758.333333333334</v>
      </c>
      <c r="AG54" s="635">
        <v>14758.333333333334</v>
      </c>
      <c r="AH54" s="635">
        <v>14758.333333333334</v>
      </c>
      <c r="AI54" s="635">
        <v>14758.333333333334</v>
      </c>
      <c r="AJ54" s="635">
        <v>14758.333333333334</v>
      </c>
      <c r="AK54" s="635">
        <v>14758.333333333334</v>
      </c>
      <c r="AL54" s="635">
        <v>14758.333333333334</v>
      </c>
      <c r="AM54" s="635">
        <v>14758.333333333334</v>
      </c>
      <c r="AN54" s="635">
        <v>14758.333333333334</v>
      </c>
      <c r="AO54" s="635">
        <v>14758.333333333334</v>
      </c>
      <c r="AP54" s="635">
        <v>14758.333333333334</v>
      </c>
      <c r="AQ54" s="635">
        <v>15496.25</v>
      </c>
      <c r="AR54" s="635">
        <v>15496.25</v>
      </c>
      <c r="AS54" s="635">
        <v>15496.25</v>
      </c>
      <c r="AT54" s="635">
        <v>15496.25</v>
      </c>
      <c r="AU54" s="635">
        <v>15496.25</v>
      </c>
      <c r="AV54" s="635">
        <v>15496.25</v>
      </c>
      <c r="AW54" s="635">
        <v>15496.25</v>
      </c>
      <c r="AX54" s="635">
        <v>15496.25</v>
      </c>
      <c r="AY54" s="635">
        <v>15496.25</v>
      </c>
      <c r="AZ54" s="635">
        <v>15496.25</v>
      </c>
      <c r="BA54" s="635">
        <v>15496.25</v>
      </c>
      <c r="BB54" s="635">
        <v>15496.25</v>
      </c>
      <c r="BC54" s="635">
        <v>15961.137499999999</v>
      </c>
      <c r="BD54" s="635">
        <v>15961.137499999999</v>
      </c>
      <c r="BE54" s="635">
        <v>15961.137499999999</v>
      </c>
      <c r="BF54" s="635">
        <v>15961.137499999999</v>
      </c>
      <c r="BG54" s="635">
        <v>15961.137499999999</v>
      </c>
      <c r="BH54" s="635">
        <v>15961.137499999999</v>
      </c>
      <c r="BI54" s="635">
        <v>15961.137499999999</v>
      </c>
      <c r="BJ54" s="635">
        <v>15961.137499999999</v>
      </c>
      <c r="BK54" s="635">
        <v>15961.137499999999</v>
      </c>
      <c r="BL54" s="635">
        <v>15961.137499999999</v>
      </c>
      <c r="BM54" s="635">
        <v>15961.137499999999</v>
      </c>
      <c r="BN54" s="635">
        <v>15961.137499999999</v>
      </c>
      <c r="BO54" s="635">
        <v>16439.971625000002</v>
      </c>
      <c r="BP54" s="635">
        <v>16439.971625000002</v>
      </c>
      <c r="BQ54" s="635">
        <v>16439.971625000002</v>
      </c>
      <c r="BR54" s="635">
        <v>16439.971625000002</v>
      </c>
      <c r="BS54" s="635">
        <v>16439.971625000002</v>
      </c>
      <c r="BT54" s="635">
        <v>16439.971625000002</v>
      </c>
      <c r="BU54" s="635">
        <v>16439.971625000002</v>
      </c>
      <c r="BV54" s="635">
        <v>16439.971625000002</v>
      </c>
      <c r="BW54" s="635">
        <v>16439.971625000002</v>
      </c>
      <c r="BX54" s="635">
        <v>16439.971625000002</v>
      </c>
      <c r="BY54" s="635">
        <v>16439.971625000002</v>
      </c>
      <c r="BZ54" s="635">
        <v>16439.971625000002</v>
      </c>
      <c r="CA54" s="635">
        <v>16933.17077375</v>
      </c>
      <c r="CB54" s="635">
        <v>16933.17077375</v>
      </c>
      <c r="CC54" s="635">
        <v>16933.17077375</v>
      </c>
      <c r="CD54" s="635">
        <v>16933.17077375</v>
      </c>
      <c r="CE54" s="635">
        <v>16933.17077375</v>
      </c>
      <c r="CF54" s="635">
        <v>16933.17077375</v>
      </c>
      <c r="CG54" s="635">
        <v>16933.17077375</v>
      </c>
      <c r="CH54" s="635">
        <v>16933.17077375</v>
      </c>
      <c r="CI54" s="635">
        <v>16933.17077375</v>
      </c>
      <c r="CJ54" s="635">
        <v>16933.17077375</v>
      </c>
      <c r="CK54" s="635">
        <v>16933.17077375</v>
      </c>
      <c r="CL54" s="635">
        <v>16933.17077375</v>
      </c>
      <c r="CM54" s="635">
        <v>17441.165896962502</v>
      </c>
      <c r="CN54" s="635">
        <v>17441.165896962502</v>
      </c>
      <c r="CO54" s="635">
        <v>17441.165896962502</v>
      </c>
      <c r="CP54" s="635">
        <v>17441.165896962502</v>
      </c>
      <c r="CQ54" s="635">
        <v>17441.165896962502</v>
      </c>
      <c r="CR54" s="635">
        <v>17441.165896962502</v>
      </c>
      <c r="CS54" s="635">
        <v>17441.165896962502</v>
      </c>
      <c r="CT54" s="635">
        <v>17441.165896962502</v>
      </c>
      <c r="CU54" s="635">
        <v>17441.165896962502</v>
      </c>
      <c r="CV54" s="635">
        <v>17441.165896962502</v>
      </c>
      <c r="CW54" s="635">
        <v>17441.165896962502</v>
      </c>
      <c r="CX54" s="635">
        <v>17441.165896962502</v>
      </c>
      <c r="CY54" s="635">
        <v>17964.400873871378</v>
      </c>
      <c r="CZ54" s="635">
        <v>17964.400873871378</v>
      </c>
      <c r="DA54" s="635">
        <v>17964.400873871378</v>
      </c>
      <c r="DB54" s="635">
        <v>17964.400873871378</v>
      </c>
      <c r="DC54" s="635">
        <v>17964.400873871378</v>
      </c>
      <c r="DD54" s="635">
        <v>17964.400873871378</v>
      </c>
      <c r="DE54" s="635">
        <v>17964.400873871378</v>
      </c>
      <c r="DF54" s="635">
        <v>17964.400873871378</v>
      </c>
      <c r="DG54" s="635">
        <v>17964.400873871378</v>
      </c>
      <c r="DH54" s="635">
        <v>17964.400873871378</v>
      </c>
      <c r="DI54" s="635">
        <v>17964.400873871378</v>
      </c>
      <c r="DJ54" s="635">
        <v>17964.400873871378</v>
      </c>
      <c r="DK54" s="635">
        <v>18503.33290008752</v>
      </c>
      <c r="DL54" s="635">
        <v>18503.33290008752</v>
      </c>
      <c r="DM54" s="635">
        <v>18503.33290008752</v>
      </c>
      <c r="DN54" s="635">
        <v>18503.33290008752</v>
      </c>
      <c r="DO54" s="635">
        <v>18503.33290008752</v>
      </c>
      <c r="DP54" s="635">
        <v>18503.33290008752</v>
      </c>
      <c r="DQ54" s="635">
        <v>18503.33290008752</v>
      </c>
      <c r="DR54" s="635">
        <v>18503.33290008752</v>
      </c>
      <c r="DS54" s="635">
        <v>18503.33290008752</v>
      </c>
      <c r="DT54" s="635">
        <v>18503.33290008752</v>
      </c>
      <c r="DU54" s="635">
        <v>18503.33290008752</v>
      </c>
      <c r="DV54" s="635">
        <v>18503.33290008752</v>
      </c>
      <c r="DW54" s="635">
        <v>19058.432887090145</v>
      </c>
      <c r="DX54" s="635">
        <v>19058.432887090145</v>
      </c>
      <c r="DY54" s="635">
        <v>19058.432887090145</v>
      </c>
      <c r="DZ54" s="635">
        <v>19058.432887090145</v>
      </c>
      <c r="EA54" s="635">
        <v>19058.432887090145</v>
      </c>
      <c r="EB54" s="635">
        <v>19058.432887090145</v>
      </c>
      <c r="EC54" s="635">
        <v>19058.432887090145</v>
      </c>
      <c r="ED54" s="635">
        <v>19058.432887090145</v>
      </c>
      <c r="EE54" s="635">
        <v>19058.432887090145</v>
      </c>
      <c r="EF54" s="635">
        <v>19058.432887090145</v>
      </c>
      <c r="EG54" s="635">
        <v>19058.432887090145</v>
      </c>
      <c r="EH54" s="635">
        <v>19058.432887090145</v>
      </c>
      <c r="EI54" s="635">
        <v>19630.185873702849</v>
      </c>
      <c r="EJ54" s="635">
        <v>19630.185873702849</v>
      </c>
      <c r="EK54" s="635">
        <v>19630.185873702849</v>
      </c>
      <c r="EL54" s="635">
        <v>19630.185873702849</v>
      </c>
      <c r="EM54" s="635">
        <v>19630.185873702849</v>
      </c>
      <c r="EN54" s="635">
        <v>19630.185873702849</v>
      </c>
      <c r="EO54" s="635">
        <v>19630.185873702849</v>
      </c>
      <c r="EP54" s="635">
        <v>19630.185873702849</v>
      </c>
      <c r="EQ54" s="635">
        <v>19630.185873702849</v>
      </c>
      <c r="ER54" s="635">
        <v>19630.185873702849</v>
      </c>
      <c r="ES54" s="635">
        <v>19630.185873702849</v>
      </c>
      <c r="ET54" s="635">
        <v>19630.185873702849</v>
      </c>
      <c r="EU54" s="635">
        <v>20219.091449913936</v>
      </c>
      <c r="EV54" s="635">
        <v>20219.091449913936</v>
      </c>
      <c r="EW54" s="635">
        <v>20219.091449913936</v>
      </c>
      <c r="EX54" s="635">
        <v>20219.091449913936</v>
      </c>
      <c r="EY54" s="635">
        <v>20219.091449913936</v>
      </c>
      <c r="EZ54" s="635">
        <v>20219.091449913936</v>
      </c>
      <c r="FA54" s="635">
        <v>20219.091449913936</v>
      </c>
      <c r="FB54" s="635">
        <v>20219.091449913936</v>
      </c>
      <c r="FC54" s="635">
        <v>20219.091449913936</v>
      </c>
      <c r="FD54" s="635">
        <v>20219.091449913936</v>
      </c>
      <c r="FE54" s="635">
        <v>20219.091449913936</v>
      </c>
      <c r="FF54" s="635">
        <v>20219.091449913936</v>
      </c>
    </row>
    <row r="55" spans="2:162">
      <c r="B55" s="46"/>
      <c r="C55" s="415"/>
      <c r="D55" s="86"/>
      <c r="E55" s="126"/>
      <c r="F55" s="126"/>
      <c r="G55" s="342"/>
      <c r="H55" s="86"/>
      <c r="K55" s="342"/>
      <c r="M55" s="41" t="s">
        <v>41</v>
      </c>
      <c r="O55" s="682" t="s">
        <v>365</v>
      </c>
      <c r="P55" s="686">
        <v>265543.05999999994</v>
      </c>
      <c r="Q55" s="635">
        <v>261800</v>
      </c>
      <c r="R55" s="638">
        <v>154000</v>
      </c>
      <c r="S55" s="638">
        <v>158620</v>
      </c>
      <c r="T55" s="638">
        <v>163378.6</v>
      </c>
      <c r="U55" s="638">
        <v>168279.95800000001</v>
      </c>
      <c r="V55" s="638">
        <v>173328.35674000002</v>
      </c>
      <c r="W55" s="638">
        <v>178528.20744220002</v>
      </c>
      <c r="X55" s="638">
        <v>183884.05366546602</v>
      </c>
      <c r="Y55" s="638">
        <v>189400.57527543002</v>
      </c>
      <c r="Z55" s="638">
        <v>195082.59253369292</v>
      </c>
      <c r="AA55" s="638">
        <v>200935.0703097037</v>
      </c>
      <c r="AB55" s="776"/>
      <c r="AC55" s="714" t="s">
        <v>365</v>
      </c>
      <c r="AD55" s="686">
        <v>265543.05999999994</v>
      </c>
      <c r="AE55" s="635">
        <v>21816.666666666668</v>
      </c>
      <c r="AF55" s="635">
        <v>21816.666666666668</v>
      </c>
      <c r="AG55" s="635">
        <v>21816.666666666668</v>
      </c>
      <c r="AH55" s="635">
        <v>21816.666666666668</v>
      </c>
      <c r="AI55" s="635">
        <v>21816.666666666668</v>
      </c>
      <c r="AJ55" s="635">
        <v>21816.666666666668</v>
      </c>
      <c r="AK55" s="635">
        <v>21816.666666666668</v>
      </c>
      <c r="AL55" s="635">
        <v>21816.666666666668</v>
      </c>
      <c r="AM55" s="635">
        <v>21816.666666666668</v>
      </c>
      <c r="AN55" s="635">
        <v>21816.666666666668</v>
      </c>
      <c r="AO55" s="635">
        <v>21816.666666666668</v>
      </c>
      <c r="AP55" s="635">
        <v>21816.666666666668</v>
      </c>
      <c r="AQ55" s="635">
        <v>12833.333333333334</v>
      </c>
      <c r="AR55" s="635">
        <v>12833.333333333334</v>
      </c>
      <c r="AS55" s="635">
        <v>12833.333333333334</v>
      </c>
      <c r="AT55" s="635">
        <v>12833.333333333334</v>
      </c>
      <c r="AU55" s="635">
        <v>12833.333333333334</v>
      </c>
      <c r="AV55" s="635">
        <v>12833.333333333334</v>
      </c>
      <c r="AW55" s="635">
        <v>12833.333333333334</v>
      </c>
      <c r="AX55" s="635">
        <v>12833.333333333334</v>
      </c>
      <c r="AY55" s="635">
        <v>12833.333333333334</v>
      </c>
      <c r="AZ55" s="635">
        <v>12833.333333333334</v>
      </c>
      <c r="BA55" s="635">
        <v>12833.333333333334</v>
      </c>
      <c r="BB55" s="635">
        <v>12833.333333333334</v>
      </c>
      <c r="BC55" s="635">
        <v>13218.333333333334</v>
      </c>
      <c r="BD55" s="635">
        <v>13218.333333333334</v>
      </c>
      <c r="BE55" s="635">
        <v>13218.333333333334</v>
      </c>
      <c r="BF55" s="635">
        <v>13218.333333333334</v>
      </c>
      <c r="BG55" s="635">
        <v>13218.333333333334</v>
      </c>
      <c r="BH55" s="635">
        <v>13218.333333333334</v>
      </c>
      <c r="BI55" s="635">
        <v>13218.333333333334</v>
      </c>
      <c r="BJ55" s="635">
        <v>13218.333333333334</v>
      </c>
      <c r="BK55" s="635">
        <v>13218.333333333334</v>
      </c>
      <c r="BL55" s="635">
        <v>13218.333333333334</v>
      </c>
      <c r="BM55" s="635">
        <v>13218.333333333334</v>
      </c>
      <c r="BN55" s="635">
        <v>13218.333333333334</v>
      </c>
      <c r="BO55" s="635">
        <v>13614.883333333333</v>
      </c>
      <c r="BP55" s="635">
        <v>13614.883333333333</v>
      </c>
      <c r="BQ55" s="635">
        <v>13614.883333333333</v>
      </c>
      <c r="BR55" s="635">
        <v>13614.883333333333</v>
      </c>
      <c r="BS55" s="635">
        <v>13614.883333333333</v>
      </c>
      <c r="BT55" s="635">
        <v>13614.883333333333</v>
      </c>
      <c r="BU55" s="635">
        <v>13614.883333333333</v>
      </c>
      <c r="BV55" s="635">
        <v>13614.883333333333</v>
      </c>
      <c r="BW55" s="635">
        <v>13614.883333333333</v>
      </c>
      <c r="BX55" s="635">
        <v>13614.883333333333</v>
      </c>
      <c r="BY55" s="635">
        <v>13614.883333333333</v>
      </c>
      <c r="BZ55" s="635">
        <v>13614.883333333333</v>
      </c>
      <c r="CA55" s="635">
        <v>14023.329833333335</v>
      </c>
      <c r="CB55" s="635">
        <v>14023.329833333335</v>
      </c>
      <c r="CC55" s="635">
        <v>14023.329833333335</v>
      </c>
      <c r="CD55" s="635">
        <v>14023.329833333335</v>
      </c>
      <c r="CE55" s="635">
        <v>14023.329833333335</v>
      </c>
      <c r="CF55" s="635">
        <v>14023.329833333335</v>
      </c>
      <c r="CG55" s="635">
        <v>14023.329833333335</v>
      </c>
      <c r="CH55" s="635">
        <v>14023.329833333335</v>
      </c>
      <c r="CI55" s="635">
        <v>14023.329833333335</v>
      </c>
      <c r="CJ55" s="635">
        <v>14023.329833333335</v>
      </c>
      <c r="CK55" s="635">
        <v>14023.329833333335</v>
      </c>
      <c r="CL55" s="635">
        <v>14023.329833333335</v>
      </c>
      <c r="CM55" s="635">
        <v>14444.029728333335</v>
      </c>
      <c r="CN55" s="635">
        <v>14444.029728333335</v>
      </c>
      <c r="CO55" s="635">
        <v>14444.029728333335</v>
      </c>
      <c r="CP55" s="635">
        <v>14444.029728333335</v>
      </c>
      <c r="CQ55" s="635">
        <v>14444.029728333335</v>
      </c>
      <c r="CR55" s="635">
        <v>14444.029728333335</v>
      </c>
      <c r="CS55" s="635">
        <v>14444.029728333335</v>
      </c>
      <c r="CT55" s="635">
        <v>14444.029728333335</v>
      </c>
      <c r="CU55" s="635">
        <v>14444.029728333335</v>
      </c>
      <c r="CV55" s="635">
        <v>14444.029728333335</v>
      </c>
      <c r="CW55" s="635">
        <v>14444.029728333335</v>
      </c>
      <c r="CX55" s="635">
        <v>14444.029728333335</v>
      </c>
      <c r="CY55" s="635">
        <v>14877.350620183335</v>
      </c>
      <c r="CZ55" s="635">
        <v>14877.350620183335</v>
      </c>
      <c r="DA55" s="635">
        <v>14877.350620183335</v>
      </c>
      <c r="DB55" s="635">
        <v>14877.350620183335</v>
      </c>
      <c r="DC55" s="635">
        <v>14877.350620183335</v>
      </c>
      <c r="DD55" s="635">
        <v>14877.350620183335</v>
      </c>
      <c r="DE55" s="635">
        <v>14877.350620183335</v>
      </c>
      <c r="DF55" s="635">
        <v>14877.350620183335</v>
      </c>
      <c r="DG55" s="635">
        <v>14877.350620183335</v>
      </c>
      <c r="DH55" s="635">
        <v>14877.350620183335</v>
      </c>
      <c r="DI55" s="635">
        <v>14877.350620183335</v>
      </c>
      <c r="DJ55" s="635">
        <v>14877.350620183335</v>
      </c>
      <c r="DK55" s="635">
        <v>15323.671138788835</v>
      </c>
      <c r="DL55" s="635">
        <v>15323.671138788835</v>
      </c>
      <c r="DM55" s="635">
        <v>15323.671138788835</v>
      </c>
      <c r="DN55" s="635">
        <v>15323.671138788835</v>
      </c>
      <c r="DO55" s="635">
        <v>15323.671138788835</v>
      </c>
      <c r="DP55" s="635">
        <v>15323.671138788835</v>
      </c>
      <c r="DQ55" s="635">
        <v>15323.671138788835</v>
      </c>
      <c r="DR55" s="635">
        <v>15323.671138788835</v>
      </c>
      <c r="DS55" s="635">
        <v>15323.671138788835</v>
      </c>
      <c r="DT55" s="635">
        <v>15323.671138788835</v>
      </c>
      <c r="DU55" s="635">
        <v>15323.671138788835</v>
      </c>
      <c r="DV55" s="635">
        <v>15323.671138788835</v>
      </c>
      <c r="DW55" s="635">
        <v>15783.381272952502</v>
      </c>
      <c r="DX55" s="635">
        <v>15783.381272952502</v>
      </c>
      <c r="DY55" s="635">
        <v>15783.381272952502</v>
      </c>
      <c r="DZ55" s="635">
        <v>15783.381272952502</v>
      </c>
      <c r="EA55" s="635">
        <v>15783.381272952502</v>
      </c>
      <c r="EB55" s="635">
        <v>15783.381272952502</v>
      </c>
      <c r="EC55" s="635">
        <v>15783.381272952502</v>
      </c>
      <c r="ED55" s="635">
        <v>15783.381272952502</v>
      </c>
      <c r="EE55" s="635">
        <v>15783.381272952502</v>
      </c>
      <c r="EF55" s="635">
        <v>15783.381272952502</v>
      </c>
      <c r="EG55" s="635">
        <v>15783.381272952502</v>
      </c>
      <c r="EH55" s="635">
        <v>15783.381272952502</v>
      </c>
      <c r="EI55" s="635">
        <v>16256.882711141077</v>
      </c>
      <c r="EJ55" s="635">
        <v>16256.882711141077</v>
      </c>
      <c r="EK55" s="635">
        <v>16256.882711141077</v>
      </c>
      <c r="EL55" s="635">
        <v>16256.882711141077</v>
      </c>
      <c r="EM55" s="635">
        <v>16256.882711141077</v>
      </c>
      <c r="EN55" s="635">
        <v>16256.882711141077</v>
      </c>
      <c r="EO55" s="635">
        <v>16256.882711141077</v>
      </c>
      <c r="EP55" s="635">
        <v>16256.882711141077</v>
      </c>
      <c r="EQ55" s="635">
        <v>16256.882711141077</v>
      </c>
      <c r="ER55" s="635">
        <v>16256.882711141077</v>
      </c>
      <c r="ES55" s="635">
        <v>16256.882711141077</v>
      </c>
      <c r="ET55" s="635">
        <v>16256.882711141077</v>
      </c>
      <c r="EU55" s="635">
        <v>16744.589192475309</v>
      </c>
      <c r="EV55" s="635">
        <v>16744.589192475309</v>
      </c>
      <c r="EW55" s="635">
        <v>16744.589192475309</v>
      </c>
      <c r="EX55" s="635">
        <v>16744.589192475309</v>
      </c>
      <c r="EY55" s="635">
        <v>16744.589192475309</v>
      </c>
      <c r="EZ55" s="635">
        <v>16744.589192475309</v>
      </c>
      <c r="FA55" s="635">
        <v>16744.589192475309</v>
      </c>
      <c r="FB55" s="635">
        <v>16744.589192475309</v>
      </c>
      <c r="FC55" s="635">
        <v>16744.589192475309</v>
      </c>
      <c r="FD55" s="635">
        <v>16744.589192475309</v>
      </c>
      <c r="FE55" s="635">
        <v>16744.589192475309</v>
      </c>
      <c r="FF55" s="635">
        <v>16744.589192475309</v>
      </c>
    </row>
    <row r="56" spans="2:162">
      <c r="B56" s="46" t="s">
        <v>454</v>
      </c>
      <c r="C56" s="416" t="e">
        <f>'Old OSAR'!K69</f>
        <v>#REF!</v>
      </c>
      <c r="D56" s="420"/>
      <c r="E56" s="126"/>
      <c r="F56" s="126"/>
      <c r="G56" s="342"/>
      <c r="H56" s="420">
        <f>'2025 Budget'!U59</f>
        <v>-4.2258790880273504E-2</v>
      </c>
      <c r="K56" s="342"/>
      <c r="M56" s="37" t="s">
        <v>43</v>
      </c>
      <c r="O56" s="682" t="s">
        <v>645</v>
      </c>
      <c r="P56" s="686">
        <v>122141.05999999998</v>
      </c>
      <c r="Q56" s="635">
        <v>123200</v>
      </c>
      <c r="R56" s="638">
        <v>129360</v>
      </c>
      <c r="S56" s="638">
        <v>133240.80000000002</v>
      </c>
      <c r="T56" s="638">
        <v>137238.02400000003</v>
      </c>
      <c r="U56" s="638">
        <v>141355.16472000003</v>
      </c>
      <c r="V56" s="638">
        <v>145595.81966160002</v>
      </c>
      <c r="W56" s="638">
        <v>149963.69425144803</v>
      </c>
      <c r="X56" s="638">
        <v>154462.60507899147</v>
      </c>
      <c r="Y56" s="638">
        <v>159096.48323136123</v>
      </c>
      <c r="Z56" s="638">
        <v>163869.37772830206</v>
      </c>
      <c r="AA56" s="638">
        <v>168785.45906015113</v>
      </c>
      <c r="AB56" s="776"/>
      <c r="AC56" s="714" t="s">
        <v>645</v>
      </c>
      <c r="AD56" s="686">
        <v>122141.05999999998</v>
      </c>
      <c r="AE56" s="635">
        <v>10266.666666666666</v>
      </c>
      <c r="AF56" s="635">
        <v>10266.666666666666</v>
      </c>
      <c r="AG56" s="635">
        <v>10266.666666666666</v>
      </c>
      <c r="AH56" s="635">
        <v>10266.666666666666</v>
      </c>
      <c r="AI56" s="635">
        <v>10266.666666666666</v>
      </c>
      <c r="AJ56" s="635">
        <v>10266.666666666666</v>
      </c>
      <c r="AK56" s="635">
        <v>10266.666666666666</v>
      </c>
      <c r="AL56" s="635">
        <v>10266.666666666666</v>
      </c>
      <c r="AM56" s="635">
        <v>10266.666666666666</v>
      </c>
      <c r="AN56" s="635">
        <v>10266.666666666666</v>
      </c>
      <c r="AO56" s="635">
        <v>10266.666666666666</v>
      </c>
      <c r="AP56" s="635">
        <v>10266.666666666666</v>
      </c>
      <c r="AQ56" s="635">
        <v>10780</v>
      </c>
      <c r="AR56" s="635">
        <v>10780</v>
      </c>
      <c r="AS56" s="635">
        <v>10780</v>
      </c>
      <c r="AT56" s="635">
        <v>10780</v>
      </c>
      <c r="AU56" s="635">
        <v>10780</v>
      </c>
      <c r="AV56" s="635">
        <v>10780</v>
      </c>
      <c r="AW56" s="635">
        <v>10780</v>
      </c>
      <c r="AX56" s="635">
        <v>10780</v>
      </c>
      <c r="AY56" s="635">
        <v>10780</v>
      </c>
      <c r="AZ56" s="635">
        <v>10780</v>
      </c>
      <c r="BA56" s="635">
        <v>10780</v>
      </c>
      <c r="BB56" s="635">
        <v>10780</v>
      </c>
      <c r="BC56" s="635">
        <v>11103.400000000001</v>
      </c>
      <c r="BD56" s="635">
        <v>11103.400000000001</v>
      </c>
      <c r="BE56" s="635">
        <v>11103.400000000001</v>
      </c>
      <c r="BF56" s="635">
        <v>11103.400000000001</v>
      </c>
      <c r="BG56" s="635">
        <v>11103.400000000001</v>
      </c>
      <c r="BH56" s="635">
        <v>11103.400000000001</v>
      </c>
      <c r="BI56" s="635">
        <v>11103.400000000001</v>
      </c>
      <c r="BJ56" s="635">
        <v>11103.400000000001</v>
      </c>
      <c r="BK56" s="635">
        <v>11103.400000000001</v>
      </c>
      <c r="BL56" s="635">
        <v>11103.400000000001</v>
      </c>
      <c r="BM56" s="635">
        <v>11103.400000000001</v>
      </c>
      <c r="BN56" s="635">
        <v>11103.400000000001</v>
      </c>
      <c r="BO56" s="635">
        <v>11436.502000000002</v>
      </c>
      <c r="BP56" s="635">
        <v>11436.502000000002</v>
      </c>
      <c r="BQ56" s="635">
        <v>11436.502000000002</v>
      </c>
      <c r="BR56" s="635">
        <v>11436.502000000002</v>
      </c>
      <c r="BS56" s="635">
        <v>11436.502000000002</v>
      </c>
      <c r="BT56" s="635">
        <v>11436.502000000002</v>
      </c>
      <c r="BU56" s="635">
        <v>11436.502000000002</v>
      </c>
      <c r="BV56" s="635">
        <v>11436.502000000002</v>
      </c>
      <c r="BW56" s="635">
        <v>11436.502000000002</v>
      </c>
      <c r="BX56" s="635">
        <v>11436.502000000002</v>
      </c>
      <c r="BY56" s="635">
        <v>11436.502000000002</v>
      </c>
      <c r="BZ56" s="635">
        <v>11436.502000000002</v>
      </c>
      <c r="CA56" s="635">
        <v>11779.597060000002</v>
      </c>
      <c r="CB56" s="635">
        <v>11779.597060000002</v>
      </c>
      <c r="CC56" s="635">
        <v>11779.597060000002</v>
      </c>
      <c r="CD56" s="635">
        <v>11779.597060000002</v>
      </c>
      <c r="CE56" s="635">
        <v>11779.597060000002</v>
      </c>
      <c r="CF56" s="635">
        <v>11779.597060000002</v>
      </c>
      <c r="CG56" s="635">
        <v>11779.597060000002</v>
      </c>
      <c r="CH56" s="635">
        <v>11779.597060000002</v>
      </c>
      <c r="CI56" s="635">
        <v>11779.597060000002</v>
      </c>
      <c r="CJ56" s="635">
        <v>11779.597060000002</v>
      </c>
      <c r="CK56" s="635">
        <v>11779.597060000002</v>
      </c>
      <c r="CL56" s="635">
        <v>11779.597060000002</v>
      </c>
      <c r="CM56" s="635">
        <v>12132.984971800002</v>
      </c>
      <c r="CN56" s="635">
        <v>12132.984971800002</v>
      </c>
      <c r="CO56" s="635">
        <v>12132.984971800002</v>
      </c>
      <c r="CP56" s="635">
        <v>12132.984971800002</v>
      </c>
      <c r="CQ56" s="635">
        <v>12132.984971800002</v>
      </c>
      <c r="CR56" s="635">
        <v>12132.984971800002</v>
      </c>
      <c r="CS56" s="635">
        <v>12132.984971800002</v>
      </c>
      <c r="CT56" s="635">
        <v>12132.984971800002</v>
      </c>
      <c r="CU56" s="635">
        <v>12132.984971800002</v>
      </c>
      <c r="CV56" s="635">
        <v>12132.984971800002</v>
      </c>
      <c r="CW56" s="635">
        <v>12132.984971800002</v>
      </c>
      <c r="CX56" s="635">
        <v>12132.984971800002</v>
      </c>
      <c r="CY56" s="635">
        <v>12496.974520954003</v>
      </c>
      <c r="CZ56" s="635">
        <v>12496.974520954003</v>
      </c>
      <c r="DA56" s="635">
        <v>12496.974520954003</v>
      </c>
      <c r="DB56" s="635">
        <v>12496.974520954003</v>
      </c>
      <c r="DC56" s="635">
        <v>12496.974520954003</v>
      </c>
      <c r="DD56" s="635">
        <v>12496.974520954003</v>
      </c>
      <c r="DE56" s="635">
        <v>12496.974520954003</v>
      </c>
      <c r="DF56" s="635">
        <v>12496.974520954003</v>
      </c>
      <c r="DG56" s="635">
        <v>12496.974520954003</v>
      </c>
      <c r="DH56" s="635">
        <v>12496.974520954003</v>
      </c>
      <c r="DI56" s="635">
        <v>12496.974520954003</v>
      </c>
      <c r="DJ56" s="635">
        <v>12496.974520954003</v>
      </c>
      <c r="DK56" s="635">
        <v>12871.883756582623</v>
      </c>
      <c r="DL56" s="635">
        <v>12871.883756582623</v>
      </c>
      <c r="DM56" s="635">
        <v>12871.883756582623</v>
      </c>
      <c r="DN56" s="635">
        <v>12871.883756582623</v>
      </c>
      <c r="DO56" s="635">
        <v>12871.883756582623</v>
      </c>
      <c r="DP56" s="635">
        <v>12871.883756582623</v>
      </c>
      <c r="DQ56" s="635">
        <v>12871.883756582623</v>
      </c>
      <c r="DR56" s="635">
        <v>12871.883756582623</v>
      </c>
      <c r="DS56" s="635">
        <v>12871.883756582623</v>
      </c>
      <c r="DT56" s="635">
        <v>12871.883756582623</v>
      </c>
      <c r="DU56" s="635">
        <v>12871.883756582623</v>
      </c>
      <c r="DV56" s="635">
        <v>12871.883756582623</v>
      </c>
      <c r="DW56" s="635">
        <v>13258.040269280102</v>
      </c>
      <c r="DX56" s="635">
        <v>13258.040269280102</v>
      </c>
      <c r="DY56" s="635">
        <v>13258.040269280102</v>
      </c>
      <c r="DZ56" s="635">
        <v>13258.040269280102</v>
      </c>
      <c r="EA56" s="635">
        <v>13258.040269280102</v>
      </c>
      <c r="EB56" s="635">
        <v>13258.040269280102</v>
      </c>
      <c r="EC56" s="635">
        <v>13258.040269280102</v>
      </c>
      <c r="ED56" s="635">
        <v>13258.040269280102</v>
      </c>
      <c r="EE56" s="635">
        <v>13258.040269280102</v>
      </c>
      <c r="EF56" s="635">
        <v>13258.040269280102</v>
      </c>
      <c r="EG56" s="635">
        <v>13258.040269280102</v>
      </c>
      <c r="EH56" s="635">
        <v>13258.040269280102</v>
      </c>
      <c r="EI56" s="635">
        <v>13655.781477358505</v>
      </c>
      <c r="EJ56" s="635">
        <v>13655.781477358505</v>
      </c>
      <c r="EK56" s="635">
        <v>13655.781477358505</v>
      </c>
      <c r="EL56" s="635">
        <v>13655.781477358505</v>
      </c>
      <c r="EM56" s="635">
        <v>13655.781477358505</v>
      </c>
      <c r="EN56" s="635">
        <v>13655.781477358505</v>
      </c>
      <c r="EO56" s="635">
        <v>13655.781477358505</v>
      </c>
      <c r="EP56" s="635">
        <v>13655.781477358505</v>
      </c>
      <c r="EQ56" s="635">
        <v>13655.781477358505</v>
      </c>
      <c r="ER56" s="635">
        <v>13655.781477358505</v>
      </c>
      <c r="ES56" s="635">
        <v>13655.781477358505</v>
      </c>
      <c r="ET56" s="635">
        <v>13655.781477358505</v>
      </c>
      <c r="EU56" s="635">
        <v>14065.45492167926</v>
      </c>
      <c r="EV56" s="635">
        <v>14065.45492167926</v>
      </c>
      <c r="EW56" s="635">
        <v>14065.45492167926</v>
      </c>
      <c r="EX56" s="635">
        <v>14065.45492167926</v>
      </c>
      <c r="EY56" s="635">
        <v>14065.45492167926</v>
      </c>
      <c r="EZ56" s="635">
        <v>14065.45492167926</v>
      </c>
      <c r="FA56" s="635">
        <v>14065.45492167926</v>
      </c>
      <c r="FB56" s="635">
        <v>14065.45492167926</v>
      </c>
      <c r="FC56" s="635">
        <v>14065.45492167926</v>
      </c>
      <c r="FD56" s="635">
        <v>14065.45492167926</v>
      </c>
      <c r="FE56" s="635">
        <v>14065.45492167926</v>
      </c>
      <c r="FF56" s="635">
        <v>14065.45492167926</v>
      </c>
    </row>
    <row r="57" spans="2:162">
      <c r="D57" s="126"/>
      <c r="E57" s="126"/>
      <c r="F57" s="126"/>
      <c r="M57" s="41" t="s">
        <v>38</v>
      </c>
      <c r="O57" s="682" t="s">
        <v>646</v>
      </c>
      <c r="P57" s="686">
        <v>0</v>
      </c>
      <c r="Q57" s="635">
        <v>0</v>
      </c>
      <c r="R57" s="638">
        <v>0</v>
      </c>
      <c r="S57" s="638">
        <v>0</v>
      </c>
      <c r="T57" s="638">
        <v>0</v>
      </c>
      <c r="U57" s="638">
        <v>0</v>
      </c>
      <c r="V57" s="638">
        <v>0</v>
      </c>
      <c r="W57" s="638">
        <v>0</v>
      </c>
      <c r="X57" s="638">
        <v>0</v>
      </c>
      <c r="Y57" s="638">
        <v>0</v>
      </c>
      <c r="Z57" s="638">
        <v>0</v>
      </c>
      <c r="AA57" s="638">
        <v>0</v>
      </c>
      <c r="AB57" s="776"/>
      <c r="AC57" s="714" t="s">
        <v>646</v>
      </c>
      <c r="AD57" s="686">
        <v>0</v>
      </c>
      <c r="AE57" s="635">
        <v>0</v>
      </c>
      <c r="AF57" s="635">
        <v>0</v>
      </c>
      <c r="AG57" s="635">
        <v>0</v>
      </c>
      <c r="AH57" s="635">
        <v>0</v>
      </c>
      <c r="AI57" s="635">
        <v>0</v>
      </c>
      <c r="AJ57" s="635">
        <v>0</v>
      </c>
      <c r="AK57" s="635">
        <v>0</v>
      </c>
      <c r="AL57" s="635">
        <v>0</v>
      </c>
      <c r="AM57" s="635">
        <v>0</v>
      </c>
      <c r="AN57" s="635">
        <v>0</v>
      </c>
      <c r="AO57" s="635">
        <v>0</v>
      </c>
      <c r="AP57" s="635">
        <v>0</v>
      </c>
      <c r="AQ57" s="635">
        <v>0</v>
      </c>
      <c r="AR57" s="635">
        <v>0</v>
      </c>
      <c r="AS57" s="635">
        <v>0</v>
      </c>
      <c r="AT57" s="635">
        <v>0</v>
      </c>
      <c r="AU57" s="635">
        <v>0</v>
      </c>
      <c r="AV57" s="635">
        <v>0</v>
      </c>
      <c r="AW57" s="635">
        <v>0</v>
      </c>
      <c r="AX57" s="635">
        <v>0</v>
      </c>
      <c r="AY57" s="635">
        <v>0</v>
      </c>
      <c r="AZ57" s="635">
        <v>0</v>
      </c>
      <c r="BA57" s="635">
        <v>0</v>
      </c>
      <c r="BB57" s="635">
        <v>0</v>
      </c>
      <c r="BC57" s="635">
        <v>0</v>
      </c>
      <c r="BD57" s="635">
        <v>0</v>
      </c>
      <c r="BE57" s="635">
        <v>0</v>
      </c>
      <c r="BF57" s="635">
        <v>0</v>
      </c>
      <c r="BG57" s="635">
        <v>0</v>
      </c>
      <c r="BH57" s="635">
        <v>0</v>
      </c>
      <c r="BI57" s="635">
        <v>0</v>
      </c>
      <c r="BJ57" s="635">
        <v>0</v>
      </c>
      <c r="BK57" s="635">
        <v>0</v>
      </c>
      <c r="BL57" s="635">
        <v>0</v>
      </c>
      <c r="BM57" s="635">
        <v>0</v>
      </c>
      <c r="BN57" s="635">
        <v>0</v>
      </c>
      <c r="BO57" s="635">
        <v>0</v>
      </c>
      <c r="BP57" s="635">
        <v>0</v>
      </c>
      <c r="BQ57" s="635">
        <v>0</v>
      </c>
      <c r="BR57" s="635">
        <v>0</v>
      </c>
      <c r="BS57" s="635">
        <v>0</v>
      </c>
      <c r="BT57" s="635">
        <v>0</v>
      </c>
      <c r="BU57" s="635">
        <v>0</v>
      </c>
      <c r="BV57" s="635">
        <v>0</v>
      </c>
      <c r="BW57" s="635">
        <v>0</v>
      </c>
      <c r="BX57" s="635">
        <v>0</v>
      </c>
      <c r="BY57" s="635">
        <v>0</v>
      </c>
      <c r="BZ57" s="635">
        <v>0</v>
      </c>
      <c r="CA57" s="635">
        <v>0</v>
      </c>
      <c r="CB57" s="635">
        <v>0</v>
      </c>
      <c r="CC57" s="635">
        <v>0</v>
      </c>
      <c r="CD57" s="635">
        <v>0</v>
      </c>
      <c r="CE57" s="635">
        <v>0</v>
      </c>
      <c r="CF57" s="635">
        <v>0</v>
      </c>
      <c r="CG57" s="635">
        <v>0</v>
      </c>
      <c r="CH57" s="635">
        <v>0</v>
      </c>
      <c r="CI57" s="635">
        <v>0</v>
      </c>
      <c r="CJ57" s="635">
        <v>0</v>
      </c>
      <c r="CK57" s="635">
        <v>0</v>
      </c>
      <c r="CL57" s="635">
        <v>0</v>
      </c>
      <c r="CM57" s="635">
        <v>0</v>
      </c>
      <c r="CN57" s="635">
        <v>0</v>
      </c>
      <c r="CO57" s="635">
        <v>0</v>
      </c>
      <c r="CP57" s="635">
        <v>0</v>
      </c>
      <c r="CQ57" s="635">
        <v>0</v>
      </c>
      <c r="CR57" s="635">
        <v>0</v>
      </c>
      <c r="CS57" s="635">
        <v>0</v>
      </c>
      <c r="CT57" s="635">
        <v>0</v>
      </c>
      <c r="CU57" s="635">
        <v>0</v>
      </c>
      <c r="CV57" s="635">
        <v>0</v>
      </c>
      <c r="CW57" s="635">
        <v>0</v>
      </c>
      <c r="CX57" s="635">
        <v>0</v>
      </c>
      <c r="CY57" s="635">
        <v>0</v>
      </c>
      <c r="CZ57" s="635">
        <v>0</v>
      </c>
      <c r="DA57" s="635">
        <v>0</v>
      </c>
      <c r="DB57" s="635">
        <v>0</v>
      </c>
      <c r="DC57" s="635">
        <v>0</v>
      </c>
      <c r="DD57" s="635">
        <v>0</v>
      </c>
      <c r="DE57" s="635">
        <v>0</v>
      </c>
      <c r="DF57" s="635">
        <v>0</v>
      </c>
      <c r="DG57" s="635">
        <v>0</v>
      </c>
      <c r="DH57" s="635">
        <v>0</v>
      </c>
      <c r="DI57" s="635">
        <v>0</v>
      </c>
      <c r="DJ57" s="635">
        <v>0</v>
      </c>
      <c r="DK57" s="635">
        <v>0</v>
      </c>
      <c r="DL57" s="635">
        <v>0</v>
      </c>
      <c r="DM57" s="635">
        <v>0</v>
      </c>
      <c r="DN57" s="635">
        <v>0</v>
      </c>
      <c r="DO57" s="635">
        <v>0</v>
      </c>
      <c r="DP57" s="635">
        <v>0</v>
      </c>
      <c r="DQ57" s="635">
        <v>0</v>
      </c>
      <c r="DR57" s="635">
        <v>0</v>
      </c>
      <c r="DS57" s="635">
        <v>0</v>
      </c>
      <c r="DT57" s="635">
        <v>0</v>
      </c>
      <c r="DU57" s="635">
        <v>0</v>
      </c>
      <c r="DV57" s="635">
        <v>0</v>
      </c>
      <c r="DW57" s="635">
        <v>0</v>
      </c>
      <c r="DX57" s="635">
        <v>0</v>
      </c>
      <c r="DY57" s="635">
        <v>0</v>
      </c>
      <c r="DZ57" s="635">
        <v>0</v>
      </c>
      <c r="EA57" s="635">
        <v>0</v>
      </c>
      <c r="EB57" s="635">
        <v>0</v>
      </c>
      <c r="EC57" s="635">
        <v>0</v>
      </c>
      <c r="ED57" s="635">
        <v>0</v>
      </c>
      <c r="EE57" s="635">
        <v>0</v>
      </c>
      <c r="EF57" s="635">
        <v>0</v>
      </c>
      <c r="EG57" s="635">
        <v>0</v>
      </c>
      <c r="EH57" s="635">
        <v>0</v>
      </c>
      <c r="EI57" s="635">
        <v>0</v>
      </c>
      <c r="EJ57" s="635">
        <v>0</v>
      </c>
      <c r="EK57" s="635">
        <v>0</v>
      </c>
      <c r="EL57" s="635">
        <v>0</v>
      </c>
      <c r="EM57" s="635">
        <v>0</v>
      </c>
      <c r="EN57" s="635">
        <v>0</v>
      </c>
      <c r="EO57" s="635">
        <v>0</v>
      </c>
      <c r="EP57" s="635">
        <v>0</v>
      </c>
      <c r="EQ57" s="635">
        <v>0</v>
      </c>
      <c r="ER57" s="635">
        <v>0</v>
      </c>
      <c r="ES57" s="635">
        <v>0</v>
      </c>
      <c r="ET57" s="635">
        <v>0</v>
      </c>
      <c r="EU57" s="635">
        <v>0</v>
      </c>
      <c r="EV57" s="635">
        <v>0</v>
      </c>
      <c r="EW57" s="635">
        <v>0</v>
      </c>
      <c r="EX57" s="635">
        <v>0</v>
      </c>
      <c r="EY57" s="635">
        <v>0</v>
      </c>
      <c r="EZ57" s="635">
        <v>0</v>
      </c>
      <c r="FA57" s="635">
        <v>0</v>
      </c>
      <c r="FB57" s="635">
        <v>0</v>
      </c>
      <c r="FC57" s="635">
        <v>0</v>
      </c>
      <c r="FD57" s="635">
        <v>0</v>
      </c>
      <c r="FE57" s="635">
        <v>0</v>
      </c>
      <c r="FF57" s="635">
        <v>0</v>
      </c>
    </row>
    <row r="58" spans="2:162">
      <c r="D58" s="126"/>
      <c r="E58" s="126"/>
      <c r="F58" s="126"/>
      <c r="M58" s="37" t="s">
        <v>44</v>
      </c>
      <c r="O58" s="682" t="s">
        <v>647</v>
      </c>
      <c r="P58" s="686">
        <v>59939.109999999986</v>
      </c>
      <c r="Q58" s="635">
        <v>0</v>
      </c>
      <c r="R58" s="638">
        <v>0</v>
      </c>
      <c r="S58" s="638">
        <v>0</v>
      </c>
      <c r="T58" s="638">
        <v>0</v>
      </c>
      <c r="U58" s="638">
        <v>0</v>
      </c>
      <c r="V58" s="638">
        <v>0</v>
      </c>
      <c r="W58" s="638">
        <v>0</v>
      </c>
      <c r="X58" s="638">
        <v>0</v>
      </c>
      <c r="Y58" s="638">
        <v>0</v>
      </c>
      <c r="Z58" s="638">
        <v>0</v>
      </c>
      <c r="AA58" s="638">
        <v>0</v>
      </c>
      <c r="AB58" s="776"/>
      <c r="AC58" s="714" t="s">
        <v>647</v>
      </c>
      <c r="AD58" s="686">
        <v>59939.109999999986</v>
      </c>
      <c r="AE58" s="635">
        <v>0</v>
      </c>
      <c r="AF58" s="635">
        <v>0</v>
      </c>
      <c r="AG58" s="635">
        <v>0</v>
      </c>
      <c r="AH58" s="635">
        <v>0</v>
      </c>
      <c r="AI58" s="635">
        <v>0</v>
      </c>
      <c r="AJ58" s="635">
        <v>0</v>
      </c>
      <c r="AK58" s="635">
        <v>0</v>
      </c>
      <c r="AL58" s="635">
        <v>0</v>
      </c>
      <c r="AM58" s="635">
        <v>0</v>
      </c>
      <c r="AN58" s="635">
        <v>0</v>
      </c>
      <c r="AO58" s="635">
        <v>0</v>
      </c>
      <c r="AP58" s="635">
        <v>0</v>
      </c>
      <c r="AQ58" s="635">
        <v>0</v>
      </c>
      <c r="AR58" s="635">
        <v>0</v>
      </c>
      <c r="AS58" s="635">
        <v>0</v>
      </c>
      <c r="AT58" s="635">
        <v>0</v>
      </c>
      <c r="AU58" s="635">
        <v>0</v>
      </c>
      <c r="AV58" s="635">
        <v>0</v>
      </c>
      <c r="AW58" s="635">
        <v>0</v>
      </c>
      <c r="AX58" s="635">
        <v>0</v>
      </c>
      <c r="AY58" s="635">
        <v>0</v>
      </c>
      <c r="AZ58" s="635">
        <v>0</v>
      </c>
      <c r="BA58" s="635">
        <v>0</v>
      </c>
      <c r="BB58" s="635">
        <v>0</v>
      </c>
      <c r="BC58" s="635">
        <v>0</v>
      </c>
      <c r="BD58" s="635">
        <v>0</v>
      </c>
      <c r="BE58" s="635">
        <v>0</v>
      </c>
      <c r="BF58" s="635">
        <v>0</v>
      </c>
      <c r="BG58" s="635">
        <v>0</v>
      </c>
      <c r="BH58" s="635">
        <v>0</v>
      </c>
      <c r="BI58" s="635">
        <v>0</v>
      </c>
      <c r="BJ58" s="635">
        <v>0</v>
      </c>
      <c r="BK58" s="635">
        <v>0</v>
      </c>
      <c r="BL58" s="635">
        <v>0</v>
      </c>
      <c r="BM58" s="635">
        <v>0</v>
      </c>
      <c r="BN58" s="635">
        <v>0</v>
      </c>
      <c r="BO58" s="635">
        <v>0</v>
      </c>
      <c r="BP58" s="635">
        <v>0</v>
      </c>
      <c r="BQ58" s="635">
        <v>0</v>
      </c>
      <c r="BR58" s="635">
        <v>0</v>
      </c>
      <c r="BS58" s="635">
        <v>0</v>
      </c>
      <c r="BT58" s="635">
        <v>0</v>
      </c>
      <c r="BU58" s="635">
        <v>0</v>
      </c>
      <c r="BV58" s="635">
        <v>0</v>
      </c>
      <c r="BW58" s="635">
        <v>0</v>
      </c>
      <c r="BX58" s="635">
        <v>0</v>
      </c>
      <c r="BY58" s="635">
        <v>0</v>
      </c>
      <c r="BZ58" s="635">
        <v>0</v>
      </c>
      <c r="CA58" s="635">
        <v>0</v>
      </c>
      <c r="CB58" s="635">
        <v>0</v>
      </c>
      <c r="CC58" s="635">
        <v>0</v>
      </c>
      <c r="CD58" s="635">
        <v>0</v>
      </c>
      <c r="CE58" s="635">
        <v>0</v>
      </c>
      <c r="CF58" s="635">
        <v>0</v>
      </c>
      <c r="CG58" s="635">
        <v>0</v>
      </c>
      <c r="CH58" s="635">
        <v>0</v>
      </c>
      <c r="CI58" s="635">
        <v>0</v>
      </c>
      <c r="CJ58" s="635">
        <v>0</v>
      </c>
      <c r="CK58" s="635">
        <v>0</v>
      </c>
      <c r="CL58" s="635">
        <v>0</v>
      </c>
      <c r="CM58" s="635">
        <v>0</v>
      </c>
      <c r="CN58" s="635">
        <v>0</v>
      </c>
      <c r="CO58" s="635">
        <v>0</v>
      </c>
      <c r="CP58" s="635">
        <v>0</v>
      </c>
      <c r="CQ58" s="635">
        <v>0</v>
      </c>
      <c r="CR58" s="635">
        <v>0</v>
      </c>
      <c r="CS58" s="635">
        <v>0</v>
      </c>
      <c r="CT58" s="635">
        <v>0</v>
      </c>
      <c r="CU58" s="635">
        <v>0</v>
      </c>
      <c r="CV58" s="635">
        <v>0</v>
      </c>
      <c r="CW58" s="635">
        <v>0</v>
      </c>
      <c r="CX58" s="635">
        <v>0</v>
      </c>
      <c r="CY58" s="635">
        <v>0</v>
      </c>
      <c r="CZ58" s="635">
        <v>0</v>
      </c>
      <c r="DA58" s="635">
        <v>0</v>
      </c>
      <c r="DB58" s="635">
        <v>0</v>
      </c>
      <c r="DC58" s="635">
        <v>0</v>
      </c>
      <c r="DD58" s="635">
        <v>0</v>
      </c>
      <c r="DE58" s="635">
        <v>0</v>
      </c>
      <c r="DF58" s="635">
        <v>0</v>
      </c>
      <c r="DG58" s="635">
        <v>0</v>
      </c>
      <c r="DH58" s="635">
        <v>0</v>
      </c>
      <c r="DI58" s="635">
        <v>0</v>
      </c>
      <c r="DJ58" s="635">
        <v>0</v>
      </c>
      <c r="DK58" s="635">
        <v>0</v>
      </c>
      <c r="DL58" s="635">
        <v>0</v>
      </c>
      <c r="DM58" s="635">
        <v>0</v>
      </c>
      <c r="DN58" s="635">
        <v>0</v>
      </c>
      <c r="DO58" s="635">
        <v>0</v>
      </c>
      <c r="DP58" s="635">
        <v>0</v>
      </c>
      <c r="DQ58" s="635">
        <v>0</v>
      </c>
      <c r="DR58" s="635">
        <v>0</v>
      </c>
      <c r="DS58" s="635">
        <v>0</v>
      </c>
      <c r="DT58" s="635">
        <v>0</v>
      </c>
      <c r="DU58" s="635">
        <v>0</v>
      </c>
      <c r="DV58" s="635">
        <v>0</v>
      </c>
      <c r="DW58" s="635">
        <v>0</v>
      </c>
      <c r="DX58" s="635">
        <v>0</v>
      </c>
      <c r="DY58" s="635">
        <v>0</v>
      </c>
      <c r="DZ58" s="635">
        <v>0</v>
      </c>
      <c r="EA58" s="635">
        <v>0</v>
      </c>
      <c r="EB58" s="635">
        <v>0</v>
      </c>
      <c r="EC58" s="635">
        <v>0</v>
      </c>
      <c r="ED58" s="635">
        <v>0</v>
      </c>
      <c r="EE58" s="635">
        <v>0</v>
      </c>
      <c r="EF58" s="635">
        <v>0</v>
      </c>
      <c r="EG58" s="635">
        <v>0</v>
      </c>
      <c r="EH58" s="635">
        <v>0</v>
      </c>
      <c r="EI58" s="635">
        <v>0</v>
      </c>
      <c r="EJ58" s="635">
        <v>0</v>
      </c>
      <c r="EK58" s="635">
        <v>0</v>
      </c>
      <c r="EL58" s="635">
        <v>0</v>
      </c>
      <c r="EM58" s="635">
        <v>0</v>
      </c>
      <c r="EN58" s="635">
        <v>0</v>
      </c>
      <c r="EO58" s="635">
        <v>0</v>
      </c>
      <c r="EP58" s="635">
        <v>0</v>
      </c>
      <c r="EQ58" s="635">
        <v>0</v>
      </c>
      <c r="ER58" s="635">
        <v>0</v>
      </c>
      <c r="ES58" s="635">
        <v>0</v>
      </c>
      <c r="ET58" s="635">
        <v>0</v>
      </c>
      <c r="EU58" s="635">
        <v>0</v>
      </c>
      <c r="EV58" s="635">
        <v>0</v>
      </c>
      <c r="EW58" s="635">
        <v>0</v>
      </c>
      <c r="EX58" s="635">
        <v>0</v>
      </c>
      <c r="EY58" s="635">
        <v>0</v>
      </c>
      <c r="EZ58" s="635">
        <v>0</v>
      </c>
      <c r="FA58" s="635">
        <v>0</v>
      </c>
      <c r="FB58" s="635">
        <v>0</v>
      </c>
      <c r="FC58" s="635">
        <v>0</v>
      </c>
      <c r="FD58" s="635">
        <v>0</v>
      </c>
      <c r="FE58" s="635">
        <v>0</v>
      </c>
      <c r="FF58" s="635">
        <v>0</v>
      </c>
    </row>
    <row r="59" spans="2:162">
      <c r="D59" s="126"/>
      <c r="E59" s="126"/>
      <c r="F59" s="126"/>
      <c r="M59" s="55" t="s">
        <v>49</v>
      </c>
      <c r="O59" s="682" t="s">
        <v>179</v>
      </c>
      <c r="P59" s="686">
        <v>61600</v>
      </c>
      <c r="Q59" s="635">
        <v>61600</v>
      </c>
      <c r="R59" s="638">
        <v>61600</v>
      </c>
      <c r="S59" s="638">
        <v>61600</v>
      </c>
      <c r="T59" s="638">
        <v>61600</v>
      </c>
      <c r="U59" s="638">
        <v>61600</v>
      </c>
      <c r="V59" s="638">
        <v>61600</v>
      </c>
      <c r="W59" s="638">
        <v>61600</v>
      </c>
      <c r="X59" s="638">
        <v>61600</v>
      </c>
      <c r="Y59" s="638">
        <v>61600</v>
      </c>
      <c r="Z59" s="638">
        <v>61600</v>
      </c>
      <c r="AA59" s="638">
        <v>61600</v>
      </c>
      <c r="AB59" s="776"/>
      <c r="AC59" s="714" t="s">
        <v>179</v>
      </c>
      <c r="AD59" s="686">
        <v>61600</v>
      </c>
      <c r="AE59" s="635">
        <v>5133.333333333333</v>
      </c>
      <c r="AF59" s="635">
        <v>5133.333333333333</v>
      </c>
      <c r="AG59" s="635">
        <v>5133.333333333333</v>
      </c>
      <c r="AH59" s="635">
        <v>5133.333333333333</v>
      </c>
      <c r="AI59" s="635">
        <v>5133.333333333333</v>
      </c>
      <c r="AJ59" s="635">
        <v>5133.333333333333</v>
      </c>
      <c r="AK59" s="635">
        <v>5133.333333333333</v>
      </c>
      <c r="AL59" s="635">
        <v>5133.333333333333</v>
      </c>
      <c r="AM59" s="635">
        <v>5133.333333333333</v>
      </c>
      <c r="AN59" s="635">
        <v>5133.333333333333</v>
      </c>
      <c r="AO59" s="635">
        <v>5133.333333333333</v>
      </c>
      <c r="AP59" s="635">
        <v>5133.333333333333</v>
      </c>
      <c r="AQ59" s="635">
        <v>5133.333333333333</v>
      </c>
      <c r="AR59" s="635">
        <v>5133.333333333333</v>
      </c>
      <c r="AS59" s="635">
        <v>5133.333333333333</v>
      </c>
      <c r="AT59" s="635">
        <v>5133.333333333333</v>
      </c>
      <c r="AU59" s="635">
        <v>5133.333333333333</v>
      </c>
      <c r="AV59" s="635">
        <v>5133.333333333333</v>
      </c>
      <c r="AW59" s="635">
        <v>5133.333333333333</v>
      </c>
      <c r="AX59" s="635">
        <v>5133.333333333333</v>
      </c>
      <c r="AY59" s="635">
        <v>5133.333333333333</v>
      </c>
      <c r="AZ59" s="635">
        <v>5133.333333333333</v>
      </c>
      <c r="BA59" s="635">
        <v>5133.333333333333</v>
      </c>
      <c r="BB59" s="635">
        <v>5133.333333333333</v>
      </c>
      <c r="BC59" s="635">
        <v>5133.333333333333</v>
      </c>
      <c r="BD59" s="635">
        <v>5133.333333333333</v>
      </c>
      <c r="BE59" s="635">
        <v>5133.333333333333</v>
      </c>
      <c r="BF59" s="635">
        <v>5133.333333333333</v>
      </c>
      <c r="BG59" s="635">
        <v>5133.333333333333</v>
      </c>
      <c r="BH59" s="635">
        <v>5133.333333333333</v>
      </c>
      <c r="BI59" s="635">
        <v>5133.333333333333</v>
      </c>
      <c r="BJ59" s="635">
        <v>5133.333333333333</v>
      </c>
      <c r="BK59" s="635">
        <v>5133.333333333333</v>
      </c>
      <c r="BL59" s="635">
        <v>5133.333333333333</v>
      </c>
      <c r="BM59" s="635">
        <v>5133.333333333333</v>
      </c>
      <c r="BN59" s="635">
        <v>5133.333333333333</v>
      </c>
      <c r="BO59" s="635">
        <v>5133.333333333333</v>
      </c>
      <c r="BP59" s="635">
        <v>5133.333333333333</v>
      </c>
      <c r="BQ59" s="635">
        <v>5133.333333333333</v>
      </c>
      <c r="BR59" s="635">
        <v>5133.333333333333</v>
      </c>
      <c r="BS59" s="635">
        <v>5133.333333333333</v>
      </c>
      <c r="BT59" s="635">
        <v>5133.333333333333</v>
      </c>
      <c r="BU59" s="635">
        <v>5133.333333333333</v>
      </c>
      <c r="BV59" s="635">
        <v>5133.333333333333</v>
      </c>
      <c r="BW59" s="635">
        <v>5133.333333333333</v>
      </c>
      <c r="BX59" s="635">
        <v>5133.333333333333</v>
      </c>
      <c r="BY59" s="635">
        <v>5133.333333333333</v>
      </c>
      <c r="BZ59" s="635">
        <v>5133.333333333333</v>
      </c>
      <c r="CA59" s="635">
        <v>5133.333333333333</v>
      </c>
      <c r="CB59" s="635">
        <v>5133.333333333333</v>
      </c>
      <c r="CC59" s="635">
        <v>5133.333333333333</v>
      </c>
      <c r="CD59" s="635">
        <v>5133.333333333333</v>
      </c>
      <c r="CE59" s="635">
        <v>5133.333333333333</v>
      </c>
      <c r="CF59" s="635">
        <v>5133.333333333333</v>
      </c>
      <c r="CG59" s="635">
        <v>5133.333333333333</v>
      </c>
      <c r="CH59" s="635">
        <v>5133.333333333333</v>
      </c>
      <c r="CI59" s="635">
        <v>5133.333333333333</v>
      </c>
      <c r="CJ59" s="635">
        <v>5133.333333333333</v>
      </c>
      <c r="CK59" s="635">
        <v>5133.333333333333</v>
      </c>
      <c r="CL59" s="635">
        <v>5133.333333333333</v>
      </c>
      <c r="CM59" s="635">
        <v>5133.333333333333</v>
      </c>
      <c r="CN59" s="635">
        <v>5133.333333333333</v>
      </c>
      <c r="CO59" s="635">
        <v>5133.333333333333</v>
      </c>
      <c r="CP59" s="635">
        <v>5133.333333333333</v>
      </c>
      <c r="CQ59" s="635">
        <v>5133.333333333333</v>
      </c>
      <c r="CR59" s="635">
        <v>5133.333333333333</v>
      </c>
      <c r="CS59" s="635">
        <v>5133.333333333333</v>
      </c>
      <c r="CT59" s="635">
        <v>5133.333333333333</v>
      </c>
      <c r="CU59" s="635">
        <v>5133.333333333333</v>
      </c>
      <c r="CV59" s="635">
        <v>5133.333333333333</v>
      </c>
      <c r="CW59" s="635">
        <v>5133.333333333333</v>
      </c>
      <c r="CX59" s="635">
        <v>5133.333333333333</v>
      </c>
      <c r="CY59" s="635">
        <v>5133.333333333333</v>
      </c>
      <c r="CZ59" s="635">
        <v>5133.333333333333</v>
      </c>
      <c r="DA59" s="635">
        <v>5133.333333333333</v>
      </c>
      <c r="DB59" s="635">
        <v>5133.333333333333</v>
      </c>
      <c r="DC59" s="635">
        <v>5133.333333333333</v>
      </c>
      <c r="DD59" s="635">
        <v>5133.333333333333</v>
      </c>
      <c r="DE59" s="635">
        <v>5133.333333333333</v>
      </c>
      <c r="DF59" s="635">
        <v>5133.333333333333</v>
      </c>
      <c r="DG59" s="635">
        <v>5133.333333333333</v>
      </c>
      <c r="DH59" s="635">
        <v>5133.333333333333</v>
      </c>
      <c r="DI59" s="635">
        <v>5133.333333333333</v>
      </c>
      <c r="DJ59" s="635">
        <v>5133.333333333333</v>
      </c>
      <c r="DK59" s="635">
        <v>5133.333333333333</v>
      </c>
      <c r="DL59" s="635">
        <v>5133.333333333333</v>
      </c>
      <c r="DM59" s="635">
        <v>5133.333333333333</v>
      </c>
      <c r="DN59" s="635">
        <v>5133.333333333333</v>
      </c>
      <c r="DO59" s="635">
        <v>5133.333333333333</v>
      </c>
      <c r="DP59" s="635">
        <v>5133.333333333333</v>
      </c>
      <c r="DQ59" s="635">
        <v>5133.333333333333</v>
      </c>
      <c r="DR59" s="635">
        <v>5133.333333333333</v>
      </c>
      <c r="DS59" s="635">
        <v>5133.333333333333</v>
      </c>
      <c r="DT59" s="635">
        <v>5133.333333333333</v>
      </c>
      <c r="DU59" s="635">
        <v>5133.333333333333</v>
      </c>
      <c r="DV59" s="635">
        <v>5133.333333333333</v>
      </c>
      <c r="DW59" s="635">
        <v>5133.333333333333</v>
      </c>
      <c r="DX59" s="635">
        <v>5133.333333333333</v>
      </c>
      <c r="DY59" s="635">
        <v>5133.333333333333</v>
      </c>
      <c r="DZ59" s="635">
        <v>5133.333333333333</v>
      </c>
      <c r="EA59" s="635">
        <v>5133.333333333333</v>
      </c>
      <c r="EB59" s="635">
        <v>5133.333333333333</v>
      </c>
      <c r="EC59" s="635">
        <v>5133.333333333333</v>
      </c>
      <c r="ED59" s="635">
        <v>5133.333333333333</v>
      </c>
      <c r="EE59" s="635">
        <v>5133.333333333333</v>
      </c>
      <c r="EF59" s="635">
        <v>5133.333333333333</v>
      </c>
      <c r="EG59" s="635">
        <v>5133.333333333333</v>
      </c>
      <c r="EH59" s="635">
        <v>5133.333333333333</v>
      </c>
      <c r="EI59" s="635">
        <v>5133.333333333333</v>
      </c>
      <c r="EJ59" s="635">
        <v>5133.333333333333</v>
      </c>
      <c r="EK59" s="635">
        <v>5133.333333333333</v>
      </c>
      <c r="EL59" s="635">
        <v>5133.333333333333</v>
      </c>
      <c r="EM59" s="635">
        <v>5133.333333333333</v>
      </c>
      <c r="EN59" s="635">
        <v>5133.333333333333</v>
      </c>
      <c r="EO59" s="635">
        <v>5133.333333333333</v>
      </c>
      <c r="EP59" s="635">
        <v>5133.333333333333</v>
      </c>
      <c r="EQ59" s="635">
        <v>5133.333333333333</v>
      </c>
      <c r="ER59" s="635">
        <v>5133.333333333333</v>
      </c>
      <c r="ES59" s="635">
        <v>5133.333333333333</v>
      </c>
      <c r="ET59" s="635">
        <v>5133.333333333333</v>
      </c>
      <c r="EU59" s="635">
        <v>5133.333333333333</v>
      </c>
      <c r="EV59" s="635">
        <v>5133.333333333333</v>
      </c>
      <c r="EW59" s="635">
        <v>5133.333333333333</v>
      </c>
      <c r="EX59" s="635">
        <v>5133.333333333333</v>
      </c>
      <c r="EY59" s="635">
        <v>5133.333333333333</v>
      </c>
      <c r="EZ59" s="635">
        <v>5133.333333333333</v>
      </c>
      <c r="FA59" s="635">
        <v>5133.333333333333</v>
      </c>
      <c r="FB59" s="635">
        <v>5133.333333333333</v>
      </c>
      <c r="FC59" s="635">
        <v>5133.333333333333</v>
      </c>
      <c r="FD59" s="635">
        <v>5133.333333333333</v>
      </c>
      <c r="FE59" s="635">
        <v>5133.333333333333</v>
      </c>
      <c r="FF59" s="635">
        <v>5133.333333333333</v>
      </c>
    </row>
    <row r="60" spans="2:162">
      <c r="D60" s="126"/>
      <c r="E60" s="126"/>
      <c r="F60" s="126"/>
      <c r="M60" s="37" t="s">
        <v>35</v>
      </c>
      <c r="O60" s="682" t="s">
        <v>648</v>
      </c>
      <c r="P60" s="686">
        <v>23500.786902200005</v>
      </c>
      <c r="Q60" s="635">
        <v>22492.74964862112</v>
      </c>
      <c r="R60" s="638">
        <v>23664.717086303441</v>
      </c>
      <c r="S60" s="638">
        <v>25981.168216706224</v>
      </c>
      <c r="T60" s="638">
        <v>28691.250635830835</v>
      </c>
      <c r="U60" s="638">
        <v>29427.508468886648</v>
      </c>
      <c r="V60" s="638">
        <v>30148.276634112448</v>
      </c>
      <c r="W60" s="638">
        <v>31052.724933135851</v>
      </c>
      <c r="X60" s="638">
        <v>31984.306681129961</v>
      </c>
      <c r="Y60" s="638">
        <v>32943.835881563886</v>
      </c>
      <c r="Z60" s="638">
        <v>33932.150958010847</v>
      </c>
      <c r="AA60" s="638">
        <v>34950.115486751194</v>
      </c>
      <c r="AB60" s="778"/>
      <c r="AC60" s="714" t="s">
        <v>648</v>
      </c>
      <c r="AD60" s="686">
        <v>23500.786902200005</v>
      </c>
      <c r="AE60" s="635">
        <v>1934.4325660332968</v>
      </c>
      <c r="AF60" s="635">
        <v>1947.6572018743962</v>
      </c>
      <c r="AG60" s="635">
        <v>1916.2910373367799</v>
      </c>
      <c r="AH60" s="635">
        <v>1850.4501993944048</v>
      </c>
      <c r="AI60" s="635">
        <v>1824.8212077374678</v>
      </c>
      <c r="AJ60" s="635">
        <v>1833.5748025542482</v>
      </c>
      <c r="AK60" s="635">
        <v>1842.3328229438482</v>
      </c>
      <c r="AL60" s="635">
        <v>1851.0952759705926</v>
      </c>
      <c r="AM60" s="635">
        <v>1859.862168710084</v>
      </c>
      <c r="AN60" s="635">
        <v>1868.6335082492176</v>
      </c>
      <c r="AO60" s="635">
        <v>1877.4093016862034</v>
      </c>
      <c r="AP60" s="635">
        <v>1886.1895561305805</v>
      </c>
      <c r="AQ60" s="635">
        <v>1915.6372902507762</v>
      </c>
      <c r="AR60" s="635">
        <v>1925.8650400665663</v>
      </c>
      <c r="AS60" s="635">
        <v>1936.1020070524937</v>
      </c>
      <c r="AT60" s="635">
        <v>1946.3482120180815</v>
      </c>
      <c r="AU60" s="635">
        <v>1956.6036758198361</v>
      </c>
      <c r="AV60" s="635">
        <v>1966.8684193613494</v>
      </c>
      <c r="AW60" s="635">
        <v>1977.1424635934088</v>
      </c>
      <c r="AX60" s="635">
        <v>1987.4258295141005</v>
      </c>
      <c r="AY60" s="635">
        <v>1997.7185381689196</v>
      </c>
      <c r="AZ60" s="635">
        <v>2008.0206106508736</v>
      </c>
      <c r="BA60" s="635">
        <v>2018.3320681005928</v>
      </c>
      <c r="BB60" s="635">
        <v>2028.6529317064369</v>
      </c>
      <c r="BC60" s="635">
        <v>2078.6257120857481</v>
      </c>
      <c r="BD60" s="635">
        <v>2089.1144444016122</v>
      </c>
      <c r="BE60" s="635">
        <v>2099.6122307266719</v>
      </c>
      <c r="BF60" s="635">
        <v>2110.1190906629063</v>
      </c>
      <c r="BG60" s="635">
        <v>2120.635043854732</v>
      </c>
      <c r="BH60" s="635">
        <v>2131.1601099890977</v>
      </c>
      <c r="BI60" s="635">
        <v>2141.6943087955724</v>
      </c>
      <c r="BJ60" s="635">
        <v>2152.2376600464399</v>
      </c>
      <c r="BK60" s="635">
        <v>2170.7226130982658</v>
      </c>
      <c r="BL60" s="635">
        <v>2229.1497191961585</v>
      </c>
      <c r="BM60" s="635">
        <v>2310.7449669158696</v>
      </c>
      <c r="BN60" s="635">
        <v>2347.3523169331493</v>
      </c>
      <c r="BO60" s="635">
        <v>2365.6031191594498</v>
      </c>
      <c r="BP60" s="635">
        <v>2370.1775364300524</v>
      </c>
      <c r="BQ60" s="635">
        <v>2374.7614621104076</v>
      </c>
      <c r="BR60" s="635">
        <v>2379.35491596475</v>
      </c>
      <c r="BS60" s="635">
        <v>2383.9579177983956</v>
      </c>
      <c r="BT60" s="635">
        <v>2388.5704874578282</v>
      </c>
      <c r="BU60" s="635">
        <v>2393.1926448307863</v>
      </c>
      <c r="BV60" s="635">
        <v>2397.8244098463447</v>
      </c>
      <c r="BW60" s="635">
        <v>2402.4658024750038</v>
      </c>
      <c r="BX60" s="635">
        <v>2407.1168427287757</v>
      </c>
      <c r="BY60" s="635">
        <v>2411.7775506612684</v>
      </c>
      <c r="BZ60" s="635">
        <v>2416.447946367774</v>
      </c>
      <c r="CA60" s="635">
        <v>2427.8392993418061</v>
      </c>
      <c r="CB60" s="635">
        <v>2432.2563573898919</v>
      </c>
      <c r="CC60" s="635">
        <v>2436.6820637900869</v>
      </c>
      <c r="CD60" s="635">
        <v>2441.1164354753791</v>
      </c>
      <c r="CE60" s="635">
        <v>2445.5594894119117</v>
      </c>
      <c r="CF60" s="635">
        <v>2450.0112425990455</v>
      </c>
      <c r="CG60" s="635">
        <v>2454.4717120694268</v>
      </c>
      <c r="CH60" s="635">
        <v>2458.9409148890481</v>
      </c>
      <c r="CI60" s="635">
        <v>2463.4188681573191</v>
      </c>
      <c r="CJ60" s="635">
        <v>2467.9055890071272</v>
      </c>
      <c r="CK60" s="635">
        <v>2472.4010946049052</v>
      </c>
      <c r="CL60" s="635">
        <v>2476.9054021506986</v>
      </c>
      <c r="CM60" s="635">
        <v>2480.7535737326621</v>
      </c>
      <c r="CN60" s="635">
        <v>2486.4524289143192</v>
      </c>
      <c r="CO60" s="635">
        <v>2492.1653390102474</v>
      </c>
      <c r="CP60" s="635">
        <v>2497.8923386836582</v>
      </c>
      <c r="CQ60" s="635">
        <v>2503.633462683249</v>
      </c>
      <c r="CR60" s="635">
        <v>2509.3887458434192</v>
      </c>
      <c r="CS60" s="635">
        <v>2515.1582230844779</v>
      </c>
      <c r="CT60" s="635">
        <v>2520.9419294128584</v>
      </c>
      <c r="CU60" s="635">
        <v>2526.7398999213283</v>
      </c>
      <c r="CV60" s="635">
        <v>2532.5521697892041</v>
      </c>
      <c r="CW60" s="635">
        <v>2538.3787742825634</v>
      </c>
      <c r="CX60" s="635">
        <v>2544.2197487544595</v>
      </c>
      <c r="CY60" s="635">
        <v>2555.1761809446448</v>
      </c>
      <c r="CZ60" s="635">
        <v>2561.0460017817518</v>
      </c>
      <c r="DA60" s="635">
        <v>2566.9302991805584</v>
      </c>
      <c r="DB60" s="635">
        <v>2572.8291088441706</v>
      </c>
      <c r="DC60" s="635">
        <v>2578.7424665637491</v>
      </c>
      <c r="DD60" s="635">
        <v>2584.6704082187243</v>
      </c>
      <c r="DE60" s="635">
        <v>2590.6129697770148</v>
      </c>
      <c r="DF60" s="635">
        <v>2596.5701872952463</v>
      </c>
      <c r="DG60" s="635">
        <v>2602.5420969189704</v>
      </c>
      <c r="DH60" s="635">
        <v>2608.5287348828824</v>
      </c>
      <c r="DI60" s="635">
        <v>2614.5301375110425</v>
      </c>
      <c r="DJ60" s="635">
        <v>2620.5463412170966</v>
      </c>
      <c r="DK60" s="635">
        <v>2631.8314663729871</v>
      </c>
      <c r="DL60" s="635">
        <v>2637.8773818352074</v>
      </c>
      <c r="DM60" s="635">
        <v>2643.9382081559779</v>
      </c>
      <c r="DN60" s="635">
        <v>2650.013982109499</v>
      </c>
      <c r="DO60" s="635">
        <v>2656.1047405606646</v>
      </c>
      <c r="DP60" s="635">
        <v>2662.2105204652889</v>
      </c>
      <c r="DQ60" s="635">
        <v>2668.3313588703286</v>
      </c>
      <c r="DR60" s="635">
        <v>2674.467292914107</v>
      </c>
      <c r="DS60" s="635">
        <v>2680.6183598265429</v>
      </c>
      <c r="DT60" s="635">
        <v>2686.7845969293721</v>
      </c>
      <c r="DU60" s="635">
        <v>2692.9660416363768</v>
      </c>
      <c r="DV60" s="635">
        <v>2699.1627314536122</v>
      </c>
      <c r="DW60" s="635">
        <v>2710.7864103641787</v>
      </c>
      <c r="DX60" s="635">
        <v>2717.0137032902662</v>
      </c>
      <c r="DY60" s="635">
        <v>2723.2563544006598</v>
      </c>
      <c r="DZ60" s="635">
        <v>2729.514401572786</v>
      </c>
      <c r="EA60" s="635">
        <v>2735.7878827774866</v>
      </c>
      <c r="EB60" s="635">
        <v>2742.0768360792499</v>
      </c>
      <c r="EC60" s="635">
        <v>2748.3812996364404</v>
      </c>
      <c r="ED60" s="635">
        <v>2754.7013117015322</v>
      </c>
      <c r="EE60" s="635">
        <v>2761.0369106213416</v>
      </c>
      <c r="EF60" s="635">
        <v>2767.3881348372552</v>
      </c>
      <c r="EG60" s="635">
        <v>2773.7550228854707</v>
      </c>
      <c r="EH60" s="635">
        <v>2780.1376133972226</v>
      </c>
      <c r="EI60" s="635">
        <v>2792.1100026751069</v>
      </c>
      <c r="EJ60" s="635">
        <v>2798.5241143889766</v>
      </c>
      <c r="EK60" s="635">
        <v>2804.9540450326822</v>
      </c>
      <c r="EL60" s="635">
        <v>2811.3998336199725</v>
      </c>
      <c r="EM60" s="635">
        <v>2817.861519260814</v>
      </c>
      <c r="EN60" s="635">
        <v>2824.3391411616299</v>
      </c>
      <c r="EO60" s="635">
        <v>2830.832738625536</v>
      </c>
      <c r="EP60" s="635">
        <v>2837.3423510525813</v>
      </c>
      <c r="EQ60" s="635">
        <v>2843.8680179399839</v>
      </c>
      <c r="ER60" s="635">
        <v>2850.409778882376</v>
      </c>
      <c r="ES60" s="635">
        <v>2856.9676735720373</v>
      </c>
      <c r="ET60" s="635">
        <v>2863.5417417991421</v>
      </c>
      <c r="EU60" s="635">
        <v>2875.8733027553631</v>
      </c>
      <c r="EV60" s="635">
        <v>2882.4798378206488</v>
      </c>
      <c r="EW60" s="635">
        <v>2889.1026663836651</v>
      </c>
      <c r="EX60" s="635">
        <v>2895.7418286285742</v>
      </c>
      <c r="EY60" s="635">
        <v>2902.3973648386414</v>
      </c>
      <c r="EZ60" s="635">
        <v>2909.0693153964817</v>
      </c>
      <c r="FA60" s="635">
        <v>2915.7577207843055</v>
      </c>
      <c r="FB60" s="635">
        <v>2922.4626215841618</v>
      </c>
      <c r="FC60" s="635">
        <v>2929.1840584781867</v>
      </c>
      <c r="FD60" s="635">
        <v>2935.9220722488503</v>
      </c>
      <c r="FE60" s="635">
        <v>2942.6767037792019</v>
      </c>
      <c r="FF60" s="635">
        <v>2949.4479940531201</v>
      </c>
    </row>
    <row r="61" spans="2:162">
      <c r="D61" s="51"/>
      <c r="E61" s="124"/>
      <c r="F61" s="51"/>
      <c r="M61" s="37" t="s">
        <v>35</v>
      </c>
      <c r="O61" s="682" t="s">
        <v>649</v>
      </c>
      <c r="P61" s="686">
        <v>1461542.7900326999</v>
      </c>
      <c r="Q61" s="635">
        <v>1461542.7900326999</v>
      </c>
      <c r="R61" s="638">
        <v>1505717.9208614381</v>
      </c>
      <c r="S61" s="638">
        <v>1551228.2450194748</v>
      </c>
      <c r="T61" s="638">
        <v>1597765.0923700591</v>
      </c>
      <c r="U61" s="638">
        <v>1645698.045141161</v>
      </c>
      <c r="V61" s="638">
        <v>1695068.9864953959</v>
      </c>
      <c r="W61" s="638">
        <v>1745921.0560902578</v>
      </c>
      <c r="X61" s="638">
        <v>1798298.6877729655</v>
      </c>
      <c r="Y61" s="638">
        <v>1852247.6484061545</v>
      </c>
      <c r="Z61" s="638">
        <v>1907815.0778583391</v>
      </c>
      <c r="AA61" s="638">
        <v>1965049.5301940893</v>
      </c>
      <c r="AB61" s="778"/>
      <c r="AC61" s="714" t="s">
        <v>649</v>
      </c>
      <c r="AD61" s="686">
        <v>1461542.7900326999</v>
      </c>
      <c r="AE61" s="619">
        <v>121795.23250272499</v>
      </c>
      <c r="AF61" s="619">
        <v>121795.23250272499</v>
      </c>
      <c r="AG61" s="619">
        <v>121795.23250272499</v>
      </c>
      <c r="AH61" s="619">
        <v>121795.23250272499</v>
      </c>
      <c r="AI61" s="619">
        <v>121795.23250272499</v>
      </c>
      <c r="AJ61" s="619">
        <v>121795.23250272499</v>
      </c>
      <c r="AK61" s="619">
        <v>121795.23250272499</v>
      </c>
      <c r="AL61" s="619">
        <v>121795.23250272499</v>
      </c>
      <c r="AM61" s="619">
        <v>121795.23250272499</v>
      </c>
      <c r="AN61" s="619">
        <v>121795.23250272499</v>
      </c>
      <c r="AO61" s="619">
        <v>121795.23250272499</v>
      </c>
      <c r="AP61" s="619">
        <v>121795.23250272499</v>
      </c>
      <c r="AQ61" s="619">
        <v>125476.49340511985</v>
      </c>
      <c r="AR61" s="619">
        <v>125476.49340511985</v>
      </c>
      <c r="AS61" s="619">
        <v>125476.49340511985</v>
      </c>
      <c r="AT61" s="619">
        <v>125476.49340511985</v>
      </c>
      <c r="AU61" s="619">
        <v>125476.49340511985</v>
      </c>
      <c r="AV61" s="619">
        <v>125476.49340511985</v>
      </c>
      <c r="AW61" s="619">
        <v>125476.49340511985</v>
      </c>
      <c r="AX61" s="619">
        <v>125476.49340511985</v>
      </c>
      <c r="AY61" s="619">
        <v>125476.49340511985</v>
      </c>
      <c r="AZ61" s="619">
        <v>125476.49340511985</v>
      </c>
      <c r="BA61" s="619">
        <v>125476.49340511985</v>
      </c>
      <c r="BB61" s="619">
        <v>125476.49340511985</v>
      </c>
      <c r="BC61" s="619">
        <v>129269.02041828957</v>
      </c>
      <c r="BD61" s="619">
        <v>129269.02041828957</v>
      </c>
      <c r="BE61" s="619">
        <v>129269.02041828957</v>
      </c>
      <c r="BF61" s="619">
        <v>129269.02041828957</v>
      </c>
      <c r="BG61" s="619">
        <v>129269.02041828957</v>
      </c>
      <c r="BH61" s="619">
        <v>129269.02041828957</v>
      </c>
      <c r="BI61" s="619">
        <v>129269.02041828957</v>
      </c>
      <c r="BJ61" s="619">
        <v>129269.02041828957</v>
      </c>
      <c r="BK61" s="619">
        <v>129269.02041828957</v>
      </c>
      <c r="BL61" s="619">
        <v>129269.02041828957</v>
      </c>
      <c r="BM61" s="619">
        <v>129269.02041828957</v>
      </c>
      <c r="BN61" s="619">
        <v>129269.02041828957</v>
      </c>
      <c r="BO61" s="619">
        <v>133147.09103083826</v>
      </c>
      <c r="BP61" s="619">
        <v>133147.09103083826</v>
      </c>
      <c r="BQ61" s="619">
        <v>133147.09103083826</v>
      </c>
      <c r="BR61" s="619">
        <v>133147.09103083826</v>
      </c>
      <c r="BS61" s="619">
        <v>133147.09103083826</v>
      </c>
      <c r="BT61" s="619">
        <v>133147.09103083826</v>
      </c>
      <c r="BU61" s="619">
        <v>133147.09103083826</v>
      </c>
      <c r="BV61" s="619">
        <v>133147.09103083826</v>
      </c>
      <c r="BW61" s="619">
        <v>133147.09103083826</v>
      </c>
      <c r="BX61" s="619">
        <v>133147.09103083826</v>
      </c>
      <c r="BY61" s="619">
        <v>133147.09103083826</v>
      </c>
      <c r="BZ61" s="619">
        <v>133147.09103083826</v>
      </c>
      <c r="CA61" s="619">
        <v>137141.50376176342</v>
      </c>
      <c r="CB61" s="619">
        <v>137141.50376176342</v>
      </c>
      <c r="CC61" s="619">
        <v>137141.50376176342</v>
      </c>
      <c r="CD61" s="619">
        <v>137141.50376176342</v>
      </c>
      <c r="CE61" s="619">
        <v>137141.50376176342</v>
      </c>
      <c r="CF61" s="619">
        <v>137141.50376176342</v>
      </c>
      <c r="CG61" s="619">
        <v>137141.50376176342</v>
      </c>
      <c r="CH61" s="619">
        <v>137141.50376176342</v>
      </c>
      <c r="CI61" s="619">
        <v>137141.50376176342</v>
      </c>
      <c r="CJ61" s="619">
        <v>137141.50376176342</v>
      </c>
      <c r="CK61" s="619">
        <v>137141.50376176342</v>
      </c>
      <c r="CL61" s="619">
        <v>137141.50376176342</v>
      </c>
      <c r="CM61" s="619">
        <v>141255.74887461631</v>
      </c>
      <c r="CN61" s="619">
        <v>141255.74887461631</v>
      </c>
      <c r="CO61" s="619">
        <v>141255.74887461631</v>
      </c>
      <c r="CP61" s="619">
        <v>141255.74887461631</v>
      </c>
      <c r="CQ61" s="619">
        <v>141255.74887461631</v>
      </c>
      <c r="CR61" s="619">
        <v>141255.74887461631</v>
      </c>
      <c r="CS61" s="619">
        <v>141255.74887461631</v>
      </c>
      <c r="CT61" s="619">
        <v>141255.74887461631</v>
      </c>
      <c r="CU61" s="619">
        <v>141255.74887461631</v>
      </c>
      <c r="CV61" s="619">
        <v>141255.74887461631</v>
      </c>
      <c r="CW61" s="619">
        <v>141255.74887461631</v>
      </c>
      <c r="CX61" s="619">
        <v>141255.74887461631</v>
      </c>
      <c r="CY61" s="619">
        <v>145493.42134085481</v>
      </c>
      <c r="CZ61" s="619">
        <v>145493.42134085481</v>
      </c>
      <c r="DA61" s="619">
        <v>145493.42134085481</v>
      </c>
      <c r="DB61" s="619">
        <v>145493.42134085481</v>
      </c>
      <c r="DC61" s="619">
        <v>145493.42134085481</v>
      </c>
      <c r="DD61" s="619">
        <v>145493.42134085481</v>
      </c>
      <c r="DE61" s="619">
        <v>145493.42134085481</v>
      </c>
      <c r="DF61" s="619">
        <v>145493.42134085481</v>
      </c>
      <c r="DG61" s="619">
        <v>145493.42134085481</v>
      </c>
      <c r="DH61" s="619">
        <v>145493.42134085481</v>
      </c>
      <c r="DI61" s="619">
        <v>145493.42134085481</v>
      </c>
      <c r="DJ61" s="619">
        <v>145493.42134085481</v>
      </c>
      <c r="DK61" s="619">
        <v>149858.22398108046</v>
      </c>
      <c r="DL61" s="619">
        <v>149858.22398108046</v>
      </c>
      <c r="DM61" s="619">
        <v>149858.22398108046</v>
      </c>
      <c r="DN61" s="619">
        <v>149858.22398108046</v>
      </c>
      <c r="DO61" s="619">
        <v>149858.22398108046</v>
      </c>
      <c r="DP61" s="619">
        <v>149858.22398108046</v>
      </c>
      <c r="DQ61" s="619">
        <v>149858.22398108046</v>
      </c>
      <c r="DR61" s="619">
        <v>149858.22398108046</v>
      </c>
      <c r="DS61" s="619">
        <v>149858.22398108046</v>
      </c>
      <c r="DT61" s="619">
        <v>149858.22398108046</v>
      </c>
      <c r="DU61" s="619">
        <v>149858.22398108046</v>
      </c>
      <c r="DV61" s="619">
        <v>149858.22398108046</v>
      </c>
      <c r="DW61" s="619">
        <v>154353.97070051287</v>
      </c>
      <c r="DX61" s="619">
        <v>154353.97070051287</v>
      </c>
      <c r="DY61" s="619">
        <v>154353.97070051287</v>
      </c>
      <c r="DZ61" s="619">
        <v>154353.97070051287</v>
      </c>
      <c r="EA61" s="619">
        <v>154353.97070051287</v>
      </c>
      <c r="EB61" s="619">
        <v>154353.97070051287</v>
      </c>
      <c r="EC61" s="619">
        <v>154353.97070051287</v>
      </c>
      <c r="ED61" s="619">
        <v>154353.97070051287</v>
      </c>
      <c r="EE61" s="619">
        <v>154353.97070051287</v>
      </c>
      <c r="EF61" s="619">
        <v>154353.97070051287</v>
      </c>
      <c r="EG61" s="619">
        <v>154353.97070051287</v>
      </c>
      <c r="EH61" s="619">
        <v>154353.97070051287</v>
      </c>
      <c r="EI61" s="619">
        <v>158984.58982152827</v>
      </c>
      <c r="EJ61" s="619">
        <v>158984.58982152827</v>
      </c>
      <c r="EK61" s="619">
        <v>158984.58982152827</v>
      </c>
      <c r="EL61" s="619">
        <v>158984.58982152827</v>
      </c>
      <c r="EM61" s="619">
        <v>158984.58982152827</v>
      </c>
      <c r="EN61" s="619">
        <v>158984.58982152827</v>
      </c>
      <c r="EO61" s="619">
        <v>158984.58982152827</v>
      </c>
      <c r="EP61" s="619">
        <v>158984.58982152827</v>
      </c>
      <c r="EQ61" s="619">
        <v>158984.58982152827</v>
      </c>
      <c r="ER61" s="619">
        <v>158984.58982152827</v>
      </c>
      <c r="ES61" s="619">
        <v>158984.58982152827</v>
      </c>
      <c r="ET61" s="619">
        <v>158984.58982152827</v>
      </c>
      <c r="EU61" s="619">
        <v>163754.12751617411</v>
      </c>
      <c r="EV61" s="619">
        <v>163754.12751617411</v>
      </c>
      <c r="EW61" s="619">
        <v>163754.12751617411</v>
      </c>
      <c r="EX61" s="619">
        <v>163754.12751617411</v>
      </c>
      <c r="EY61" s="619">
        <v>163754.12751617411</v>
      </c>
      <c r="EZ61" s="619">
        <v>163754.12751617411</v>
      </c>
      <c r="FA61" s="619">
        <v>163754.12751617411</v>
      </c>
      <c r="FB61" s="619">
        <v>163754.12751617411</v>
      </c>
      <c r="FC61" s="619">
        <v>163754.12751617411</v>
      </c>
      <c r="FD61" s="619">
        <v>163754.12751617411</v>
      </c>
      <c r="FE61" s="619">
        <v>163754.12751617411</v>
      </c>
      <c r="FF61" s="619">
        <v>163754.12751617411</v>
      </c>
    </row>
    <row r="62" spans="2:162">
      <c r="M62" s="37" t="s">
        <v>35</v>
      </c>
      <c r="O62" s="779" t="s">
        <v>621</v>
      </c>
      <c r="P62" s="780">
        <v>0</v>
      </c>
      <c r="Q62" s="781">
        <v>0</v>
      </c>
      <c r="R62" s="782">
        <v>0</v>
      </c>
      <c r="S62" s="782">
        <v>0</v>
      </c>
      <c r="T62" s="782">
        <v>0</v>
      </c>
      <c r="U62" s="782">
        <v>0</v>
      </c>
      <c r="V62" s="639">
        <v>0</v>
      </c>
      <c r="W62" s="639">
        <v>0</v>
      </c>
      <c r="X62" s="639">
        <v>0</v>
      </c>
      <c r="Y62" s="639">
        <v>0</v>
      </c>
      <c r="Z62" s="639">
        <v>0</v>
      </c>
      <c r="AA62" s="639">
        <v>0</v>
      </c>
      <c r="AB62" s="778"/>
      <c r="AC62" s="783" t="s">
        <v>621</v>
      </c>
      <c r="AD62" s="780">
        <v>0</v>
      </c>
      <c r="AE62" s="781">
        <v>0</v>
      </c>
      <c r="AF62" s="781">
        <v>0</v>
      </c>
      <c r="AG62" s="781">
        <v>0</v>
      </c>
      <c r="AH62" s="781">
        <v>0</v>
      </c>
      <c r="AI62" s="781">
        <v>0</v>
      </c>
      <c r="AJ62" s="781">
        <v>0</v>
      </c>
      <c r="AK62" s="781">
        <v>0</v>
      </c>
      <c r="AL62" s="781">
        <v>0</v>
      </c>
      <c r="AM62" s="781">
        <v>0</v>
      </c>
      <c r="AN62" s="781">
        <v>0</v>
      </c>
      <c r="AO62" s="781">
        <v>0</v>
      </c>
      <c r="AP62" s="781">
        <v>0</v>
      </c>
      <c r="AQ62" s="781">
        <v>0</v>
      </c>
      <c r="AR62" s="781">
        <v>0</v>
      </c>
      <c r="AS62" s="781">
        <v>0</v>
      </c>
      <c r="AT62" s="781">
        <v>0</v>
      </c>
      <c r="AU62" s="781">
        <v>0</v>
      </c>
      <c r="AV62" s="781">
        <v>0</v>
      </c>
      <c r="AW62" s="781">
        <v>0</v>
      </c>
      <c r="AX62" s="781">
        <v>0</v>
      </c>
      <c r="AY62" s="781">
        <v>0</v>
      </c>
      <c r="AZ62" s="781">
        <v>0</v>
      </c>
      <c r="BA62" s="781">
        <v>0</v>
      </c>
      <c r="BB62" s="781">
        <v>0</v>
      </c>
      <c r="BC62" s="781">
        <v>0</v>
      </c>
      <c r="BD62" s="781">
        <v>0</v>
      </c>
      <c r="BE62" s="781">
        <v>0</v>
      </c>
      <c r="BF62" s="781">
        <v>0</v>
      </c>
      <c r="BG62" s="781">
        <v>0</v>
      </c>
      <c r="BH62" s="781">
        <v>0</v>
      </c>
      <c r="BI62" s="781">
        <v>0</v>
      </c>
      <c r="BJ62" s="781">
        <v>0</v>
      </c>
      <c r="BK62" s="781">
        <v>0</v>
      </c>
      <c r="BL62" s="781">
        <v>0</v>
      </c>
      <c r="BM62" s="781">
        <v>0</v>
      </c>
      <c r="BN62" s="781">
        <v>0</v>
      </c>
      <c r="BO62" s="781">
        <v>0</v>
      </c>
      <c r="BP62" s="781">
        <v>0</v>
      </c>
      <c r="BQ62" s="781">
        <v>0</v>
      </c>
      <c r="BR62" s="781">
        <v>0</v>
      </c>
      <c r="BS62" s="781">
        <v>0</v>
      </c>
      <c r="BT62" s="781">
        <v>0</v>
      </c>
      <c r="BU62" s="781">
        <v>0</v>
      </c>
      <c r="BV62" s="781">
        <v>0</v>
      </c>
      <c r="BW62" s="781">
        <v>0</v>
      </c>
      <c r="BX62" s="781">
        <v>0</v>
      </c>
      <c r="BY62" s="781">
        <v>0</v>
      </c>
      <c r="BZ62" s="781">
        <v>0</v>
      </c>
      <c r="CA62" s="781">
        <v>0</v>
      </c>
      <c r="CB62" s="781">
        <v>0</v>
      </c>
      <c r="CC62" s="781">
        <v>0</v>
      </c>
      <c r="CD62" s="781">
        <v>0</v>
      </c>
      <c r="CE62" s="781">
        <v>0</v>
      </c>
      <c r="CF62" s="781">
        <v>0</v>
      </c>
      <c r="CG62" s="781">
        <v>0</v>
      </c>
      <c r="CH62" s="781">
        <v>0</v>
      </c>
      <c r="CI62" s="781">
        <v>0</v>
      </c>
      <c r="CJ62" s="781">
        <v>0</v>
      </c>
      <c r="CK62" s="781">
        <v>0</v>
      </c>
      <c r="CL62" s="781">
        <v>0</v>
      </c>
      <c r="CM62" s="781">
        <v>0</v>
      </c>
      <c r="CN62" s="781">
        <v>0</v>
      </c>
      <c r="CO62" s="781">
        <v>0</v>
      </c>
      <c r="CP62" s="781">
        <v>0</v>
      </c>
      <c r="CQ62" s="781">
        <v>0</v>
      </c>
      <c r="CR62" s="781">
        <v>0</v>
      </c>
      <c r="CS62" s="781">
        <v>0</v>
      </c>
      <c r="CT62" s="781">
        <v>0</v>
      </c>
      <c r="CU62" s="781">
        <v>0</v>
      </c>
      <c r="CV62" s="781">
        <v>0</v>
      </c>
      <c r="CW62" s="781">
        <v>0</v>
      </c>
      <c r="CX62" s="781">
        <v>0</v>
      </c>
      <c r="CY62" s="781">
        <v>0</v>
      </c>
      <c r="CZ62" s="781">
        <v>0</v>
      </c>
      <c r="DA62" s="781">
        <v>0</v>
      </c>
      <c r="DB62" s="781">
        <v>0</v>
      </c>
      <c r="DC62" s="781">
        <v>0</v>
      </c>
      <c r="DD62" s="781">
        <v>0</v>
      </c>
      <c r="DE62" s="781">
        <v>0</v>
      </c>
      <c r="DF62" s="781">
        <v>0</v>
      </c>
      <c r="DG62" s="781">
        <v>0</v>
      </c>
      <c r="DH62" s="781">
        <v>0</v>
      </c>
      <c r="DI62" s="781">
        <v>0</v>
      </c>
      <c r="DJ62" s="781">
        <v>0</v>
      </c>
      <c r="DK62" s="781">
        <v>0</v>
      </c>
      <c r="DL62" s="781">
        <v>0</v>
      </c>
      <c r="DM62" s="781">
        <v>0</v>
      </c>
      <c r="DN62" s="781">
        <v>0</v>
      </c>
      <c r="DO62" s="781">
        <v>0</v>
      </c>
      <c r="DP62" s="781">
        <v>0</v>
      </c>
      <c r="DQ62" s="781">
        <v>0</v>
      </c>
      <c r="DR62" s="781">
        <v>0</v>
      </c>
      <c r="DS62" s="781">
        <v>0</v>
      </c>
      <c r="DT62" s="781">
        <v>0</v>
      </c>
      <c r="DU62" s="781">
        <v>0</v>
      </c>
      <c r="DV62" s="781">
        <v>0</v>
      </c>
      <c r="DW62" s="781">
        <v>0</v>
      </c>
      <c r="DX62" s="781">
        <v>0</v>
      </c>
      <c r="DY62" s="781">
        <v>0</v>
      </c>
      <c r="DZ62" s="781">
        <v>0</v>
      </c>
      <c r="EA62" s="781">
        <v>0</v>
      </c>
      <c r="EB62" s="781">
        <v>0</v>
      </c>
      <c r="EC62" s="781">
        <v>0</v>
      </c>
      <c r="ED62" s="781">
        <v>0</v>
      </c>
      <c r="EE62" s="781">
        <v>0</v>
      </c>
      <c r="EF62" s="781">
        <v>0</v>
      </c>
      <c r="EG62" s="781">
        <v>0</v>
      </c>
      <c r="EH62" s="781">
        <v>0</v>
      </c>
      <c r="EI62" s="781">
        <v>0</v>
      </c>
      <c r="EJ62" s="781">
        <v>0</v>
      </c>
      <c r="EK62" s="781">
        <v>0</v>
      </c>
      <c r="EL62" s="781">
        <v>0</v>
      </c>
      <c r="EM62" s="781">
        <v>0</v>
      </c>
      <c r="EN62" s="781">
        <v>0</v>
      </c>
      <c r="EO62" s="781">
        <v>0</v>
      </c>
      <c r="EP62" s="781">
        <v>0</v>
      </c>
      <c r="EQ62" s="781">
        <v>0</v>
      </c>
      <c r="ER62" s="781">
        <v>0</v>
      </c>
      <c r="ES62" s="781">
        <v>0</v>
      </c>
      <c r="ET62" s="781">
        <v>0</v>
      </c>
      <c r="EU62" s="781">
        <v>0</v>
      </c>
      <c r="EV62" s="781">
        <v>0</v>
      </c>
      <c r="EW62" s="781">
        <v>0</v>
      </c>
      <c r="EX62" s="781">
        <v>0</v>
      </c>
      <c r="EY62" s="781">
        <v>0</v>
      </c>
      <c r="EZ62" s="781">
        <v>0</v>
      </c>
      <c r="FA62" s="781">
        <v>0</v>
      </c>
      <c r="FB62" s="781">
        <v>0</v>
      </c>
      <c r="FC62" s="781">
        <v>0</v>
      </c>
      <c r="FD62" s="781">
        <v>0</v>
      </c>
      <c r="FE62" s="781">
        <v>0</v>
      </c>
      <c r="FF62" s="781">
        <v>0</v>
      </c>
    </row>
    <row r="63" spans="2:162">
      <c r="M63" s="37" t="s">
        <v>39</v>
      </c>
      <c r="O63" s="682" t="s">
        <v>215</v>
      </c>
      <c r="P63" s="686">
        <v>177498.39050000004</v>
      </c>
      <c r="Q63" s="635">
        <v>169884.8160771988</v>
      </c>
      <c r="R63" s="635">
        <v>178736.53388446703</v>
      </c>
      <c r="S63" s="635">
        <v>196232.38834370257</v>
      </c>
      <c r="T63" s="635">
        <v>216701.28879026312</v>
      </c>
      <c r="U63" s="635">
        <v>222262.1485565457</v>
      </c>
      <c r="V63" s="635">
        <v>227706.01687396105</v>
      </c>
      <c r="W63" s="635">
        <v>234537.19738018015</v>
      </c>
      <c r="X63" s="635">
        <v>241573.31330158585</v>
      </c>
      <c r="Y63" s="635">
        <v>248820.51270063364</v>
      </c>
      <c r="Z63" s="635">
        <v>256285.12808165289</v>
      </c>
      <c r="AA63" s="635">
        <v>263973.68192410271</v>
      </c>
      <c r="AB63" s="778"/>
      <c r="AC63" s="714" t="s">
        <v>215</v>
      </c>
      <c r="AD63" s="686">
        <v>177498.39050000004</v>
      </c>
      <c r="AE63" s="619">
        <v>14610.517870342121</v>
      </c>
      <c r="AF63" s="619">
        <v>14710.401826845893</v>
      </c>
      <c r="AG63" s="619">
        <v>14473.497260851813</v>
      </c>
      <c r="AH63" s="619">
        <v>13976.209965214539</v>
      </c>
      <c r="AI63" s="619">
        <v>13782.63752067574</v>
      </c>
      <c r="AJ63" s="619">
        <v>13848.752285152934</v>
      </c>
      <c r="AK63" s="619">
        <v>13914.900475406708</v>
      </c>
      <c r="AL63" s="619">
        <v>13981.082144792996</v>
      </c>
      <c r="AM63" s="619">
        <v>14047.297346752901</v>
      </c>
      <c r="AN63" s="619">
        <v>14113.546134812823</v>
      </c>
      <c r="AO63" s="619">
        <v>14179.828562584618</v>
      </c>
      <c r="AP63" s="619">
        <v>14246.144683765713</v>
      </c>
      <c r="AQ63" s="619">
        <v>14468.559594039096</v>
      </c>
      <c r="AR63" s="619">
        <v>14545.808459717269</v>
      </c>
      <c r="AS63" s="619">
        <v>14623.126941484092</v>
      </c>
      <c r="AT63" s="619">
        <v>14700.515196511191</v>
      </c>
      <c r="AU63" s="619">
        <v>14777.973382325046</v>
      </c>
      <c r="AV63" s="619">
        <v>14855.501656807777</v>
      </c>
      <c r="AW63" s="619">
        <v>14933.100178197952</v>
      </c>
      <c r="AX63" s="619">
        <v>15010.769105091395</v>
      </c>
      <c r="AY63" s="619">
        <v>15088.508596441992</v>
      </c>
      <c r="AZ63" s="619">
        <v>15166.318811562489</v>
      </c>
      <c r="BA63" s="619">
        <v>15244.199910125324</v>
      </c>
      <c r="BB63" s="619">
        <v>15322.152052163421</v>
      </c>
      <c r="BC63" s="619">
        <v>15699.589970436164</v>
      </c>
      <c r="BD63" s="619">
        <v>15778.810003033324</v>
      </c>
      <c r="BE63" s="619">
        <v>15858.098419385738</v>
      </c>
      <c r="BF63" s="619">
        <v>15937.455367544608</v>
      </c>
      <c r="BG63" s="619">
        <v>16016.880995881664</v>
      </c>
      <c r="BH63" s="619">
        <v>16096.375453089862</v>
      </c>
      <c r="BI63" s="619">
        <v>16175.93888818408</v>
      </c>
      <c r="BJ63" s="619">
        <v>16255.571450501811</v>
      </c>
      <c r="BK63" s="619">
        <v>16395.185899533732</v>
      </c>
      <c r="BL63" s="619">
        <v>16836.478241662826</v>
      </c>
      <c r="BM63" s="619">
        <v>17452.756547702942</v>
      </c>
      <c r="BN63" s="619">
        <v>17729.247106745843</v>
      </c>
      <c r="BO63" s="619">
        <v>17867.093045010952</v>
      </c>
      <c r="BP63" s="619">
        <v>17901.643024396166</v>
      </c>
      <c r="BQ63" s="619">
        <v>17936.264819565011</v>
      </c>
      <c r="BR63" s="619">
        <v>17970.958579794184</v>
      </c>
      <c r="BS63" s="619">
        <v>18005.724454670661</v>
      </c>
      <c r="BT63" s="619">
        <v>18040.56259409236</v>
      </c>
      <c r="BU63" s="619">
        <v>18075.473148268778</v>
      </c>
      <c r="BV63" s="619">
        <v>18110.456267721638</v>
      </c>
      <c r="BW63" s="619">
        <v>18145.512103285528</v>
      </c>
      <c r="BX63" s="619">
        <v>18180.640806108579</v>
      </c>
      <c r="BY63" s="619">
        <v>18215.842527653087</v>
      </c>
      <c r="BZ63" s="619">
        <v>18251.117419696177</v>
      </c>
      <c r="CA63" s="619">
        <v>18337.154828865605</v>
      </c>
      <c r="CB63" s="619">
        <v>18370.516294485591</v>
      </c>
      <c r="CC63" s="619">
        <v>18403.943079985551</v>
      </c>
      <c r="CD63" s="619">
        <v>18437.435313258153</v>
      </c>
      <c r="CE63" s="619">
        <v>18470.993122446464</v>
      </c>
      <c r="CF63" s="619">
        <v>18504.616635944454</v>
      </c>
      <c r="CG63" s="619">
        <v>18538.305982397484</v>
      </c>
      <c r="CH63" s="619">
        <v>18572.061290702779</v>
      </c>
      <c r="CI63" s="619">
        <v>18605.882690009963</v>
      </c>
      <c r="CJ63" s="619">
        <v>18639.770309721505</v>
      </c>
      <c r="CK63" s="619">
        <v>18673.724279493243</v>
      </c>
      <c r="CL63" s="619">
        <v>18707.744729234884</v>
      </c>
      <c r="CM63" s="619">
        <v>18736.809469279928</v>
      </c>
      <c r="CN63" s="619">
        <v>18779.852182132319</v>
      </c>
      <c r="CO63" s="619">
        <v>18823.001049926341</v>
      </c>
      <c r="CP63" s="619">
        <v>18866.256334468719</v>
      </c>
      <c r="CQ63" s="619">
        <v>18909.618298211852</v>
      </c>
      <c r="CR63" s="619">
        <v>18953.087204255433</v>
      </c>
      <c r="CS63" s="619">
        <v>18996.663316348022</v>
      </c>
      <c r="CT63" s="619">
        <v>19040.346898888656</v>
      </c>
      <c r="CU63" s="619">
        <v>19084.138216928462</v>
      </c>
      <c r="CV63" s="619">
        <v>19128.037536172236</v>
      </c>
      <c r="CW63" s="619">
        <v>19172.045122980089</v>
      </c>
      <c r="CX63" s="619">
        <v>19216.161244369032</v>
      </c>
      <c r="CY63" s="619">
        <v>19298.913753358345</v>
      </c>
      <c r="CZ63" s="619">
        <v>19343.247747596313</v>
      </c>
      <c r="DA63" s="619">
        <v>19387.691081424156</v>
      </c>
      <c r="DB63" s="619">
        <v>19432.244024502801</v>
      </c>
      <c r="DC63" s="619">
        <v>19476.906847158225</v>
      </c>
      <c r="DD63" s="619">
        <v>19521.679820383113</v>
      </c>
      <c r="DE63" s="619">
        <v>19566.56321583848</v>
      </c>
      <c r="DF63" s="619">
        <v>19611.557305855338</v>
      </c>
      <c r="DG63" s="619">
        <v>19656.662363436335</v>
      </c>
      <c r="DH63" s="619">
        <v>19701.878662257423</v>
      </c>
      <c r="DI63" s="619">
        <v>19747.206476669508</v>
      </c>
      <c r="DJ63" s="619">
        <v>19792.646081700124</v>
      </c>
      <c r="DK63" s="619">
        <v>19877.881165959116</v>
      </c>
      <c r="DL63" s="619">
        <v>19923.545180024226</v>
      </c>
      <c r="DM63" s="619">
        <v>19969.321813866904</v>
      </c>
      <c r="DN63" s="619">
        <v>20015.211345237909</v>
      </c>
      <c r="DO63" s="619">
        <v>20061.214052572996</v>
      </c>
      <c r="DP63" s="619">
        <v>20107.330214994632</v>
      </c>
      <c r="DQ63" s="619">
        <v>20153.560112313658</v>
      </c>
      <c r="DR63" s="619">
        <v>20199.904025031021</v>
      </c>
      <c r="DS63" s="619">
        <v>20246.362234339449</v>
      </c>
      <c r="DT63" s="619">
        <v>20292.935022125166</v>
      </c>
      <c r="DU63" s="619">
        <v>20339.622670969617</v>
      </c>
      <c r="DV63" s="619">
        <v>20386.425464151151</v>
      </c>
      <c r="DW63" s="619">
        <v>20474.217600937907</v>
      </c>
      <c r="DX63" s="619">
        <v>20521.251535424974</v>
      </c>
      <c r="DY63" s="619">
        <v>20568.401468282929</v>
      </c>
      <c r="DZ63" s="619">
        <v>20615.667685595065</v>
      </c>
      <c r="EA63" s="619">
        <v>20663.050474150205</v>
      </c>
      <c r="EB63" s="619">
        <v>20710.550121444485</v>
      </c>
      <c r="EC63" s="619">
        <v>20758.166915683087</v>
      </c>
      <c r="ED63" s="619">
        <v>20805.901145781969</v>
      </c>
      <c r="EE63" s="619">
        <v>20853.75310136965</v>
      </c>
      <c r="EF63" s="619">
        <v>20901.72307278894</v>
      </c>
      <c r="EG63" s="619">
        <v>20949.811351098724</v>
      </c>
      <c r="EH63" s="619">
        <v>20998.0182280757</v>
      </c>
      <c r="EI63" s="619">
        <v>21088.444128966064</v>
      </c>
      <c r="EJ63" s="619">
        <v>21136.889081487738</v>
      </c>
      <c r="EK63" s="619">
        <v>21185.453512331438</v>
      </c>
      <c r="EL63" s="619">
        <v>21234.137716162935</v>
      </c>
      <c r="EM63" s="619">
        <v>21282.941988374732</v>
      </c>
      <c r="EN63" s="619">
        <v>21331.866625087841</v>
      </c>
      <c r="EO63" s="619">
        <v>21380.911923153599</v>
      </c>
      <c r="EP63" s="619">
        <v>21430.078180155448</v>
      </c>
      <c r="EQ63" s="619">
        <v>21479.365694410757</v>
      </c>
      <c r="ER63" s="619">
        <v>21528.77476497263</v>
      </c>
      <c r="ES63" s="619">
        <v>21578.305691631704</v>
      </c>
      <c r="ET63" s="619">
        <v>21627.958774917992</v>
      </c>
      <c r="EU63" s="619">
        <v>21721.097452835071</v>
      </c>
      <c r="EV63" s="619">
        <v>21770.995753932395</v>
      </c>
      <c r="EW63" s="619">
        <v>21821.017117701398</v>
      </c>
      <c r="EX63" s="619">
        <v>21871.161847647843</v>
      </c>
      <c r="EY63" s="619">
        <v>21921.430248025994</v>
      </c>
      <c r="EZ63" s="619">
        <v>21971.822623840497</v>
      </c>
      <c r="FA63" s="619">
        <v>22022.339280848231</v>
      </c>
      <c r="FB63" s="619">
        <v>22072.980525560135</v>
      </c>
      <c r="FC63" s="619">
        <v>22123.746665243103</v>
      </c>
      <c r="FD63" s="619">
        <v>22174.638007921832</v>
      </c>
      <c r="FE63" s="619">
        <v>22225.654862380681</v>
      </c>
      <c r="FF63" s="619">
        <v>22276.79753816556</v>
      </c>
    </row>
    <row r="64" spans="2:162">
      <c r="M64" s="37" t="s">
        <v>36</v>
      </c>
      <c r="O64" s="682" t="s">
        <v>99</v>
      </c>
      <c r="P64" s="686">
        <v>215600</v>
      </c>
      <c r="Q64" s="635">
        <v>215600</v>
      </c>
      <c r="R64" s="635">
        <v>226380</v>
      </c>
      <c r="S64" s="635">
        <v>233171.4</v>
      </c>
      <c r="T64" s="635">
        <v>240166.54199999999</v>
      </c>
      <c r="U64" s="635">
        <v>247371.53826</v>
      </c>
      <c r="V64" s="635">
        <v>254792.6844078</v>
      </c>
      <c r="W64" s="635">
        <v>262436.46494003403</v>
      </c>
      <c r="X64" s="635">
        <v>270309.55888823507</v>
      </c>
      <c r="Y64" s="635">
        <v>278418.84565488214</v>
      </c>
      <c r="Z64" s="635">
        <v>286771.41102452861</v>
      </c>
      <c r="AA64" s="635">
        <v>295374.55335526448</v>
      </c>
      <c r="AB64" s="747"/>
      <c r="AC64" s="714" t="s">
        <v>99</v>
      </c>
      <c r="AD64" s="686">
        <v>215600</v>
      </c>
      <c r="AE64" s="619">
        <v>17966.666666666668</v>
      </c>
      <c r="AF64" s="619">
        <v>17966.666666666668</v>
      </c>
      <c r="AG64" s="619">
        <v>17966.666666666668</v>
      </c>
      <c r="AH64" s="619">
        <v>17966.666666666668</v>
      </c>
      <c r="AI64" s="619">
        <v>17966.666666666668</v>
      </c>
      <c r="AJ64" s="619">
        <v>17966.666666666668</v>
      </c>
      <c r="AK64" s="619">
        <v>17966.666666666668</v>
      </c>
      <c r="AL64" s="619">
        <v>17966.666666666668</v>
      </c>
      <c r="AM64" s="619">
        <v>17966.666666666668</v>
      </c>
      <c r="AN64" s="619">
        <v>17966.666666666668</v>
      </c>
      <c r="AO64" s="619">
        <v>17966.666666666668</v>
      </c>
      <c r="AP64" s="619">
        <v>17966.666666666668</v>
      </c>
      <c r="AQ64" s="619">
        <v>18865</v>
      </c>
      <c r="AR64" s="619">
        <v>18865</v>
      </c>
      <c r="AS64" s="619">
        <v>18865</v>
      </c>
      <c r="AT64" s="619">
        <v>18865</v>
      </c>
      <c r="AU64" s="619">
        <v>18865</v>
      </c>
      <c r="AV64" s="619">
        <v>18865</v>
      </c>
      <c r="AW64" s="619">
        <v>18865</v>
      </c>
      <c r="AX64" s="619">
        <v>18865</v>
      </c>
      <c r="AY64" s="619">
        <v>18865</v>
      </c>
      <c r="AZ64" s="619">
        <v>18865</v>
      </c>
      <c r="BA64" s="619">
        <v>18865</v>
      </c>
      <c r="BB64" s="619">
        <v>18865</v>
      </c>
      <c r="BC64" s="619">
        <v>19430.95</v>
      </c>
      <c r="BD64" s="619">
        <v>19430.95</v>
      </c>
      <c r="BE64" s="619">
        <v>19430.95</v>
      </c>
      <c r="BF64" s="619">
        <v>19430.95</v>
      </c>
      <c r="BG64" s="619">
        <v>19430.95</v>
      </c>
      <c r="BH64" s="619">
        <v>19430.95</v>
      </c>
      <c r="BI64" s="619">
        <v>19430.95</v>
      </c>
      <c r="BJ64" s="619">
        <v>19430.95</v>
      </c>
      <c r="BK64" s="619">
        <v>19430.95</v>
      </c>
      <c r="BL64" s="619">
        <v>19430.95</v>
      </c>
      <c r="BM64" s="619">
        <v>19430.95</v>
      </c>
      <c r="BN64" s="619">
        <v>19430.95</v>
      </c>
      <c r="BO64" s="619">
        <v>20013.878499999999</v>
      </c>
      <c r="BP64" s="619">
        <v>20013.878499999999</v>
      </c>
      <c r="BQ64" s="619">
        <v>20013.878499999999</v>
      </c>
      <c r="BR64" s="619">
        <v>20013.878499999999</v>
      </c>
      <c r="BS64" s="619">
        <v>20013.878499999999</v>
      </c>
      <c r="BT64" s="619">
        <v>20013.878499999999</v>
      </c>
      <c r="BU64" s="619">
        <v>20013.878499999999</v>
      </c>
      <c r="BV64" s="619">
        <v>20013.878499999999</v>
      </c>
      <c r="BW64" s="619">
        <v>20013.878499999999</v>
      </c>
      <c r="BX64" s="619">
        <v>20013.878499999999</v>
      </c>
      <c r="BY64" s="619">
        <v>20013.878499999999</v>
      </c>
      <c r="BZ64" s="619">
        <v>20013.878499999999</v>
      </c>
      <c r="CA64" s="619">
        <v>20614.294855</v>
      </c>
      <c r="CB64" s="619">
        <v>20614.294855</v>
      </c>
      <c r="CC64" s="619">
        <v>20614.294855</v>
      </c>
      <c r="CD64" s="619">
        <v>20614.294855</v>
      </c>
      <c r="CE64" s="619">
        <v>20614.294855</v>
      </c>
      <c r="CF64" s="619">
        <v>20614.294855</v>
      </c>
      <c r="CG64" s="619">
        <v>20614.294855</v>
      </c>
      <c r="CH64" s="619">
        <v>20614.294855</v>
      </c>
      <c r="CI64" s="619">
        <v>20614.294855</v>
      </c>
      <c r="CJ64" s="619">
        <v>20614.294855</v>
      </c>
      <c r="CK64" s="619">
        <v>20614.294855</v>
      </c>
      <c r="CL64" s="619">
        <v>20614.294855</v>
      </c>
      <c r="CM64" s="619">
        <v>21232.72370065</v>
      </c>
      <c r="CN64" s="619">
        <v>21232.72370065</v>
      </c>
      <c r="CO64" s="619">
        <v>21232.72370065</v>
      </c>
      <c r="CP64" s="619">
        <v>21232.72370065</v>
      </c>
      <c r="CQ64" s="619">
        <v>21232.72370065</v>
      </c>
      <c r="CR64" s="619">
        <v>21232.72370065</v>
      </c>
      <c r="CS64" s="619">
        <v>21232.72370065</v>
      </c>
      <c r="CT64" s="619">
        <v>21232.72370065</v>
      </c>
      <c r="CU64" s="619">
        <v>21232.72370065</v>
      </c>
      <c r="CV64" s="619">
        <v>21232.72370065</v>
      </c>
      <c r="CW64" s="619">
        <v>21232.72370065</v>
      </c>
      <c r="CX64" s="619">
        <v>21232.72370065</v>
      </c>
      <c r="CY64" s="619">
        <v>21869.705411669504</v>
      </c>
      <c r="CZ64" s="619">
        <v>21869.705411669504</v>
      </c>
      <c r="DA64" s="619">
        <v>21869.705411669504</v>
      </c>
      <c r="DB64" s="619">
        <v>21869.705411669504</v>
      </c>
      <c r="DC64" s="619">
        <v>21869.705411669504</v>
      </c>
      <c r="DD64" s="619">
        <v>21869.705411669504</v>
      </c>
      <c r="DE64" s="619">
        <v>21869.705411669504</v>
      </c>
      <c r="DF64" s="619">
        <v>21869.705411669504</v>
      </c>
      <c r="DG64" s="619">
        <v>21869.705411669504</v>
      </c>
      <c r="DH64" s="619">
        <v>21869.705411669504</v>
      </c>
      <c r="DI64" s="619">
        <v>21869.705411669504</v>
      </c>
      <c r="DJ64" s="619">
        <v>21869.705411669504</v>
      </c>
      <c r="DK64" s="619">
        <v>22525.79657401959</v>
      </c>
      <c r="DL64" s="619">
        <v>22525.79657401959</v>
      </c>
      <c r="DM64" s="619">
        <v>22525.79657401959</v>
      </c>
      <c r="DN64" s="619">
        <v>22525.79657401959</v>
      </c>
      <c r="DO64" s="619">
        <v>22525.79657401959</v>
      </c>
      <c r="DP64" s="619">
        <v>22525.79657401959</v>
      </c>
      <c r="DQ64" s="619">
        <v>22525.79657401959</v>
      </c>
      <c r="DR64" s="619">
        <v>22525.79657401959</v>
      </c>
      <c r="DS64" s="619">
        <v>22525.79657401959</v>
      </c>
      <c r="DT64" s="619">
        <v>22525.79657401959</v>
      </c>
      <c r="DU64" s="619">
        <v>22525.79657401959</v>
      </c>
      <c r="DV64" s="619">
        <v>22525.79657401959</v>
      </c>
      <c r="DW64" s="619">
        <v>23201.570471240178</v>
      </c>
      <c r="DX64" s="619">
        <v>23201.570471240178</v>
      </c>
      <c r="DY64" s="619">
        <v>23201.570471240178</v>
      </c>
      <c r="DZ64" s="619">
        <v>23201.570471240178</v>
      </c>
      <c r="EA64" s="619">
        <v>23201.570471240178</v>
      </c>
      <c r="EB64" s="619">
        <v>23201.570471240178</v>
      </c>
      <c r="EC64" s="619">
        <v>23201.570471240178</v>
      </c>
      <c r="ED64" s="619">
        <v>23201.570471240178</v>
      </c>
      <c r="EE64" s="619">
        <v>23201.570471240178</v>
      </c>
      <c r="EF64" s="619">
        <v>23201.570471240178</v>
      </c>
      <c r="EG64" s="619">
        <v>23201.570471240178</v>
      </c>
      <c r="EH64" s="619">
        <v>23201.570471240178</v>
      </c>
      <c r="EI64" s="619">
        <v>23897.617585377386</v>
      </c>
      <c r="EJ64" s="619">
        <v>23897.617585377386</v>
      </c>
      <c r="EK64" s="619">
        <v>23897.617585377386</v>
      </c>
      <c r="EL64" s="619">
        <v>23897.617585377386</v>
      </c>
      <c r="EM64" s="619">
        <v>23897.617585377386</v>
      </c>
      <c r="EN64" s="619">
        <v>23897.617585377386</v>
      </c>
      <c r="EO64" s="619">
        <v>23897.617585377386</v>
      </c>
      <c r="EP64" s="619">
        <v>23897.617585377386</v>
      </c>
      <c r="EQ64" s="619">
        <v>23897.617585377386</v>
      </c>
      <c r="ER64" s="619">
        <v>23897.617585377386</v>
      </c>
      <c r="ES64" s="619">
        <v>23897.617585377386</v>
      </c>
      <c r="ET64" s="619">
        <v>23897.617585377386</v>
      </c>
      <c r="EU64" s="619">
        <v>24614.546112938708</v>
      </c>
      <c r="EV64" s="619">
        <v>24614.546112938708</v>
      </c>
      <c r="EW64" s="619">
        <v>24614.546112938708</v>
      </c>
      <c r="EX64" s="619">
        <v>24614.546112938708</v>
      </c>
      <c r="EY64" s="619">
        <v>24614.546112938708</v>
      </c>
      <c r="EZ64" s="619">
        <v>24614.546112938708</v>
      </c>
      <c r="FA64" s="619">
        <v>24614.546112938708</v>
      </c>
      <c r="FB64" s="619">
        <v>24614.546112938708</v>
      </c>
      <c r="FC64" s="619">
        <v>24614.546112938708</v>
      </c>
      <c r="FD64" s="619">
        <v>24614.546112938708</v>
      </c>
      <c r="FE64" s="619">
        <v>24614.546112938708</v>
      </c>
      <c r="FF64" s="619">
        <v>24614.546112938708</v>
      </c>
    </row>
    <row r="65" spans="13:162">
      <c r="M65" s="46" t="s">
        <v>46</v>
      </c>
      <c r="O65" s="715" t="s">
        <v>356</v>
      </c>
      <c r="P65" s="716">
        <v>3812694.6074349</v>
      </c>
      <c r="Q65" s="719">
        <v>3709820.3557585198</v>
      </c>
      <c r="R65" s="719">
        <v>3742844.171832209</v>
      </c>
      <c r="S65" s="719">
        <v>3867360.5515798833</v>
      </c>
      <c r="T65" s="719">
        <v>3998045.9442961533</v>
      </c>
      <c r="U65" s="719">
        <v>4115074.6640415932</v>
      </c>
      <c r="V65" s="719">
        <v>4235292.8507347191</v>
      </c>
      <c r="W65" s="719">
        <v>4360503.6362567618</v>
      </c>
      <c r="X65" s="719">
        <v>4489470.7453444656</v>
      </c>
      <c r="Y65" s="719">
        <v>4622306.8677047994</v>
      </c>
      <c r="Z65" s="719">
        <v>4759128.073735944</v>
      </c>
      <c r="AA65" s="719">
        <v>4900053.9159480231</v>
      </c>
      <c r="AB65" s="727"/>
      <c r="AC65" s="721" t="s">
        <v>356</v>
      </c>
      <c r="AD65" s="716">
        <v>3812694.6074349</v>
      </c>
      <c r="AE65" s="722">
        <v>309665.18293910043</v>
      </c>
      <c r="AF65" s="722">
        <v>309778.29153144528</v>
      </c>
      <c r="AG65" s="722">
        <v>309510.02080091357</v>
      </c>
      <c r="AH65" s="722">
        <v>308946.89266733394</v>
      </c>
      <c r="AI65" s="722">
        <v>308727.69123113819</v>
      </c>
      <c r="AJ65" s="722">
        <v>308802.55959043215</v>
      </c>
      <c r="AK65" s="722">
        <v>308877.46580107557</v>
      </c>
      <c r="AL65" s="722">
        <v>308952.40992348862</v>
      </c>
      <c r="AM65" s="722">
        <v>309027.39201818802</v>
      </c>
      <c r="AN65" s="722">
        <v>309102.41214578704</v>
      </c>
      <c r="AO65" s="722">
        <v>309177.47036699584</v>
      </c>
      <c r="AP65" s="722">
        <v>309252.5667426213</v>
      </c>
      <c r="AQ65" s="722">
        <v>311421.1069560764</v>
      </c>
      <c r="AR65" s="722">
        <v>311508.58357157034</v>
      </c>
      <c r="AS65" s="722">
        <v>311596.13902032311</v>
      </c>
      <c r="AT65" s="722">
        <v>311683.77348031581</v>
      </c>
      <c r="AU65" s="722">
        <v>311771.4871299314</v>
      </c>
      <c r="AV65" s="722">
        <v>311859.28014795569</v>
      </c>
      <c r="AW65" s="722">
        <v>311947.1527135779</v>
      </c>
      <c r="AX65" s="722">
        <v>312035.10500639206</v>
      </c>
      <c r="AY65" s="722">
        <v>312123.13720639748</v>
      </c>
      <c r="AZ65" s="722">
        <v>312211.24949399993</v>
      </c>
      <c r="BA65" s="722">
        <v>312299.44205001247</v>
      </c>
      <c r="BB65" s="722">
        <v>312387.71505565639</v>
      </c>
      <c r="BC65" s="722">
        <v>321540.4652674782</v>
      </c>
      <c r="BD65" s="722">
        <v>321630.17403239117</v>
      </c>
      <c r="BE65" s="722">
        <v>321719.96023506863</v>
      </c>
      <c r="BF65" s="722">
        <v>321809.8240431638</v>
      </c>
      <c r="BG65" s="722">
        <v>321899.76562469266</v>
      </c>
      <c r="BH65" s="722">
        <v>321989.78514803527</v>
      </c>
      <c r="BI65" s="722">
        <v>322079.88278193591</v>
      </c>
      <c r="BJ65" s="722">
        <v>322170.0586955045</v>
      </c>
      <c r="BK65" s="722">
        <v>322328.15809758828</v>
      </c>
      <c r="BL65" s="722">
        <v>322827.87754581525</v>
      </c>
      <c r="BM65" s="722">
        <v>323525.75109957508</v>
      </c>
      <c r="BN65" s="722">
        <v>323838.84900863527</v>
      </c>
      <c r="BO65" s="722">
        <v>332953.81323667534</v>
      </c>
      <c r="BP65" s="722">
        <v>332992.93763333117</v>
      </c>
      <c r="BQ65" s="722">
        <v>333032.14335418039</v>
      </c>
      <c r="BR65" s="722">
        <v>333071.43056826387</v>
      </c>
      <c r="BS65" s="722">
        <v>333110.79944497405</v>
      </c>
      <c r="BT65" s="722">
        <v>333150.25015405507</v>
      </c>
      <c r="BU65" s="722">
        <v>333189.7828656045</v>
      </c>
      <c r="BV65" s="722">
        <v>333229.39775007294</v>
      </c>
      <c r="BW65" s="722">
        <v>333269.09497826546</v>
      </c>
      <c r="BX65" s="722">
        <v>333308.87472134235</v>
      </c>
      <c r="BY65" s="722">
        <v>333348.73715081927</v>
      </c>
      <c r="BZ65" s="722">
        <v>333388.68243856891</v>
      </c>
      <c r="CA65" s="722">
        <v>342713.74471288751</v>
      </c>
      <c r="CB65" s="722">
        <v>342751.52323655557</v>
      </c>
      <c r="CC65" s="722">
        <v>342789.37572845572</v>
      </c>
      <c r="CD65" s="722">
        <v>342827.30233341362</v>
      </c>
      <c r="CE65" s="722">
        <v>342865.30319653847</v>
      </c>
      <c r="CF65" s="722">
        <v>342903.37846322358</v>
      </c>
      <c r="CG65" s="722">
        <v>342941.52827914699</v>
      </c>
      <c r="CH65" s="722">
        <v>342979.75279027189</v>
      </c>
      <c r="CI65" s="722">
        <v>343018.05214284739</v>
      </c>
      <c r="CJ65" s="722">
        <v>343056.42648340872</v>
      </c>
      <c r="CK65" s="722">
        <v>343094.87595877826</v>
      </c>
      <c r="CL65" s="722">
        <v>343133.40071606572</v>
      </c>
      <c r="CM65" s="722">
        <v>352670.77614523313</v>
      </c>
      <c r="CN65" s="722">
        <v>352719.51771326712</v>
      </c>
      <c r="CO65" s="722">
        <v>352768.37949115707</v>
      </c>
      <c r="CP65" s="722">
        <v>352817.36177537288</v>
      </c>
      <c r="CQ65" s="722">
        <v>352866.46486311557</v>
      </c>
      <c r="CR65" s="722">
        <v>352915.68905231939</v>
      </c>
      <c r="CS65" s="722">
        <v>352965.03464165301</v>
      </c>
      <c r="CT65" s="722">
        <v>353014.50193052203</v>
      </c>
      <c r="CU65" s="722">
        <v>353064.09121907031</v>
      </c>
      <c r="CV65" s="722">
        <v>353113.80280818196</v>
      </c>
      <c r="CW65" s="722">
        <v>353163.6369994831</v>
      </c>
      <c r="CX65" s="722">
        <v>353213.59409534401</v>
      </c>
      <c r="CY65" s="722">
        <v>363096.89942959015</v>
      </c>
      <c r="CZ65" s="722">
        <v>363147.1032446652</v>
      </c>
      <c r="DA65" s="722">
        <v>363197.43087589188</v>
      </c>
      <c r="DB65" s="722">
        <v>363247.88262863416</v>
      </c>
      <c r="DC65" s="722">
        <v>363298.45880900911</v>
      </c>
      <c r="DD65" s="722">
        <v>363349.15972388902</v>
      </c>
      <c r="DE65" s="722">
        <v>363399.98568090261</v>
      </c>
      <c r="DF65" s="722">
        <v>363450.93698843772</v>
      </c>
      <c r="DG65" s="722">
        <v>363502.01395564241</v>
      </c>
      <c r="DH65" s="722">
        <v>363553.21689242742</v>
      </c>
      <c r="DI65" s="722">
        <v>363604.54610946769</v>
      </c>
      <c r="DJ65" s="722">
        <v>363656.00191820436</v>
      </c>
      <c r="DK65" s="722">
        <v>373835.80641247792</v>
      </c>
      <c r="DL65" s="722">
        <v>373887.51634200523</v>
      </c>
      <c r="DM65" s="722">
        <v>373939.35380216868</v>
      </c>
      <c r="DN65" s="722">
        <v>373991.31910749315</v>
      </c>
      <c r="DO65" s="722">
        <v>374043.41257327946</v>
      </c>
      <c r="DP65" s="722">
        <v>374095.63451560563</v>
      </c>
      <c r="DQ65" s="722">
        <v>374147.98525132978</v>
      </c>
      <c r="DR65" s="722">
        <v>374200.46509809094</v>
      </c>
      <c r="DS65" s="722">
        <v>374253.07437431178</v>
      </c>
      <c r="DT65" s="722">
        <v>374305.81339920033</v>
      </c>
      <c r="DU65" s="722">
        <v>374358.6824927518</v>
      </c>
      <c r="DV65" s="722">
        <v>374411.68197575054</v>
      </c>
      <c r="DW65" s="722">
        <v>384896.88060485222</v>
      </c>
      <c r="DX65" s="722">
        <v>384950.14183226542</v>
      </c>
      <c r="DY65" s="722">
        <v>385003.53441623377</v>
      </c>
      <c r="DZ65" s="722">
        <v>385057.05868071795</v>
      </c>
      <c r="EA65" s="722">
        <v>385110.71495047782</v>
      </c>
      <c r="EB65" s="722">
        <v>385164.50355107395</v>
      </c>
      <c r="EC65" s="722">
        <v>385218.42480886972</v>
      </c>
      <c r="ED65" s="722">
        <v>385272.47905103362</v>
      </c>
      <c r="EE65" s="722">
        <v>385326.66660554113</v>
      </c>
      <c r="EF65" s="722">
        <v>385380.98780117638</v>
      </c>
      <c r="EG65" s="722">
        <v>385435.4429675343</v>
      </c>
      <c r="EH65" s="722">
        <v>385490.03243502311</v>
      </c>
      <c r="EI65" s="722">
        <v>396289.7870229978</v>
      </c>
      <c r="EJ65" s="722">
        <v>396344.64608723333</v>
      </c>
      <c r="EK65" s="722">
        <v>396399.64044872072</v>
      </c>
      <c r="EL65" s="722">
        <v>396454.77044113952</v>
      </c>
      <c r="EM65" s="722">
        <v>396510.03639899218</v>
      </c>
      <c r="EN65" s="722">
        <v>396565.43865760614</v>
      </c>
      <c r="EO65" s="722">
        <v>396620.97755313577</v>
      </c>
      <c r="EP65" s="722">
        <v>396676.65342256462</v>
      </c>
      <c r="EQ65" s="722">
        <v>396732.46660370735</v>
      </c>
      <c r="ER65" s="722">
        <v>396788.41743521165</v>
      </c>
      <c r="ES65" s="722">
        <v>396844.50625656033</v>
      </c>
      <c r="ET65" s="722">
        <v>396900.73340807378</v>
      </c>
      <c r="EU65" s="722">
        <v>408024.48063368775</v>
      </c>
      <c r="EV65" s="722">
        <v>408080.98546985042</v>
      </c>
      <c r="EW65" s="722">
        <v>408137.62966218241</v>
      </c>
      <c r="EX65" s="722">
        <v>408194.41355437384</v>
      </c>
      <c r="EY65" s="722">
        <v>408251.337490962</v>
      </c>
      <c r="EZ65" s="722">
        <v>408308.40181733435</v>
      </c>
      <c r="FA65" s="722">
        <v>408365.60687972989</v>
      </c>
      <c r="FB65" s="722">
        <v>408422.95302524167</v>
      </c>
      <c r="FC65" s="722">
        <v>408480.44060181867</v>
      </c>
      <c r="FD65" s="722">
        <v>408538.06995826802</v>
      </c>
      <c r="FE65" s="722">
        <v>408595.84144425724</v>
      </c>
      <c r="FF65" s="722">
        <v>408653.75541031611</v>
      </c>
    </row>
    <row r="66" spans="13:162">
      <c r="O66" s="682" t="s">
        <v>622</v>
      </c>
      <c r="P66" s="686">
        <v>12378.878595567858</v>
      </c>
      <c r="Q66" s="725">
        <v>12044.871284930259</v>
      </c>
      <c r="R66" s="725">
        <v>12152.091466987691</v>
      </c>
      <c r="S66" s="725">
        <v>12556.365427207413</v>
      </c>
      <c r="T66" s="725">
        <v>12980.668650312185</v>
      </c>
      <c r="U66" s="725">
        <v>13360.63202610907</v>
      </c>
      <c r="V66" s="725">
        <v>13750.950814073763</v>
      </c>
      <c r="W66" s="725">
        <v>14157.479338495979</v>
      </c>
      <c r="X66" s="725">
        <v>14576.203718650862</v>
      </c>
      <c r="Y66" s="725">
        <v>15007.489830210388</v>
      </c>
      <c r="Z66" s="725">
        <v>15451.714525116702</v>
      </c>
      <c r="AA66" s="725">
        <v>15909.265960870205</v>
      </c>
      <c r="AB66" s="727"/>
      <c r="AC66" s="656" t="s">
        <v>622</v>
      </c>
      <c r="AD66" s="686">
        <v>12378.878595567858</v>
      </c>
      <c r="AE66" s="659">
        <v>1005.4064381139624</v>
      </c>
      <c r="AF66" s="659">
        <v>1005.7736738033938</v>
      </c>
      <c r="AG66" s="659">
        <v>1004.9026649380311</v>
      </c>
      <c r="AH66" s="659">
        <v>1003.0743268419933</v>
      </c>
      <c r="AI66" s="659">
        <v>1002.3626338673317</v>
      </c>
      <c r="AJ66" s="659">
        <v>1002.6057129559485</v>
      </c>
      <c r="AK66" s="659">
        <v>1002.8489149385571</v>
      </c>
      <c r="AL66" s="659">
        <v>1003.0922400113267</v>
      </c>
      <c r="AM66" s="659">
        <v>1003.3356883707403</v>
      </c>
      <c r="AN66" s="659">
        <v>1003.5792602135942</v>
      </c>
      <c r="AO66" s="659">
        <v>1003.8229557369995</v>
      </c>
      <c r="AP66" s="659">
        <v>1004.0667751383809</v>
      </c>
      <c r="AQ66" s="659">
        <v>1011.1074901171312</v>
      </c>
      <c r="AR66" s="659">
        <v>1011.3915051025011</v>
      </c>
      <c r="AS66" s="659">
        <v>1011.6757760400101</v>
      </c>
      <c r="AT66" s="659">
        <v>1011.9603035075189</v>
      </c>
      <c r="AU66" s="659">
        <v>1012.2450880841928</v>
      </c>
      <c r="AV66" s="659">
        <v>1012.5301303505055</v>
      </c>
      <c r="AW66" s="659">
        <v>1012.8154308882399</v>
      </c>
      <c r="AX66" s="659">
        <v>1013.1009902804936</v>
      </c>
      <c r="AY66" s="659">
        <v>1013.3868091116801</v>
      </c>
      <c r="AZ66" s="659">
        <v>1013.6728879675322</v>
      </c>
      <c r="BA66" s="659">
        <v>1013.9592274351054</v>
      </c>
      <c r="BB66" s="659">
        <v>1014.2458281027805</v>
      </c>
      <c r="BC66" s="659">
        <v>1043.9625495697344</v>
      </c>
      <c r="BD66" s="659">
        <v>1044.2538117934778</v>
      </c>
      <c r="BE66" s="659">
        <v>1044.5453254385345</v>
      </c>
      <c r="BF66" s="659">
        <v>1044.8370910492331</v>
      </c>
      <c r="BG66" s="659">
        <v>1045.12910917108</v>
      </c>
      <c r="BH66" s="659">
        <v>1045.4213803507639</v>
      </c>
      <c r="BI66" s="659">
        <v>1045.7139051361555</v>
      </c>
      <c r="BJ66" s="659">
        <v>1046.0066840763134</v>
      </c>
      <c r="BK66" s="659">
        <v>1046.5199938233386</v>
      </c>
      <c r="BL66" s="659">
        <v>1048.1424595643352</v>
      </c>
      <c r="BM66" s="659">
        <v>1050.4082827908283</v>
      </c>
      <c r="BN66" s="659">
        <v>1051.424834443621</v>
      </c>
      <c r="BO66" s="659">
        <v>1081.0188741450497</v>
      </c>
      <c r="BP66" s="659">
        <v>1081.1459014069194</v>
      </c>
      <c r="BQ66" s="659">
        <v>1081.2731927083778</v>
      </c>
      <c r="BR66" s="659">
        <v>1081.4007485982593</v>
      </c>
      <c r="BS66" s="659">
        <v>1081.5285696265391</v>
      </c>
      <c r="BT66" s="659">
        <v>1081.6566563443346</v>
      </c>
      <c r="BU66" s="659">
        <v>1081.7850093039108</v>
      </c>
      <c r="BV66" s="659">
        <v>1081.9136290586785</v>
      </c>
      <c r="BW66" s="659">
        <v>1082.0425161631995</v>
      </c>
      <c r="BX66" s="659">
        <v>1082.1716711731895</v>
      </c>
      <c r="BY66" s="659">
        <v>1082.3010946455172</v>
      </c>
      <c r="BZ66" s="659">
        <v>1082.4307871382107</v>
      </c>
      <c r="CA66" s="659">
        <v>1112.7069633535309</v>
      </c>
      <c r="CB66" s="659">
        <v>1112.8296208979077</v>
      </c>
      <c r="CC66" s="659">
        <v>1112.9525185988823</v>
      </c>
      <c r="CD66" s="659">
        <v>1113.0756569266675</v>
      </c>
      <c r="CE66" s="659">
        <v>1113.1990363523976</v>
      </c>
      <c r="CF66" s="659">
        <v>1113.3226573481286</v>
      </c>
      <c r="CG66" s="659">
        <v>1113.4465203868408</v>
      </c>
      <c r="CH66" s="659">
        <v>1113.5706259424412</v>
      </c>
      <c r="CI66" s="659">
        <v>1113.6949744897643</v>
      </c>
      <c r="CJ66" s="659">
        <v>1113.8195665045737</v>
      </c>
      <c r="CK66" s="659">
        <v>1113.9444024635657</v>
      </c>
      <c r="CL66" s="659">
        <v>1114.0694828443693</v>
      </c>
      <c r="CM66" s="659">
        <v>1145.0349874845231</v>
      </c>
      <c r="CN66" s="659">
        <v>1145.1932393287893</v>
      </c>
      <c r="CO66" s="659">
        <v>1145.3518814647957</v>
      </c>
      <c r="CP66" s="659">
        <v>1145.5109148551066</v>
      </c>
      <c r="CQ66" s="659">
        <v>1145.670340464661</v>
      </c>
      <c r="CR66" s="659">
        <v>1145.8301592607772</v>
      </c>
      <c r="CS66" s="659">
        <v>1145.9903722131592</v>
      </c>
      <c r="CT66" s="659">
        <v>1146.1509802939026</v>
      </c>
      <c r="CU66" s="659">
        <v>1146.311984477501</v>
      </c>
      <c r="CV66" s="659">
        <v>1146.4733857408505</v>
      </c>
      <c r="CW66" s="659">
        <v>1146.6351850632568</v>
      </c>
      <c r="CX66" s="659">
        <v>1146.7973834264417</v>
      </c>
      <c r="CY66" s="659">
        <v>1178.8860371090589</v>
      </c>
      <c r="CZ66" s="659">
        <v>1179.0490365086532</v>
      </c>
      <c r="DA66" s="659">
        <v>1179.21243790874</v>
      </c>
      <c r="DB66" s="659">
        <v>1179.3762423007602</v>
      </c>
      <c r="DC66" s="659">
        <v>1179.540450678601</v>
      </c>
      <c r="DD66" s="659">
        <v>1179.7050640386008</v>
      </c>
      <c r="DE66" s="659">
        <v>1179.870083379554</v>
      </c>
      <c r="DF66" s="659">
        <v>1180.03550970272</v>
      </c>
      <c r="DG66" s="659">
        <v>1180.201344011826</v>
      </c>
      <c r="DH66" s="659">
        <v>1180.367587313076</v>
      </c>
      <c r="DI66" s="659">
        <v>1180.5342406151549</v>
      </c>
      <c r="DJ66" s="659">
        <v>1180.701304929235</v>
      </c>
      <c r="DK66" s="659">
        <v>1213.752618222331</v>
      </c>
      <c r="DL66" s="659">
        <v>1213.9205076039132</v>
      </c>
      <c r="DM66" s="659">
        <v>1214.0888110460023</v>
      </c>
      <c r="DN66" s="659">
        <v>1214.2575295697829</v>
      </c>
      <c r="DO66" s="659">
        <v>1214.4266641989593</v>
      </c>
      <c r="DP66" s="659">
        <v>1214.5962159597586</v>
      </c>
      <c r="DQ66" s="659">
        <v>1214.7661858809408</v>
      </c>
      <c r="DR66" s="659">
        <v>1214.9365749938017</v>
      </c>
      <c r="DS66" s="659">
        <v>1215.107384332181</v>
      </c>
      <c r="DT66" s="659">
        <v>1215.2786149324686</v>
      </c>
      <c r="DU66" s="659">
        <v>1215.4502678336098</v>
      </c>
      <c r="DV66" s="659">
        <v>1215.6223440771121</v>
      </c>
      <c r="DW66" s="659">
        <v>1249.6651967690007</v>
      </c>
      <c r="DX66" s="659">
        <v>1249.8381228320306</v>
      </c>
      <c r="DY66" s="659">
        <v>1250.0114753773823</v>
      </c>
      <c r="DZ66" s="659">
        <v>1250.1852554568763</v>
      </c>
      <c r="EA66" s="659">
        <v>1250.3594641249281</v>
      </c>
      <c r="EB66" s="659">
        <v>1250.5341024385518</v>
      </c>
      <c r="EC66" s="659">
        <v>1250.7091714573692</v>
      </c>
      <c r="ED66" s="659">
        <v>1250.8846722436156</v>
      </c>
      <c r="EE66" s="659">
        <v>1251.0606058621465</v>
      </c>
      <c r="EF66" s="659">
        <v>1251.2369733804428</v>
      </c>
      <c r="EG66" s="659">
        <v>1251.4137758686179</v>
      </c>
      <c r="EH66" s="659">
        <v>1251.5910143994256</v>
      </c>
      <c r="EI66" s="659">
        <v>1286.6551526720707</v>
      </c>
      <c r="EJ66" s="659">
        <v>1286.8332665169912</v>
      </c>
      <c r="EK66" s="659">
        <v>1287.0118196387036</v>
      </c>
      <c r="EL66" s="659">
        <v>1287.1908131205828</v>
      </c>
      <c r="EM66" s="659">
        <v>1287.3702480486759</v>
      </c>
      <c r="EN66" s="659">
        <v>1287.5501255117083</v>
      </c>
      <c r="EO66" s="659">
        <v>1287.7304466010901</v>
      </c>
      <c r="EP66" s="659">
        <v>1287.911212410924</v>
      </c>
      <c r="EQ66" s="659">
        <v>1288.0924240380109</v>
      </c>
      <c r="ER66" s="659">
        <v>1288.274082581856</v>
      </c>
      <c r="ES66" s="659">
        <v>1288.4561891446765</v>
      </c>
      <c r="ET66" s="659">
        <v>1288.6387448314083</v>
      </c>
      <c r="EU66" s="659">
        <v>1324.7548072522329</v>
      </c>
      <c r="EV66" s="659">
        <v>1324.9382645125013</v>
      </c>
      <c r="EW66" s="659">
        <v>1325.1221742278649</v>
      </c>
      <c r="EX66" s="659">
        <v>1325.3065375142007</v>
      </c>
      <c r="EY66" s="659">
        <v>1325.4913554901364</v>
      </c>
      <c r="EZ66" s="659">
        <v>1325.6766292770596</v>
      </c>
      <c r="FA66" s="659">
        <v>1325.8623599991231</v>
      </c>
      <c r="FB66" s="659">
        <v>1326.0485487832523</v>
      </c>
      <c r="FC66" s="659">
        <v>1326.2351967591514</v>
      </c>
      <c r="FD66" s="659">
        <v>1326.4223050593118</v>
      </c>
      <c r="FE66" s="659">
        <v>1326.609874819017</v>
      </c>
      <c r="FF66" s="659">
        <v>1326.7979071763509</v>
      </c>
    </row>
    <row r="67" spans="13:162">
      <c r="O67" s="682" t="s">
        <v>623</v>
      </c>
      <c r="P67" s="785">
        <v>12.819917040237859</v>
      </c>
      <c r="Q67" s="787">
        <v>12.474009615736573</v>
      </c>
      <c r="R67" s="787">
        <v>12.585049870991005</v>
      </c>
      <c r="S67" s="787">
        <v>13.00372742659777</v>
      </c>
      <c r="T67" s="787">
        <v>13.443147853748279</v>
      </c>
      <c r="U67" s="787">
        <v>13.836648680050011</v>
      </c>
      <c r="V67" s="787">
        <v>14.240873864288035</v>
      </c>
      <c r="W67" s="787">
        <v>14.661886310395158</v>
      </c>
      <c r="X67" s="787">
        <v>15.095529129885495</v>
      </c>
      <c r="Y67" s="787">
        <v>15.542181233960537</v>
      </c>
      <c r="Z67" s="787">
        <v>16.002232901157832</v>
      </c>
      <c r="AA67" s="787">
        <v>16.476086118371047</v>
      </c>
      <c r="AB67" s="747"/>
      <c r="AC67" s="656" t="s">
        <v>623</v>
      </c>
      <c r="AD67" s="785">
        <v>12.819917040237859</v>
      </c>
      <c r="AE67" s="788">
        <v>1.0412273639194509</v>
      </c>
      <c r="AF67" s="788">
        <v>1.0416076835935135</v>
      </c>
      <c r="AG67" s="788">
        <v>1.0407056421598686</v>
      </c>
      <c r="AH67" s="788">
        <v>1.0388121634790854</v>
      </c>
      <c r="AI67" s="788">
        <v>1.0380751140910618</v>
      </c>
      <c r="AJ67" s="788">
        <v>1.0383268536752437</v>
      </c>
      <c r="AK67" s="788">
        <v>1.0385787205319215</v>
      </c>
      <c r="AL67" s="788">
        <v>1.0388307148642542</v>
      </c>
      <c r="AM67" s="788">
        <v>1.0390828368757246</v>
      </c>
      <c r="AN67" s="788">
        <v>1.039335086770141</v>
      </c>
      <c r="AO67" s="788">
        <v>1.039587464751637</v>
      </c>
      <c r="AP67" s="788">
        <v>1.0398399710246711</v>
      </c>
      <c r="AQ67" s="788">
        <v>1.0471315347341543</v>
      </c>
      <c r="AR67" s="788">
        <v>1.0474256686916461</v>
      </c>
      <c r="AS67" s="788">
        <v>1.0477200677204177</v>
      </c>
      <c r="AT67" s="788">
        <v>1.0480147324189177</v>
      </c>
      <c r="AU67" s="788">
        <v>1.0483096633869464</v>
      </c>
      <c r="AV67" s="788">
        <v>1.0486048612256582</v>
      </c>
      <c r="AW67" s="788">
        <v>1.0489003265375647</v>
      </c>
      <c r="AX67" s="788">
        <v>1.0491960599265377</v>
      </c>
      <c r="AY67" s="788">
        <v>1.0494920619978128</v>
      </c>
      <c r="AZ67" s="788">
        <v>1.0497883333579909</v>
      </c>
      <c r="BA67" s="788">
        <v>1.0500848746150437</v>
      </c>
      <c r="BB67" s="788">
        <v>1.0503816863783149</v>
      </c>
      <c r="BC67" s="788">
        <v>1.081157164219305</v>
      </c>
      <c r="BD67" s="788">
        <v>1.0814588036219794</v>
      </c>
      <c r="BE67" s="788">
        <v>1.081760703403682</v>
      </c>
      <c r="BF67" s="788">
        <v>1.0820628641281347</v>
      </c>
      <c r="BG67" s="788">
        <v>1.0823652863602797</v>
      </c>
      <c r="BH67" s="788">
        <v>1.0826679706662832</v>
      </c>
      <c r="BI67" s="788">
        <v>1.0829709176135354</v>
      </c>
      <c r="BJ67" s="788">
        <v>1.0832741277706572</v>
      </c>
      <c r="BK67" s="788">
        <v>1.0838057258731835</v>
      </c>
      <c r="BL67" s="788">
        <v>1.0854859973161599</v>
      </c>
      <c r="BM67" s="788">
        <v>1.0878325479804412</v>
      </c>
      <c r="BN67" s="788">
        <v>1.0888853176441313</v>
      </c>
      <c r="BO67" s="788">
        <v>1.1195337427764096</v>
      </c>
      <c r="BP67" s="788">
        <v>1.1196652958041289</v>
      </c>
      <c r="BQ67" s="788">
        <v>1.1197971222787197</v>
      </c>
      <c r="BR67" s="788">
        <v>1.1199292227685702</v>
      </c>
      <c r="BS67" s="788">
        <v>1.1200615978432504</v>
      </c>
      <c r="BT67" s="788">
        <v>1.120194248073513</v>
      </c>
      <c r="BU67" s="788">
        <v>1.1203271740312992</v>
      </c>
      <c r="BV67" s="788">
        <v>1.1204603762897372</v>
      </c>
      <c r="BW67" s="788">
        <v>1.1205938554231465</v>
      </c>
      <c r="BX67" s="788">
        <v>1.1207276120070422</v>
      </c>
      <c r="BY67" s="788">
        <v>1.1208616466181331</v>
      </c>
      <c r="BZ67" s="788">
        <v>1.1209959598343293</v>
      </c>
      <c r="CA67" s="788">
        <v>1.1523508248473038</v>
      </c>
      <c r="CB67" s="788">
        <v>1.1524778524719088</v>
      </c>
      <c r="CC67" s="788">
        <v>1.1526051288094838</v>
      </c>
      <c r="CD67" s="788">
        <v>1.1527326543469947</v>
      </c>
      <c r="CE67" s="788">
        <v>1.152860429572361</v>
      </c>
      <c r="CF67" s="788">
        <v>1.1529884549744576</v>
      </c>
      <c r="CG67" s="788">
        <v>1.1531167310431163</v>
      </c>
      <c r="CH67" s="788">
        <v>1.1532452582691284</v>
      </c>
      <c r="CI67" s="788">
        <v>1.1533740371442462</v>
      </c>
      <c r="CJ67" s="788">
        <v>1.1535030681611838</v>
      </c>
      <c r="CK67" s="788">
        <v>1.1536323518136213</v>
      </c>
      <c r="CL67" s="788">
        <v>1.1537618885962049</v>
      </c>
      <c r="CM67" s="788">
        <v>1.1858306416364039</v>
      </c>
      <c r="CN67" s="788">
        <v>1.185994531725421</v>
      </c>
      <c r="CO67" s="788">
        <v>1.1861588260116107</v>
      </c>
      <c r="CP67" s="788">
        <v>1.1863235254918321</v>
      </c>
      <c r="CQ67" s="788">
        <v>1.1864886311654033</v>
      </c>
      <c r="CR67" s="788">
        <v>1.1866541440341065</v>
      </c>
      <c r="CS67" s="788">
        <v>1.1868200651021943</v>
      </c>
      <c r="CT67" s="788">
        <v>1.1869863953763971</v>
      </c>
      <c r="CU67" s="788">
        <v>1.1871531358659275</v>
      </c>
      <c r="CV67" s="788">
        <v>1.1873202875824869</v>
      </c>
      <c r="CW67" s="788">
        <v>1.187487851540272</v>
      </c>
      <c r="CX67" s="788">
        <v>1.187655828755982</v>
      </c>
      <c r="CY67" s="788">
        <v>1.2208877467337027</v>
      </c>
      <c r="CZ67" s="788">
        <v>1.2210565535253903</v>
      </c>
      <c r="DA67" s="788">
        <v>1.221225776640166</v>
      </c>
      <c r="DB67" s="788">
        <v>1.2213954171047938</v>
      </c>
      <c r="DC67" s="788">
        <v>1.2215654759485721</v>
      </c>
      <c r="DD67" s="788">
        <v>1.2217359542033364</v>
      </c>
      <c r="DE67" s="788">
        <v>1.2219068529034667</v>
      </c>
      <c r="DF67" s="788">
        <v>1.2220781730858958</v>
      </c>
      <c r="DG67" s="788">
        <v>1.2222499157901119</v>
      </c>
      <c r="DH67" s="788">
        <v>1.2224220820581679</v>
      </c>
      <c r="DI67" s="788">
        <v>1.2225946729346873</v>
      </c>
      <c r="DJ67" s="788">
        <v>1.222767689466868</v>
      </c>
      <c r="DK67" s="788">
        <v>1.2569965649839205</v>
      </c>
      <c r="DL67" s="788">
        <v>1.257170435979359</v>
      </c>
      <c r="DM67" s="788">
        <v>1.2573447357875775</v>
      </c>
      <c r="DN67" s="788">
        <v>1.2575194654661441</v>
      </c>
      <c r="DO67" s="788">
        <v>1.257694626075236</v>
      </c>
      <c r="DP67" s="788">
        <v>1.2578702186776427</v>
      </c>
      <c r="DQ67" s="788">
        <v>1.2580462443387774</v>
      </c>
      <c r="DR67" s="788">
        <v>1.2582227041266794</v>
      </c>
      <c r="DS67" s="788">
        <v>1.2583995991120218</v>
      </c>
      <c r="DT67" s="788">
        <v>1.2585769303681198</v>
      </c>
      <c r="DU67" s="788">
        <v>1.2587546989709346</v>
      </c>
      <c r="DV67" s="788">
        <v>1.2589329059990804</v>
      </c>
      <c r="DW67" s="788">
        <v>1.2941886477816444</v>
      </c>
      <c r="DX67" s="788">
        <v>1.2943677349069462</v>
      </c>
      <c r="DY67" s="788">
        <v>1.2945472637094113</v>
      </c>
      <c r="DZ67" s="788">
        <v>1.294727235278335</v>
      </c>
      <c r="EA67" s="788">
        <v>1.2949076507056996</v>
      </c>
      <c r="EB67" s="788">
        <v>1.295088511086179</v>
      </c>
      <c r="EC67" s="788">
        <v>1.2952698175171473</v>
      </c>
      <c r="ED67" s="788">
        <v>1.295451571098686</v>
      </c>
      <c r="EE67" s="788">
        <v>1.2956337729335892</v>
      </c>
      <c r="EF67" s="788">
        <v>1.2958164241273702</v>
      </c>
      <c r="EG67" s="788">
        <v>1.2959995257882688</v>
      </c>
      <c r="EH67" s="788">
        <v>1.2961830790272595</v>
      </c>
      <c r="EI67" s="788">
        <v>1.3324964930633003</v>
      </c>
      <c r="EJ67" s="788">
        <v>1.3326809528023607</v>
      </c>
      <c r="EK67" s="788">
        <v>1.3328658674689</v>
      </c>
      <c r="EL67" s="788">
        <v>1.3330512381848916</v>
      </c>
      <c r="EM67" s="788">
        <v>1.333237066075077</v>
      </c>
      <c r="EN67" s="788">
        <v>1.3334233522669707</v>
      </c>
      <c r="EO67" s="788">
        <v>1.333610097890868</v>
      </c>
      <c r="EP67" s="788">
        <v>1.333797304079853</v>
      </c>
      <c r="EQ67" s="788">
        <v>1.3339849719698031</v>
      </c>
      <c r="ER67" s="788">
        <v>1.3341731026993975</v>
      </c>
      <c r="ES67" s="788">
        <v>1.3343616974101236</v>
      </c>
      <c r="ET67" s="788">
        <v>1.3345507572462836</v>
      </c>
      <c r="EU67" s="788">
        <v>1.3719535737034059</v>
      </c>
      <c r="EV67" s="788">
        <v>1.3721435672346385</v>
      </c>
      <c r="EW67" s="788">
        <v>1.3723340293411737</v>
      </c>
      <c r="EX67" s="788">
        <v>1.3725249611786452</v>
      </c>
      <c r="EY67" s="788">
        <v>1.372716363905536</v>
      </c>
      <c r="EZ67" s="788">
        <v>1.3729082386831863</v>
      </c>
      <c r="FA67" s="788">
        <v>1.373100586675801</v>
      </c>
      <c r="FB67" s="788">
        <v>1.3732934090504556</v>
      </c>
      <c r="FC67" s="788">
        <v>1.373486706977104</v>
      </c>
      <c r="FD67" s="788">
        <v>1.3736804816285861</v>
      </c>
      <c r="FE67" s="788">
        <v>1.3738747341806339</v>
      </c>
      <c r="FF67" s="788">
        <v>1.3740694658118791</v>
      </c>
    </row>
    <row r="68" spans="13:162">
      <c r="M68" s="34" t="s">
        <v>47</v>
      </c>
      <c r="O68" s="640" t="s">
        <v>624</v>
      </c>
      <c r="P68" s="641">
        <v>0.53700410982528024</v>
      </c>
      <c r="Q68" s="642">
        <v>0.5459317144141812</v>
      </c>
      <c r="R68" s="642">
        <v>0.5235141482394885</v>
      </c>
      <c r="S68" s="642">
        <v>0.49270161060341516</v>
      </c>
      <c r="T68" s="642">
        <v>0.46123929010935766</v>
      </c>
      <c r="U68" s="642">
        <v>0.46286273784880166</v>
      </c>
      <c r="V68" s="642">
        <v>0.46499571123311823</v>
      </c>
      <c r="W68" s="642">
        <v>0.46479872755412782</v>
      </c>
      <c r="X68" s="642">
        <v>0.46460748126384555</v>
      </c>
      <c r="Y68" s="642">
        <v>0.4644218052538629</v>
      </c>
      <c r="Z68" s="642">
        <v>0.46424153728300599</v>
      </c>
      <c r="AA68" s="642">
        <v>0.46406651983557201</v>
      </c>
      <c r="AB68" s="789"/>
      <c r="AC68" s="763" t="s">
        <v>624</v>
      </c>
      <c r="AD68" s="641">
        <v>0.53700410982528024</v>
      </c>
      <c r="AE68" s="642">
        <v>0.52986688371890223</v>
      </c>
      <c r="AF68" s="642">
        <v>0.52646130129177093</v>
      </c>
      <c r="AG68" s="642">
        <v>0.53461512311554804</v>
      </c>
      <c r="AH68" s="642">
        <v>0.55262995732797637</v>
      </c>
      <c r="AI68" s="642">
        <v>0.55999385235229238</v>
      </c>
      <c r="AJ68" s="642">
        <v>0.55745556211857328</v>
      </c>
      <c r="AK68" s="642">
        <v>0.55494012757580935</v>
      </c>
      <c r="AL68" s="642">
        <v>0.55244724035641346</v>
      </c>
      <c r="AM68" s="642">
        <v>0.54997659761509421</v>
      </c>
      <c r="AN68" s="642">
        <v>0.54752790190579281</v>
      </c>
      <c r="AO68" s="642">
        <v>0.54510086106189271</v>
      </c>
      <c r="AP68" s="642">
        <v>0.54269518807960737</v>
      </c>
      <c r="AQ68" s="642">
        <v>0.53809970669847962</v>
      </c>
      <c r="AR68" s="642">
        <v>0.53539235105812955</v>
      </c>
      <c r="AS68" s="642">
        <v>0.53271119827381364</v>
      </c>
      <c r="AT68" s="642">
        <v>0.53005586762409251</v>
      </c>
      <c r="AU68" s="642">
        <v>0.52742598572890342</v>
      </c>
      <c r="AV68" s="642">
        <v>0.52482118637346908</v>
      </c>
      <c r="AW68" s="642">
        <v>0.52224111033724752</v>
      </c>
      <c r="AX68" s="642">
        <v>0.51968540522776263</v>
      </c>
      <c r="AY68" s="642">
        <v>0.51715372531914616</v>
      </c>
      <c r="AZ68" s="642">
        <v>0.51464573139524228</v>
      </c>
      <c r="BA68" s="642">
        <v>0.51216109059712056</v>
      </c>
      <c r="BB68" s="642">
        <v>0.50969947627485623</v>
      </c>
      <c r="BC68" s="642">
        <v>0.51202048249822096</v>
      </c>
      <c r="BD68" s="642">
        <v>0.50959193686114612</v>
      </c>
      <c r="BE68" s="642">
        <v>0.50718559017420073</v>
      </c>
      <c r="BF68" s="642">
        <v>0.50480113766860257</v>
      </c>
      <c r="BG68" s="642">
        <v>0.50243828012997827</v>
      </c>
      <c r="BH68" s="642">
        <v>0.50009672377240999</v>
      </c>
      <c r="BI68" s="642">
        <v>0.49777618011589309</v>
      </c>
      <c r="BJ68" s="642">
        <v>0.49547636586709948</v>
      </c>
      <c r="BK68" s="642">
        <v>0.49149817524599571</v>
      </c>
      <c r="BL68" s="642">
        <v>0.47935778627824799</v>
      </c>
      <c r="BM68" s="642">
        <v>0.46343073401513207</v>
      </c>
      <c r="BN68" s="642">
        <v>0.45664495375753589</v>
      </c>
      <c r="BO68" s="642">
        <v>0.46587574766344886</v>
      </c>
      <c r="BP68" s="642">
        <v>0.46503125045496102</v>
      </c>
      <c r="BQ68" s="642">
        <v>0.46418826146972703</v>
      </c>
      <c r="BR68" s="642">
        <v>0.46334677848341915</v>
      </c>
      <c r="BS68" s="642">
        <v>0.46250679927316884</v>
      </c>
      <c r="BT68" s="642">
        <v>0.46166832161757237</v>
      </c>
      <c r="BU68" s="642">
        <v>0.46083134329669889</v>
      </c>
      <c r="BV68" s="642">
        <v>0.45999586209209631</v>
      </c>
      <c r="BW68" s="642">
        <v>0.4591618757867984</v>
      </c>
      <c r="BX68" s="642">
        <v>0.45832938216533148</v>
      </c>
      <c r="BY68" s="642">
        <v>0.45749837901372065</v>
      </c>
      <c r="BZ68" s="642">
        <v>0.45666886411949725</v>
      </c>
      <c r="CA68" s="642">
        <v>0.46723953076597446</v>
      </c>
      <c r="CB68" s="642">
        <v>0.46644242021036958</v>
      </c>
      <c r="CC68" s="642">
        <v>0.46564664734977662</v>
      </c>
      <c r="CD68" s="642">
        <v>0.46485221033818408</v>
      </c>
      <c r="CE68" s="642">
        <v>0.46405910733067057</v>
      </c>
      <c r="CF68" s="642">
        <v>0.46326733648341023</v>
      </c>
      <c r="CG68" s="642">
        <v>0.46247689595367736</v>
      </c>
      <c r="CH68" s="642">
        <v>0.46168778389985232</v>
      </c>
      <c r="CI68" s="642">
        <v>0.4608999984814261</v>
      </c>
      <c r="CJ68" s="642">
        <v>0.46011353785900583</v>
      </c>
      <c r="CK68" s="642">
        <v>0.4593284001943197</v>
      </c>
      <c r="CL68" s="642">
        <v>0.45854458365022188</v>
      </c>
      <c r="CM68" s="642">
        <v>0.47055873723252761</v>
      </c>
      <c r="CN68" s="642">
        <v>0.46954511980777786</v>
      </c>
      <c r="CO68" s="642">
        <v>0.46853365538719122</v>
      </c>
      <c r="CP68" s="642">
        <v>0.46752434017708949</v>
      </c>
      <c r="CQ68" s="642">
        <v>0.46651717038688673</v>
      </c>
      <c r="CR68" s="642">
        <v>0.46551214222910503</v>
      </c>
      <c r="CS68" s="642">
        <v>0.46450925191938935</v>
      </c>
      <c r="CT68" s="642">
        <v>0.46350849567652402</v>
      </c>
      <c r="CU68" s="642">
        <v>0.46250986972244712</v>
      </c>
      <c r="CV68" s="642">
        <v>0.46151337028226647</v>
      </c>
      <c r="CW68" s="642">
        <v>0.46051899358427395</v>
      </c>
      <c r="CX68" s="642">
        <v>0.45952673585996168</v>
      </c>
      <c r="CY68" s="642">
        <v>0.47035924413933011</v>
      </c>
      <c r="CZ68" s="642">
        <v>0.46934608394522531</v>
      </c>
      <c r="DA68" s="642">
        <v>0.46833507578408945</v>
      </c>
      <c r="DB68" s="642">
        <v>0.46732621586395545</v>
      </c>
      <c r="DC68" s="642">
        <v>0.46631950039594722</v>
      </c>
      <c r="DD68" s="642">
        <v>0.46531492559429538</v>
      </c>
      <c r="DE68" s="642">
        <v>0.46431248767635191</v>
      </c>
      <c r="DF68" s="642">
        <v>0.46331218286260695</v>
      </c>
      <c r="DG68" s="642">
        <v>0.46231400737670275</v>
      </c>
      <c r="DH68" s="642">
        <v>0.46131795744544984</v>
      </c>
      <c r="DI68" s="642">
        <v>0.46032402929884181</v>
      </c>
      <c r="DJ68" s="642">
        <v>0.45933221917007006</v>
      </c>
      <c r="DK68" s="642">
        <v>0.47016556152457534</v>
      </c>
      <c r="DL68" s="642">
        <v>0.46915284524371809</v>
      </c>
      <c r="DM68" s="642">
        <v>0.46814228005292263</v>
      </c>
      <c r="DN68" s="642">
        <v>0.46713386216188341</v>
      </c>
      <c r="DO68" s="642">
        <v>0.46612758778338453</v>
      </c>
      <c r="DP68" s="642">
        <v>0.46512345313331488</v>
      </c>
      <c r="DQ68" s="642">
        <v>0.46412145443068453</v>
      </c>
      <c r="DR68" s="642">
        <v>0.46312158789763891</v>
      </c>
      <c r="DS68" s="642">
        <v>0.46212384975947518</v>
      </c>
      <c r="DT68" s="642">
        <v>0.46112823624465704</v>
      </c>
      <c r="DU68" s="642">
        <v>0.46013474358482981</v>
      </c>
      <c r="DV68" s="642">
        <v>0.45914336801483546</v>
      </c>
      <c r="DW68" s="642">
        <v>0.46997752015102695</v>
      </c>
      <c r="DX68" s="642">
        <v>0.46896523485390523</v>
      </c>
      <c r="DY68" s="642">
        <v>0.46795509973140154</v>
      </c>
      <c r="DZ68" s="642">
        <v>0.46694711099482328</v>
      </c>
      <c r="EA68" s="642">
        <v>0.46594126485856641</v>
      </c>
      <c r="EB68" s="642">
        <v>0.46493755754013039</v>
      </c>
      <c r="EC68" s="642">
        <v>0.46393598526013374</v>
      </c>
      <c r="ED68" s="642">
        <v>0.46293654424233011</v>
      </c>
      <c r="EE68" s="642">
        <v>0.46193923071362314</v>
      </c>
      <c r="EF68" s="642">
        <v>0.46094404090408159</v>
      </c>
      <c r="EG68" s="642">
        <v>0.45995097104695404</v>
      </c>
      <c r="EH68" s="642">
        <v>0.45896001737868547</v>
      </c>
      <c r="EI68" s="642">
        <v>0.46979495571068869</v>
      </c>
      <c r="EJ68" s="642">
        <v>0.46878308884437819</v>
      </c>
      <c r="EK68" s="642">
        <v>0.46777337126390522</v>
      </c>
      <c r="EL68" s="642">
        <v>0.4667657991821435</v>
      </c>
      <c r="EM68" s="642">
        <v>0.46576036881505362</v>
      </c>
      <c r="EN68" s="642">
        <v>0.4647570763816985</v>
      </c>
      <c r="EO68" s="642">
        <v>0.46375591810425904</v>
      </c>
      <c r="EP68" s="642">
        <v>0.46275689020804972</v>
      </c>
      <c r="EQ68" s="642">
        <v>0.4617599889215338</v>
      </c>
      <c r="ER68" s="642">
        <v>0.46076521047633817</v>
      </c>
      <c r="ES68" s="642">
        <v>0.45977255110726889</v>
      </c>
      <c r="ET68" s="642">
        <v>0.45878200705232614</v>
      </c>
      <c r="EU68" s="642">
        <v>0.46961770868123404</v>
      </c>
      <c r="EV68" s="642">
        <v>0.4686062480584296</v>
      </c>
      <c r="EW68" s="642">
        <v>0.46759693585856915</v>
      </c>
      <c r="EX68" s="642">
        <v>0.46658976829604681</v>
      </c>
      <c r="EY68" s="642">
        <v>0.46558474158834223</v>
      </c>
      <c r="EZ68" s="642">
        <v>0.46458185195603652</v>
      </c>
      <c r="FA68" s="642">
        <v>0.46358109562282723</v>
      </c>
      <c r="FB68" s="642">
        <v>0.46258246881554455</v>
      </c>
      <c r="FC68" s="642">
        <v>0.46158596776416549</v>
      </c>
      <c r="FD68" s="642">
        <v>0.46059158870183009</v>
      </c>
      <c r="FE68" s="642">
        <v>0.45959932786485608</v>
      </c>
      <c r="FF68" s="642">
        <v>0.45860918149275393</v>
      </c>
    </row>
    <row r="69" spans="13:162" ht="13.5" thickBot="1">
      <c r="O69" s="790"/>
      <c r="P69" s="771"/>
      <c r="Q69" s="791"/>
      <c r="R69" s="791"/>
      <c r="S69" s="791"/>
      <c r="T69" s="791"/>
      <c r="U69" s="791"/>
      <c r="V69" s="791"/>
      <c r="W69" s="791"/>
      <c r="X69" s="791"/>
      <c r="Y69" s="791"/>
      <c r="Z69" s="791"/>
      <c r="AA69" s="791"/>
      <c r="AB69" s="792"/>
      <c r="AC69" s="713"/>
      <c r="AD69" s="771"/>
      <c r="AE69" s="656"/>
      <c r="AF69" s="656"/>
      <c r="AG69" s="662"/>
      <c r="AH69" s="662"/>
      <c r="AI69" s="662"/>
      <c r="AJ69" s="662"/>
      <c r="AK69" s="662"/>
      <c r="AL69" s="662"/>
      <c r="AM69" s="662"/>
      <c r="AN69" s="662"/>
      <c r="AO69" s="662"/>
      <c r="AP69" s="662"/>
      <c r="AQ69" s="662"/>
      <c r="AR69" s="662"/>
      <c r="AS69" s="662"/>
      <c r="AT69" s="662"/>
      <c r="AU69" s="662"/>
      <c r="AV69" s="662"/>
      <c r="AW69" s="662"/>
      <c r="AX69" s="662"/>
      <c r="AY69" s="662"/>
      <c r="AZ69" s="662"/>
      <c r="BA69" s="662"/>
      <c r="BB69" s="662"/>
      <c r="BC69" s="662"/>
      <c r="BD69" s="662"/>
      <c r="BE69" s="662"/>
      <c r="BF69" s="662"/>
      <c r="BG69" s="662"/>
      <c r="BH69" s="662"/>
      <c r="BI69" s="662"/>
      <c r="BJ69" s="662"/>
      <c r="BK69" s="662"/>
      <c r="BL69" s="662"/>
      <c r="BM69" s="662"/>
      <c r="BN69" s="662"/>
      <c r="BO69" s="662"/>
      <c r="BP69" s="662"/>
      <c r="BQ69" s="662"/>
      <c r="BR69" s="662"/>
      <c r="BS69" s="662"/>
      <c r="BT69" s="662"/>
      <c r="BU69" s="662"/>
      <c r="BV69" s="662"/>
      <c r="BW69" s="662"/>
      <c r="BX69" s="662"/>
      <c r="BY69" s="662"/>
      <c r="BZ69" s="662"/>
      <c r="CA69" s="662"/>
      <c r="CB69" s="662"/>
      <c r="CC69" s="662"/>
      <c r="CD69" s="662"/>
      <c r="CE69" s="662"/>
      <c r="CF69" s="662"/>
      <c r="CG69" s="662"/>
      <c r="CH69" s="662"/>
      <c r="CI69" s="662"/>
      <c r="CJ69" s="662"/>
      <c r="CK69" s="662"/>
      <c r="CL69" s="662"/>
      <c r="CM69" s="662"/>
      <c r="CN69" s="662"/>
      <c r="CO69" s="662"/>
      <c r="CP69" s="662"/>
      <c r="CQ69" s="662"/>
      <c r="CR69" s="662"/>
      <c r="CS69" s="662"/>
      <c r="CT69" s="662"/>
      <c r="CU69" s="662"/>
      <c r="CV69" s="662"/>
      <c r="CW69" s="662"/>
      <c r="CX69" s="662"/>
      <c r="CY69" s="662"/>
      <c r="CZ69" s="662"/>
      <c r="DA69" s="662"/>
      <c r="DB69" s="662"/>
      <c r="DC69" s="662"/>
      <c r="DD69" s="662"/>
      <c r="DE69" s="662"/>
      <c r="DF69" s="662"/>
      <c r="DG69" s="662"/>
      <c r="DH69" s="662"/>
      <c r="DI69" s="662"/>
      <c r="DJ69" s="662"/>
      <c r="DK69" s="662"/>
      <c r="DL69" s="662"/>
      <c r="DM69" s="662"/>
      <c r="DN69" s="662"/>
      <c r="DO69" s="662"/>
      <c r="DP69" s="662"/>
      <c r="DQ69" s="662"/>
      <c r="DR69" s="662"/>
      <c r="DS69" s="662"/>
      <c r="DT69" s="662"/>
      <c r="DU69" s="662"/>
      <c r="DV69" s="662"/>
      <c r="DW69" s="662"/>
      <c r="DX69" s="662"/>
      <c r="DY69" s="662"/>
      <c r="DZ69" s="662"/>
      <c r="EA69" s="662"/>
      <c r="EB69" s="662"/>
      <c r="EC69" s="662"/>
      <c r="ED69" s="662"/>
      <c r="EE69" s="662"/>
      <c r="EF69" s="662"/>
      <c r="EG69" s="662"/>
      <c r="EH69" s="662"/>
      <c r="EI69" s="662"/>
      <c r="EJ69" s="662"/>
      <c r="EK69" s="662"/>
      <c r="EL69" s="662"/>
      <c r="EM69" s="662"/>
      <c r="EN69" s="662"/>
      <c r="EO69" s="662"/>
      <c r="EP69" s="662"/>
      <c r="EQ69" s="662"/>
      <c r="ER69" s="662"/>
      <c r="ES69" s="662"/>
      <c r="ET69" s="662"/>
      <c r="EU69" s="662"/>
      <c r="EV69" s="662"/>
      <c r="EW69" s="662"/>
      <c r="EX69" s="662"/>
      <c r="EY69" s="662"/>
      <c r="EZ69" s="662"/>
      <c r="FA69" s="662"/>
      <c r="FB69" s="662"/>
      <c r="FC69" s="662"/>
      <c r="FD69" s="662"/>
      <c r="FE69" s="662"/>
      <c r="FF69" s="662"/>
    </row>
    <row r="70" spans="13:162" ht="13.5" thickBot="1">
      <c r="O70" s="793" t="s">
        <v>625</v>
      </c>
      <c r="P70" s="794">
        <v>3287241.012565101</v>
      </c>
      <c r="Q70" s="797">
        <v>3085572.2873294316</v>
      </c>
      <c r="R70" s="797">
        <v>3406617.1835464719</v>
      </c>
      <c r="S70" s="797">
        <v>3981934.9821682191</v>
      </c>
      <c r="T70" s="797">
        <v>4670005.6073143687</v>
      </c>
      <c r="U70" s="797">
        <v>4775411.2782202344</v>
      </c>
      <c r="V70" s="797">
        <v>4872947.8242237261</v>
      </c>
      <c r="W70" s="797">
        <v>5020984.2589504439</v>
      </c>
      <c r="X70" s="797">
        <v>5173461.7867189683</v>
      </c>
      <c r="Y70" s="797">
        <v>5330513.6403205451</v>
      </c>
      <c r="Z70" s="797">
        <v>5492277.0495301699</v>
      </c>
      <c r="AA70" s="797">
        <v>5658893.3610160844</v>
      </c>
      <c r="AB70" s="656"/>
      <c r="AC70" s="798" t="s">
        <v>625</v>
      </c>
      <c r="AD70" s="794">
        <v>3287241.012565101</v>
      </c>
      <c r="AE70" s="799">
        <v>274755.53187458438</v>
      </c>
      <c r="AF70" s="799">
        <v>278637.78154239041</v>
      </c>
      <c r="AG70" s="799">
        <v>269429.8696331589</v>
      </c>
      <c r="AH70" s="799">
        <v>250101.50594124757</v>
      </c>
      <c r="AI70" s="799">
        <v>242577.80959589139</v>
      </c>
      <c r="AJ70" s="799">
        <v>245147.53181568516</v>
      </c>
      <c r="AK70" s="799">
        <v>247718.55321519275</v>
      </c>
      <c r="AL70" s="799">
        <v>250290.87586823117</v>
      </c>
      <c r="AM70" s="799">
        <v>252864.50185192795</v>
      </c>
      <c r="AN70" s="799">
        <v>255439.43324672582</v>
      </c>
      <c r="AO70" s="799">
        <v>258015.67213638889</v>
      </c>
      <c r="AP70" s="799">
        <v>260593.22060800722</v>
      </c>
      <c r="AQ70" s="799">
        <v>267321.2768054874</v>
      </c>
      <c r="AR70" s="799">
        <v>270323.75481712038</v>
      </c>
      <c r="AS70" s="799">
        <v>273328.93863904051</v>
      </c>
      <c r="AT70" s="799">
        <v>276336.8343801318</v>
      </c>
      <c r="AU70" s="799">
        <v>279347.44816307042</v>
      </c>
      <c r="AV70" s="799">
        <v>282360.78612435533</v>
      </c>
      <c r="AW70" s="799">
        <v>285376.85441434017</v>
      </c>
      <c r="AX70" s="799">
        <v>288395.65919726371</v>
      </c>
      <c r="AY70" s="799">
        <v>291417.20665128215</v>
      </c>
      <c r="AZ70" s="799">
        <v>294441.50296849961</v>
      </c>
      <c r="BA70" s="799">
        <v>297468.55435500044</v>
      </c>
      <c r="BB70" s="799">
        <v>300498.36703088041</v>
      </c>
      <c r="BC70" s="799">
        <v>306443.1335499683</v>
      </c>
      <c r="BD70" s="799">
        <v>309522.2260889418</v>
      </c>
      <c r="BE70" s="799">
        <v>312603.97654036089</v>
      </c>
      <c r="BF70" s="799">
        <v>315688.39065862051</v>
      </c>
      <c r="BG70" s="799">
        <v>318775.47421057383</v>
      </c>
      <c r="BH70" s="799">
        <v>321865.23297555919</v>
      </c>
      <c r="BI70" s="799">
        <v>324957.67274542729</v>
      </c>
      <c r="BJ70" s="799">
        <v>328052.79932456795</v>
      </c>
      <c r="BK70" s="799">
        <v>333479.27788376092</v>
      </c>
      <c r="BL70" s="799">
        <v>350631.25212069781</v>
      </c>
      <c r="BM70" s="799">
        <v>374584.5108085426</v>
      </c>
      <c r="BN70" s="799">
        <v>385331.03526119841</v>
      </c>
      <c r="BO70" s="799">
        <v>381729.90856376267</v>
      </c>
      <c r="BP70" s="799">
        <v>383072.78334251547</v>
      </c>
      <c r="BQ70" s="799">
        <v>384418.44942842005</v>
      </c>
      <c r="BR70" s="799">
        <v>385766.91262350348</v>
      </c>
      <c r="BS70" s="799">
        <v>387118.1787418524</v>
      </c>
      <c r="BT70" s="799">
        <v>388472.25360963924</v>
      </c>
      <c r="BU70" s="799">
        <v>389829.14306514664</v>
      </c>
      <c r="BV70" s="799">
        <v>391188.85295879253</v>
      </c>
      <c r="BW70" s="799">
        <v>392551.38915315561</v>
      </c>
      <c r="BX70" s="799">
        <v>393916.75752300082</v>
      </c>
      <c r="BY70" s="799">
        <v>395284.96395530412</v>
      </c>
      <c r="BZ70" s="799">
        <v>396656.01434927818</v>
      </c>
      <c r="CA70" s="799">
        <v>390772.44844173669</v>
      </c>
      <c r="CB70" s="799">
        <v>392069.12854286801</v>
      </c>
      <c r="CC70" s="799">
        <v>393368.34747096628</v>
      </c>
      <c r="CD70" s="799">
        <v>394670.11019691243</v>
      </c>
      <c r="CE70" s="799">
        <v>395974.4217013201</v>
      </c>
      <c r="CF70" s="799">
        <v>397281.28697455453</v>
      </c>
      <c r="CG70" s="799">
        <v>398590.71101675229</v>
      </c>
      <c r="CH70" s="799">
        <v>399902.6988378393</v>
      </c>
      <c r="CI70" s="799">
        <v>401217.25545755116</v>
      </c>
      <c r="CJ70" s="799">
        <v>402534.38590545143</v>
      </c>
      <c r="CK70" s="799">
        <v>403854.09522095142</v>
      </c>
      <c r="CL70" s="799">
        <v>405176.38845332962</v>
      </c>
      <c r="CM70" s="799">
        <v>396801.60262596392</v>
      </c>
      <c r="CN70" s="799">
        <v>398474.56957202568</v>
      </c>
      <c r="CO70" s="799">
        <v>400151.66250589659</v>
      </c>
      <c r="CP70" s="799">
        <v>401832.89160337579</v>
      </c>
      <c r="CQ70" s="799">
        <v>403518.26706535846</v>
      </c>
      <c r="CR70" s="799">
        <v>405207.79911789787</v>
      </c>
      <c r="CS70" s="799">
        <v>406901.49801226781</v>
      </c>
      <c r="CT70" s="799">
        <v>408599.37402502424</v>
      </c>
      <c r="CU70" s="799">
        <v>410301.43745806819</v>
      </c>
      <c r="CV70" s="799">
        <v>412007.69863870752</v>
      </c>
      <c r="CW70" s="799">
        <v>413718.16791972041</v>
      </c>
      <c r="CX70" s="799">
        <v>415432.8556794172</v>
      </c>
      <c r="CY70" s="799">
        <v>408859.65070474363</v>
      </c>
      <c r="CZ70" s="799">
        <v>410582.80665918731</v>
      </c>
      <c r="DA70" s="799">
        <v>412310.21238107438</v>
      </c>
      <c r="DB70" s="799">
        <v>414041.87835147785</v>
      </c>
      <c r="DC70" s="799">
        <v>415777.81507731992</v>
      </c>
      <c r="DD70" s="799">
        <v>417518.0330914355</v>
      </c>
      <c r="DE70" s="799">
        <v>419262.54295263661</v>
      </c>
      <c r="DF70" s="799">
        <v>421011.35524577572</v>
      </c>
      <c r="DG70" s="799">
        <v>422764.48058181087</v>
      </c>
      <c r="DH70" s="799">
        <v>424521.9295978694</v>
      </c>
      <c r="DI70" s="799">
        <v>426283.71295731253</v>
      </c>
      <c r="DJ70" s="799">
        <v>428049.84134980058</v>
      </c>
      <c r="DK70" s="799">
        <v>421279.4402258867</v>
      </c>
      <c r="DL70" s="799">
        <v>423054.29085896374</v>
      </c>
      <c r="DM70" s="799">
        <v>424833.51875250746</v>
      </c>
      <c r="DN70" s="799">
        <v>426617.13470202312</v>
      </c>
      <c r="DO70" s="799">
        <v>428405.14952964033</v>
      </c>
      <c r="DP70" s="799">
        <v>430197.57408417959</v>
      </c>
      <c r="DQ70" s="799">
        <v>431994.41924121656</v>
      </c>
      <c r="DR70" s="799">
        <v>433795.6959031499</v>
      </c>
      <c r="DS70" s="799">
        <v>435601.4149992661</v>
      </c>
      <c r="DT70" s="799">
        <v>437411.58748580632</v>
      </c>
      <c r="DU70" s="799">
        <v>439226.22434603277</v>
      </c>
      <c r="DV70" s="799">
        <v>441045.33659029537</v>
      </c>
      <c r="DW70" s="799">
        <v>434071.82343266404</v>
      </c>
      <c r="DX70" s="799">
        <v>435899.91958473343</v>
      </c>
      <c r="DY70" s="799">
        <v>437732.5243150834</v>
      </c>
      <c r="DZ70" s="799">
        <v>439569.64874308452</v>
      </c>
      <c r="EA70" s="799">
        <v>441411.30401553027</v>
      </c>
      <c r="EB70" s="799">
        <v>443257.50130670541</v>
      </c>
      <c r="EC70" s="799">
        <v>445108.25181845366</v>
      </c>
      <c r="ED70" s="799">
        <v>446963.56678024505</v>
      </c>
      <c r="EE70" s="799">
        <v>448823.4574492448</v>
      </c>
      <c r="EF70" s="799">
        <v>450687.93511038111</v>
      </c>
      <c r="EG70" s="799">
        <v>452557.01107641461</v>
      </c>
      <c r="EH70" s="799">
        <v>454430.69668800489</v>
      </c>
      <c r="EI70" s="799">
        <v>447247.97813564475</v>
      </c>
      <c r="EJ70" s="799">
        <v>449130.91717227618</v>
      </c>
      <c r="EK70" s="799">
        <v>451018.50004453672</v>
      </c>
      <c r="EL70" s="799">
        <v>452910.73820537789</v>
      </c>
      <c r="EM70" s="799">
        <v>454807.643135997</v>
      </c>
      <c r="EN70" s="799">
        <v>456709.22634590743</v>
      </c>
      <c r="EO70" s="799">
        <v>458615.49937300809</v>
      </c>
      <c r="EP70" s="799">
        <v>460526.47378365323</v>
      </c>
      <c r="EQ70" s="799">
        <v>462442.16117272287</v>
      </c>
      <c r="ER70" s="799">
        <v>464362.57316369348</v>
      </c>
      <c r="ES70" s="799">
        <v>466287.72140870779</v>
      </c>
      <c r="ET70" s="799">
        <v>468217.6175886459</v>
      </c>
      <c r="EU70" s="799">
        <v>460819.41747971502</v>
      </c>
      <c r="EV70" s="799">
        <v>462758.84468744526</v>
      </c>
      <c r="EW70" s="799">
        <v>464703.05504587351</v>
      </c>
      <c r="EX70" s="799">
        <v>466652.06035153981</v>
      </c>
      <c r="EY70" s="799">
        <v>468605.87243007764</v>
      </c>
      <c r="EZ70" s="799">
        <v>470564.50313628546</v>
      </c>
      <c r="FA70" s="799">
        <v>472527.96435419924</v>
      </c>
      <c r="FB70" s="799">
        <v>474496.26799716364</v>
      </c>
      <c r="FC70" s="799">
        <v>476469.42600790545</v>
      </c>
      <c r="FD70" s="799">
        <v>478447.45035860519</v>
      </c>
      <c r="FE70" s="799">
        <v>480430.35305096995</v>
      </c>
      <c r="FF70" s="799">
        <v>482418.14611630625</v>
      </c>
    </row>
    <row r="71" spans="13:162">
      <c r="M71" s="41"/>
      <c r="O71" s="682"/>
      <c r="P71" s="634"/>
      <c r="Q71" s="635"/>
      <c r="R71" s="635"/>
      <c r="S71" s="635"/>
      <c r="T71" s="635"/>
      <c r="U71" s="635"/>
      <c r="V71" s="635"/>
      <c r="W71" s="635"/>
      <c r="X71" s="635"/>
      <c r="Y71" s="635"/>
      <c r="Z71" s="635"/>
      <c r="AA71" s="635"/>
      <c r="AB71" s="727"/>
      <c r="AC71" s="713"/>
      <c r="AD71" s="634"/>
      <c r="AE71" s="635"/>
      <c r="AF71" s="635"/>
      <c r="AG71" s="635"/>
      <c r="AH71" s="635"/>
      <c r="AI71" s="635"/>
      <c r="AJ71" s="635"/>
      <c r="AK71" s="635"/>
      <c r="AL71" s="635"/>
      <c r="AM71" s="635"/>
      <c r="AN71" s="635"/>
      <c r="AO71" s="635"/>
      <c r="AP71" s="635"/>
      <c r="AQ71" s="635"/>
      <c r="AR71" s="635"/>
      <c r="AS71" s="635"/>
      <c r="AT71" s="635"/>
      <c r="AU71" s="635"/>
      <c r="AV71" s="635"/>
      <c r="AW71" s="635"/>
      <c r="AX71" s="635"/>
      <c r="AY71" s="635"/>
      <c r="AZ71" s="635"/>
      <c r="BA71" s="635"/>
      <c r="BB71" s="635"/>
      <c r="BC71" s="635"/>
      <c r="BD71" s="635"/>
      <c r="BE71" s="635"/>
      <c r="BF71" s="635"/>
      <c r="BG71" s="635"/>
      <c r="BH71" s="635"/>
      <c r="BI71" s="635"/>
      <c r="BJ71" s="635"/>
      <c r="BK71" s="635"/>
      <c r="BL71" s="635"/>
      <c r="BM71" s="635"/>
      <c r="BN71" s="635"/>
      <c r="BO71" s="635"/>
      <c r="BP71" s="635"/>
      <c r="BQ71" s="635"/>
      <c r="BR71" s="635"/>
      <c r="BS71" s="635"/>
      <c r="BT71" s="635"/>
      <c r="BU71" s="635"/>
      <c r="BV71" s="635"/>
      <c r="BW71" s="635"/>
      <c r="BX71" s="635"/>
      <c r="BY71" s="635"/>
      <c r="BZ71" s="635"/>
      <c r="CA71" s="635"/>
      <c r="CB71" s="635"/>
      <c r="CC71" s="635"/>
      <c r="CD71" s="635"/>
      <c r="CE71" s="635"/>
      <c r="CF71" s="635"/>
      <c r="CG71" s="635"/>
      <c r="CH71" s="635"/>
      <c r="CI71" s="635"/>
      <c r="CJ71" s="635"/>
      <c r="CK71" s="635"/>
      <c r="CL71" s="635"/>
      <c r="CM71" s="635"/>
      <c r="CN71" s="635"/>
      <c r="CO71" s="635"/>
      <c r="CP71" s="635"/>
      <c r="CQ71" s="635"/>
      <c r="CR71" s="635"/>
      <c r="CS71" s="635"/>
      <c r="CT71" s="635"/>
      <c r="CU71" s="635"/>
      <c r="CV71" s="635"/>
      <c r="CW71" s="635"/>
      <c r="CX71" s="635"/>
      <c r="CY71" s="635"/>
      <c r="CZ71" s="635"/>
      <c r="DA71" s="635"/>
      <c r="DB71" s="635"/>
      <c r="DC71" s="635"/>
      <c r="DD71" s="635"/>
      <c r="DE71" s="635"/>
      <c r="DF71" s="635"/>
      <c r="DG71" s="635"/>
      <c r="DH71" s="635"/>
      <c r="DI71" s="635"/>
      <c r="DJ71" s="635"/>
      <c r="DK71" s="635"/>
      <c r="DL71" s="635"/>
      <c r="DM71" s="635"/>
      <c r="DN71" s="635"/>
      <c r="DO71" s="635"/>
      <c r="DP71" s="635"/>
      <c r="DQ71" s="635"/>
      <c r="DR71" s="635"/>
      <c r="DS71" s="635"/>
      <c r="DT71" s="635"/>
      <c r="DU71" s="635"/>
      <c r="DV71" s="635"/>
      <c r="DW71" s="635"/>
      <c r="DX71" s="635"/>
      <c r="DY71" s="635"/>
      <c r="DZ71" s="635"/>
      <c r="EA71" s="635"/>
      <c r="EB71" s="635"/>
      <c r="EC71" s="635"/>
      <c r="ED71" s="635"/>
      <c r="EE71" s="635"/>
      <c r="EF71" s="635"/>
      <c r="EG71" s="635"/>
      <c r="EH71" s="635"/>
      <c r="EI71" s="635"/>
      <c r="EJ71" s="635"/>
      <c r="EK71" s="635"/>
      <c r="EL71" s="635"/>
      <c r="EM71" s="635"/>
      <c r="EN71" s="635"/>
      <c r="EO71" s="635"/>
      <c r="EP71" s="635"/>
      <c r="EQ71" s="635"/>
      <c r="ER71" s="635"/>
      <c r="ES71" s="635"/>
      <c r="ET71" s="635"/>
      <c r="EU71" s="635"/>
      <c r="EV71" s="635"/>
      <c r="EW71" s="635"/>
      <c r="EX71" s="635"/>
      <c r="EY71" s="635"/>
      <c r="EZ71" s="635"/>
      <c r="FA71" s="635"/>
      <c r="FB71" s="635"/>
      <c r="FC71" s="635"/>
      <c r="FD71" s="635"/>
      <c r="FE71" s="635"/>
      <c r="FF71" s="635"/>
    </row>
    <row r="72" spans="13:162">
      <c r="O72" s="682" t="s">
        <v>626</v>
      </c>
      <c r="P72" s="634">
        <v>0</v>
      </c>
      <c r="Q72" s="635">
        <v>0</v>
      </c>
      <c r="R72" s="635">
        <v>0</v>
      </c>
      <c r="S72" s="635">
        <v>0</v>
      </c>
      <c r="T72" s="635">
        <v>0</v>
      </c>
      <c r="U72" s="635">
        <v>0</v>
      </c>
      <c r="V72" s="635">
        <v>0</v>
      </c>
      <c r="W72" s="635">
        <v>0</v>
      </c>
      <c r="X72" s="635">
        <v>0</v>
      </c>
      <c r="Y72" s="635">
        <v>0</v>
      </c>
      <c r="Z72" s="635">
        <v>0</v>
      </c>
      <c r="AA72" s="635">
        <v>0</v>
      </c>
      <c r="AB72" s="727"/>
      <c r="AC72" s="656" t="s">
        <v>626</v>
      </c>
      <c r="AD72" s="634">
        <v>0</v>
      </c>
      <c r="AE72" s="635">
        <v>0</v>
      </c>
      <c r="AF72" s="635">
        <v>0</v>
      </c>
      <c r="AG72" s="635">
        <v>0</v>
      </c>
      <c r="AH72" s="635">
        <v>0</v>
      </c>
      <c r="AI72" s="635">
        <v>0</v>
      </c>
      <c r="AJ72" s="635">
        <v>0</v>
      </c>
      <c r="AK72" s="635">
        <v>0</v>
      </c>
      <c r="AL72" s="635">
        <v>0</v>
      </c>
      <c r="AM72" s="635">
        <v>0</v>
      </c>
      <c r="AN72" s="635">
        <v>0</v>
      </c>
      <c r="AO72" s="635">
        <v>0</v>
      </c>
      <c r="AP72" s="635">
        <v>0</v>
      </c>
      <c r="AQ72" s="635">
        <v>0</v>
      </c>
      <c r="AR72" s="635">
        <v>0</v>
      </c>
      <c r="AS72" s="635">
        <v>0</v>
      </c>
      <c r="AT72" s="635">
        <v>0</v>
      </c>
      <c r="AU72" s="635">
        <v>0</v>
      </c>
      <c r="AV72" s="635">
        <v>0</v>
      </c>
      <c r="AW72" s="635">
        <v>0</v>
      </c>
      <c r="AX72" s="635">
        <v>0</v>
      </c>
      <c r="AY72" s="635">
        <v>0</v>
      </c>
      <c r="AZ72" s="635">
        <v>0</v>
      </c>
      <c r="BA72" s="635">
        <v>0</v>
      </c>
      <c r="BB72" s="635">
        <v>0</v>
      </c>
      <c r="BC72" s="635">
        <v>0</v>
      </c>
      <c r="BD72" s="635">
        <v>0</v>
      </c>
      <c r="BE72" s="635">
        <v>0</v>
      </c>
      <c r="BF72" s="635">
        <v>0</v>
      </c>
      <c r="BG72" s="635">
        <v>0</v>
      </c>
      <c r="BH72" s="635">
        <v>0</v>
      </c>
      <c r="BI72" s="635">
        <v>0</v>
      </c>
      <c r="BJ72" s="635">
        <v>0</v>
      </c>
      <c r="BK72" s="635">
        <v>0</v>
      </c>
      <c r="BL72" s="635">
        <v>0</v>
      </c>
      <c r="BM72" s="635">
        <v>0</v>
      </c>
      <c r="BN72" s="635">
        <v>0</v>
      </c>
      <c r="BO72" s="635">
        <v>0</v>
      </c>
      <c r="BP72" s="635">
        <v>0</v>
      </c>
      <c r="BQ72" s="635">
        <v>0</v>
      </c>
      <c r="BR72" s="635">
        <v>0</v>
      </c>
      <c r="BS72" s="635">
        <v>0</v>
      </c>
      <c r="BT72" s="635">
        <v>0</v>
      </c>
      <c r="BU72" s="635">
        <v>0</v>
      </c>
      <c r="BV72" s="635">
        <v>0</v>
      </c>
      <c r="BW72" s="635">
        <v>0</v>
      </c>
      <c r="BX72" s="635">
        <v>0</v>
      </c>
      <c r="BY72" s="635">
        <v>0</v>
      </c>
      <c r="BZ72" s="635">
        <v>0</v>
      </c>
      <c r="CA72" s="635">
        <v>0</v>
      </c>
      <c r="CB72" s="635">
        <v>0</v>
      </c>
      <c r="CC72" s="635">
        <v>0</v>
      </c>
      <c r="CD72" s="635">
        <v>0</v>
      </c>
      <c r="CE72" s="635">
        <v>0</v>
      </c>
      <c r="CF72" s="635">
        <v>0</v>
      </c>
      <c r="CG72" s="635">
        <v>0</v>
      </c>
      <c r="CH72" s="635">
        <v>0</v>
      </c>
      <c r="CI72" s="635">
        <v>0</v>
      </c>
      <c r="CJ72" s="635">
        <v>0</v>
      </c>
      <c r="CK72" s="635">
        <v>0</v>
      </c>
      <c r="CL72" s="635">
        <v>0</v>
      </c>
      <c r="CM72" s="635">
        <v>0</v>
      </c>
      <c r="CN72" s="635">
        <v>0</v>
      </c>
      <c r="CO72" s="635">
        <v>0</v>
      </c>
      <c r="CP72" s="635">
        <v>0</v>
      </c>
      <c r="CQ72" s="635">
        <v>0</v>
      </c>
      <c r="CR72" s="635">
        <v>0</v>
      </c>
      <c r="CS72" s="635">
        <v>0</v>
      </c>
      <c r="CT72" s="635">
        <v>0</v>
      </c>
      <c r="CU72" s="635">
        <v>0</v>
      </c>
      <c r="CV72" s="635">
        <v>0</v>
      </c>
      <c r="CW72" s="635">
        <v>0</v>
      </c>
      <c r="CX72" s="635">
        <v>0</v>
      </c>
      <c r="CY72" s="635">
        <v>0</v>
      </c>
      <c r="CZ72" s="635">
        <v>0</v>
      </c>
      <c r="DA72" s="635">
        <v>0</v>
      </c>
      <c r="DB72" s="635">
        <v>0</v>
      </c>
      <c r="DC72" s="635">
        <v>0</v>
      </c>
      <c r="DD72" s="635">
        <v>0</v>
      </c>
      <c r="DE72" s="635">
        <v>0</v>
      </c>
      <c r="DF72" s="635">
        <v>0</v>
      </c>
      <c r="DG72" s="635">
        <v>0</v>
      </c>
      <c r="DH72" s="635">
        <v>0</v>
      </c>
      <c r="DI72" s="635">
        <v>0</v>
      </c>
      <c r="DJ72" s="635">
        <v>0</v>
      </c>
      <c r="DK72" s="635">
        <v>0</v>
      </c>
      <c r="DL72" s="635">
        <v>0</v>
      </c>
      <c r="DM72" s="635">
        <v>0</v>
      </c>
      <c r="DN72" s="635">
        <v>0</v>
      </c>
      <c r="DO72" s="635">
        <v>0</v>
      </c>
      <c r="DP72" s="635">
        <v>0</v>
      </c>
      <c r="DQ72" s="635">
        <v>0</v>
      </c>
      <c r="DR72" s="635">
        <v>0</v>
      </c>
      <c r="DS72" s="635">
        <v>0</v>
      </c>
      <c r="DT72" s="635">
        <v>0</v>
      </c>
      <c r="DU72" s="635">
        <v>0</v>
      </c>
      <c r="DV72" s="635">
        <v>0</v>
      </c>
      <c r="DW72" s="635">
        <v>0</v>
      </c>
      <c r="DX72" s="635">
        <v>0</v>
      </c>
      <c r="DY72" s="635">
        <v>0</v>
      </c>
      <c r="DZ72" s="635">
        <v>0</v>
      </c>
      <c r="EA72" s="635">
        <v>0</v>
      </c>
      <c r="EB72" s="635">
        <v>0</v>
      </c>
      <c r="EC72" s="635">
        <v>0</v>
      </c>
      <c r="ED72" s="635">
        <v>0</v>
      </c>
      <c r="EE72" s="635">
        <v>0</v>
      </c>
      <c r="EF72" s="635">
        <v>0</v>
      </c>
      <c r="EG72" s="635">
        <v>0</v>
      </c>
      <c r="EH72" s="635">
        <v>0</v>
      </c>
      <c r="EI72" s="635">
        <v>0</v>
      </c>
      <c r="EJ72" s="635">
        <v>0</v>
      </c>
      <c r="EK72" s="635">
        <v>0</v>
      </c>
      <c r="EL72" s="635">
        <v>0</v>
      </c>
      <c r="EM72" s="635">
        <v>0</v>
      </c>
      <c r="EN72" s="635">
        <v>0</v>
      </c>
      <c r="EO72" s="635">
        <v>0</v>
      </c>
      <c r="EP72" s="635">
        <v>0</v>
      </c>
      <c r="EQ72" s="635">
        <v>0</v>
      </c>
      <c r="ER72" s="635">
        <v>0</v>
      </c>
      <c r="ES72" s="635">
        <v>0</v>
      </c>
      <c r="ET72" s="635">
        <v>0</v>
      </c>
      <c r="EU72" s="635">
        <v>0</v>
      </c>
      <c r="EV72" s="635">
        <v>0</v>
      </c>
      <c r="EW72" s="635">
        <v>0</v>
      </c>
      <c r="EX72" s="635">
        <v>0</v>
      </c>
      <c r="EY72" s="635">
        <v>0</v>
      </c>
      <c r="EZ72" s="635">
        <v>0</v>
      </c>
      <c r="FA72" s="635">
        <v>0</v>
      </c>
      <c r="FB72" s="635">
        <v>0</v>
      </c>
      <c r="FC72" s="635">
        <v>0</v>
      </c>
      <c r="FD72" s="635">
        <v>0</v>
      </c>
      <c r="FE72" s="635">
        <v>0</v>
      </c>
      <c r="FF72" s="635">
        <v>0</v>
      </c>
    </row>
    <row r="73" spans="13:162">
      <c r="M73" s="46"/>
      <c r="O73" s="682" t="s">
        <v>627</v>
      </c>
      <c r="P73" s="634">
        <v>0</v>
      </c>
      <c r="Q73" s="635">
        <v>0</v>
      </c>
      <c r="R73" s="635">
        <v>0</v>
      </c>
      <c r="S73" s="635">
        <v>0</v>
      </c>
      <c r="T73" s="635">
        <v>0</v>
      </c>
      <c r="U73" s="635">
        <v>0</v>
      </c>
      <c r="V73" s="635">
        <v>0</v>
      </c>
      <c r="W73" s="635">
        <v>0</v>
      </c>
      <c r="X73" s="635">
        <v>0</v>
      </c>
      <c r="Y73" s="635">
        <v>0</v>
      </c>
      <c r="Z73" s="635">
        <v>0</v>
      </c>
      <c r="AA73" s="635">
        <v>0</v>
      </c>
      <c r="AB73" s="727"/>
      <c r="AC73" s="656" t="s">
        <v>627</v>
      </c>
      <c r="AD73" s="634">
        <v>0</v>
      </c>
      <c r="AE73" s="635">
        <v>0</v>
      </c>
      <c r="AF73" s="635">
        <v>0</v>
      </c>
      <c r="AG73" s="635">
        <v>0</v>
      </c>
      <c r="AH73" s="635">
        <v>0</v>
      </c>
      <c r="AI73" s="635">
        <v>0</v>
      </c>
      <c r="AJ73" s="635">
        <v>0</v>
      </c>
      <c r="AK73" s="635">
        <v>0</v>
      </c>
      <c r="AL73" s="635">
        <v>0</v>
      </c>
      <c r="AM73" s="635">
        <v>0</v>
      </c>
      <c r="AN73" s="635">
        <v>0</v>
      </c>
      <c r="AO73" s="635">
        <v>0</v>
      </c>
      <c r="AP73" s="635">
        <v>0</v>
      </c>
      <c r="AQ73" s="635">
        <v>0</v>
      </c>
      <c r="AR73" s="635">
        <v>0</v>
      </c>
      <c r="AS73" s="635">
        <v>0</v>
      </c>
      <c r="AT73" s="635">
        <v>0</v>
      </c>
      <c r="AU73" s="635">
        <v>0</v>
      </c>
      <c r="AV73" s="635">
        <v>0</v>
      </c>
      <c r="AW73" s="635">
        <v>0</v>
      </c>
      <c r="AX73" s="635">
        <v>0</v>
      </c>
      <c r="AY73" s="635">
        <v>0</v>
      </c>
      <c r="AZ73" s="635">
        <v>0</v>
      </c>
      <c r="BA73" s="635">
        <v>0</v>
      </c>
      <c r="BB73" s="635">
        <v>0</v>
      </c>
      <c r="BC73" s="635">
        <v>0</v>
      </c>
      <c r="BD73" s="635">
        <v>0</v>
      </c>
      <c r="BE73" s="635">
        <v>0</v>
      </c>
      <c r="BF73" s="635">
        <v>0</v>
      </c>
      <c r="BG73" s="635">
        <v>0</v>
      </c>
      <c r="BH73" s="635">
        <v>0</v>
      </c>
      <c r="BI73" s="635">
        <v>0</v>
      </c>
      <c r="BJ73" s="635">
        <v>0</v>
      </c>
      <c r="BK73" s="635">
        <v>0</v>
      </c>
      <c r="BL73" s="635">
        <v>0</v>
      </c>
      <c r="BM73" s="635">
        <v>0</v>
      </c>
      <c r="BN73" s="635">
        <v>0</v>
      </c>
      <c r="BO73" s="635">
        <v>0</v>
      </c>
      <c r="BP73" s="635">
        <v>0</v>
      </c>
      <c r="BQ73" s="635">
        <v>0</v>
      </c>
      <c r="BR73" s="635">
        <v>0</v>
      </c>
      <c r="BS73" s="635">
        <v>0</v>
      </c>
      <c r="BT73" s="635">
        <v>0</v>
      </c>
      <c r="BU73" s="635">
        <v>0</v>
      </c>
      <c r="BV73" s="635">
        <v>0</v>
      </c>
      <c r="BW73" s="635">
        <v>0</v>
      </c>
      <c r="BX73" s="635">
        <v>0</v>
      </c>
      <c r="BY73" s="635">
        <v>0</v>
      </c>
      <c r="BZ73" s="635">
        <v>0</v>
      </c>
      <c r="CA73" s="635">
        <v>0</v>
      </c>
      <c r="CB73" s="635">
        <v>0</v>
      </c>
      <c r="CC73" s="635">
        <v>0</v>
      </c>
      <c r="CD73" s="635">
        <v>0</v>
      </c>
      <c r="CE73" s="635">
        <v>0</v>
      </c>
      <c r="CF73" s="635">
        <v>0</v>
      </c>
      <c r="CG73" s="635">
        <v>0</v>
      </c>
      <c r="CH73" s="635">
        <v>0</v>
      </c>
      <c r="CI73" s="635">
        <v>0</v>
      </c>
      <c r="CJ73" s="635">
        <v>0</v>
      </c>
      <c r="CK73" s="635">
        <v>0</v>
      </c>
      <c r="CL73" s="635">
        <v>0</v>
      </c>
      <c r="CM73" s="635">
        <v>0</v>
      </c>
      <c r="CN73" s="635">
        <v>0</v>
      </c>
      <c r="CO73" s="635">
        <v>0</v>
      </c>
      <c r="CP73" s="635">
        <v>0</v>
      </c>
      <c r="CQ73" s="635">
        <v>0</v>
      </c>
      <c r="CR73" s="635">
        <v>0</v>
      </c>
      <c r="CS73" s="635">
        <v>0</v>
      </c>
      <c r="CT73" s="635">
        <v>0</v>
      </c>
      <c r="CU73" s="635">
        <v>0</v>
      </c>
      <c r="CV73" s="635">
        <v>0</v>
      </c>
      <c r="CW73" s="635">
        <v>0</v>
      </c>
      <c r="CX73" s="635">
        <v>0</v>
      </c>
      <c r="CY73" s="635">
        <v>0</v>
      </c>
      <c r="CZ73" s="635">
        <v>0</v>
      </c>
      <c r="DA73" s="635">
        <v>0</v>
      </c>
      <c r="DB73" s="635">
        <v>0</v>
      </c>
      <c r="DC73" s="635">
        <v>0</v>
      </c>
      <c r="DD73" s="635">
        <v>0</v>
      </c>
      <c r="DE73" s="635">
        <v>0</v>
      </c>
      <c r="DF73" s="635">
        <v>0</v>
      </c>
      <c r="DG73" s="635">
        <v>0</v>
      </c>
      <c r="DH73" s="635">
        <v>0</v>
      </c>
      <c r="DI73" s="635">
        <v>0</v>
      </c>
      <c r="DJ73" s="635">
        <v>0</v>
      </c>
      <c r="DK73" s="635">
        <v>0</v>
      </c>
      <c r="DL73" s="635">
        <v>0</v>
      </c>
      <c r="DM73" s="635">
        <v>0</v>
      </c>
      <c r="DN73" s="635">
        <v>0</v>
      </c>
      <c r="DO73" s="635">
        <v>0</v>
      </c>
      <c r="DP73" s="635">
        <v>0</v>
      </c>
      <c r="DQ73" s="635">
        <v>0</v>
      </c>
      <c r="DR73" s="635">
        <v>0</v>
      </c>
      <c r="DS73" s="635">
        <v>0</v>
      </c>
      <c r="DT73" s="635">
        <v>0</v>
      </c>
      <c r="DU73" s="635">
        <v>0</v>
      </c>
      <c r="DV73" s="635">
        <v>0</v>
      </c>
      <c r="DW73" s="635">
        <v>0</v>
      </c>
      <c r="DX73" s="635">
        <v>0</v>
      </c>
      <c r="DY73" s="635">
        <v>0</v>
      </c>
      <c r="DZ73" s="635">
        <v>0</v>
      </c>
      <c r="EA73" s="635">
        <v>0</v>
      </c>
      <c r="EB73" s="635">
        <v>0</v>
      </c>
      <c r="EC73" s="635">
        <v>0</v>
      </c>
      <c r="ED73" s="635">
        <v>0</v>
      </c>
      <c r="EE73" s="635">
        <v>0</v>
      </c>
      <c r="EF73" s="635">
        <v>0</v>
      </c>
      <c r="EG73" s="635">
        <v>0</v>
      </c>
      <c r="EH73" s="635">
        <v>0</v>
      </c>
      <c r="EI73" s="635">
        <v>0</v>
      </c>
      <c r="EJ73" s="635">
        <v>0</v>
      </c>
      <c r="EK73" s="635">
        <v>0</v>
      </c>
      <c r="EL73" s="635">
        <v>0</v>
      </c>
      <c r="EM73" s="635">
        <v>0</v>
      </c>
      <c r="EN73" s="635">
        <v>0</v>
      </c>
      <c r="EO73" s="635">
        <v>0</v>
      </c>
      <c r="EP73" s="635">
        <v>0</v>
      </c>
      <c r="EQ73" s="635">
        <v>0</v>
      </c>
      <c r="ER73" s="635">
        <v>0</v>
      </c>
      <c r="ES73" s="635">
        <v>0</v>
      </c>
      <c r="ET73" s="635">
        <v>0</v>
      </c>
      <c r="EU73" s="635">
        <v>0</v>
      </c>
      <c r="EV73" s="635">
        <v>0</v>
      </c>
      <c r="EW73" s="635">
        <v>0</v>
      </c>
      <c r="EX73" s="635">
        <v>0</v>
      </c>
      <c r="EY73" s="635">
        <v>0</v>
      </c>
      <c r="EZ73" s="635">
        <v>0</v>
      </c>
      <c r="FA73" s="635">
        <v>0</v>
      </c>
      <c r="FB73" s="635">
        <v>0</v>
      </c>
      <c r="FC73" s="635">
        <v>0</v>
      </c>
      <c r="FD73" s="635">
        <v>0</v>
      </c>
      <c r="FE73" s="635">
        <v>0</v>
      </c>
      <c r="FF73" s="635">
        <v>0</v>
      </c>
    </row>
    <row r="74" spans="13:162" ht="13.5" thickBot="1">
      <c r="M74" s="55"/>
      <c r="O74" s="682" t="s">
        <v>628</v>
      </c>
      <c r="P74" s="634">
        <v>0</v>
      </c>
      <c r="Q74" s="635">
        <v>0</v>
      </c>
      <c r="R74" s="635">
        <v>0</v>
      </c>
      <c r="S74" s="635">
        <v>0</v>
      </c>
      <c r="T74" s="635">
        <v>0</v>
      </c>
      <c r="U74" s="635">
        <v>0</v>
      </c>
      <c r="V74" s="635">
        <v>0</v>
      </c>
      <c r="W74" s="635">
        <v>0</v>
      </c>
      <c r="X74" s="635">
        <v>0</v>
      </c>
      <c r="Y74" s="635">
        <v>0</v>
      </c>
      <c r="Z74" s="635">
        <v>0</v>
      </c>
      <c r="AA74" s="635">
        <v>0</v>
      </c>
      <c r="AB74" s="727"/>
      <c r="AC74" s="656" t="s">
        <v>628</v>
      </c>
      <c r="AD74" s="634">
        <v>0</v>
      </c>
      <c r="AE74" s="635">
        <v>0</v>
      </c>
      <c r="AF74" s="635">
        <v>0</v>
      </c>
      <c r="AG74" s="635">
        <v>0</v>
      </c>
      <c r="AH74" s="635">
        <v>0</v>
      </c>
      <c r="AI74" s="635">
        <v>0</v>
      </c>
      <c r="AJ74" s="635">
        <v>0</v>
      </c>
      <c r="AK74" s="635">
        <v>0</v>
      </c>
      <c r="AL74" s="635">
        <v>0</v>
      </c>
      <c r="AM74" s="635">
        <v>0</v>
      </c>
      <c r="AN74" s="635">
        <v>0</v>
      </c>
      <c r="AO74" s="635">
        <v>0</v>
      </c>
      <c r="AP74" s="635">
        <v>0</v>
      </c>
      <c r="AQ74" s="635">
        <v>0</v>
      </c>
      <c r="AR74" s="635">
        <v>0</v>
      </c>
      <c r="AS74" s="635">
        <v>0</v>
      </c>
      <c r="AT74" s="635">
        <v>0</v>
      </c>
      <c r="AU74" s="635">
        <v>0</v>
      </c>
      <c r="AV74" s="635">
        <v>0</v>
      </c>
      <c r="AW74" s="635">
        <v>0</v>
      </c>
      <c r="AX74" s="635">
        <v>0</v>
      </c>
      <c r="AY74" s="635">
        <v>0</v>
      </c>
      <c r="AZ74" s="635">
        <v>0</v>
      </c>
      <c r="BA74" s="635">
        <v>0</v>
      </c>
      <c r="BB74" s="635">
        <v>0</v>
      </c>
      <c r="BC74" s="635">
        <v>0</v>
      </c>
      <c r="BD74" s="635">
        <v>0</v>
      </c>
      <c r="BE74" s="635">
        <v>0</v>
      </c>
      <c r="BF74" s="635">
        <v>0</v>
      </c>
      <c r="BG74" s="635">
        <v>0</v>
      </c>
      <c r="BH74" s="635">
        <v>0</v>
      </c>
      <c r="BI74" s="635">
        <v>0</v>
      </c>
      <c r="BJ74" s="635">
        <v>0</v>
      </c>
      <c r="BK74" s="635">
        <v>0</v>
      </c>
      <c r="BL74" s="635">
        <v>0</v>
      </c>
      <c r="BM74" s="635">
        <v>0</v>
      </c>
      <c r="BN74" s="635">
        <v>0</v>
      </c>
      <c r="BO74" s="635">
        <v>0</v>
      </c>
      <c r="BP74" s="635">
        <v>0</v>
      </c>
      <c r="BQ74" s="635">
        <v>0</v>
      </c>
      <c r="BR74" s="635">
        <v>0</v>
      </c>
      <c r="BS74" s="635">
        <v>0</v>
      </c>
      <c r="BT74" s="635">
        <v>0</v>
      </c>
      <c r="BU74" s="635">
        <v>0</v>
      </c>
      <c r="BV74" s="635">
        <v>0</v>
      </c>
      <c r="BW74" s="635">
        <v>0</v>
      </c>
      <c r="BX74" s="635">
        <v>0</v>
      </c>
      <c r="BY74" s="635">
        <v>0</v>
      </c>
      <c r="BZ74" s="635">
        <v>0</v>
      </c>
      <c r="CA74" s="635">
        <v>0</v>
      </c>
      <c r="CB74" s="635">
        <v>0</v>
      </c>
      <c r="CC74" s="635">
        <v>0</v>
      </c>
      <c r="CD74" s="635">
        <v>0</v>
      </c>
      <c r="CE74" s="635">
        <v>0</v>
      </c>
      <c r="CF74" s="635">
        <v>0</v>
      </c>
      <c r="CG74" s="635">
        <v>0</v>
      </c>
      <c r="CH74" s="635">
        <v>0</v>
      </c>
      <c r="CI74" s="635">
        <v>0</v>
      </c>
      <c r="CJ74" s="635">
        <v>0</v>
      </c>
      <c r="CK74" s="635">
        <v>0</v>
      </c>
      <c r="CL74" s="635">
        <v>0</v>
      </c>
      <c r="CM74" s="635">
        <v>0</v>
      </c>
      <c r="CN74" s="635">
        <v>0</v>
      </c>
      <c r="CO74" s="635">
        <v>0</v>
      </c>
      <c r="CP74" s="635">
        <v>0</v>
      </c>
      <c r="CQ74" s="635">
        <v>0</v>
      </c>
      <c r="CR74" s="635">
        <v>0</v>
      </c>
      <c r="CS74" s="635">
        <v>0</v>
      </c>
      <c r="CT74" s="635">
        <v>0</v>
      </c>
      <c r="CU74" s="635">
        <v>0</v>
      </c>
      <c r="CV74" s="635">
        <v>0</v>
      </c>
      <c r="CW74" s="635">
        <v>0</v>
      </c>
      <c r="CX74" s="635">
        <v>0</v>
      </c>
      <c r="CY74" s="635">
        <v>0</v>
      </c>
      <c r="CZ74" s="635">
        <v>0</v>
      </c>
      <c r="DA74" s="635">
        <v>0</v>
      </c>
      <c r="DB74" s="635">
        <v>0</v>
      </c>
      <c r="DC74" s="635">
        <v>0</v>
      </c>
      <c r="DD74" s="635">
        <v>0</v>
      </c>
      <c r="DE74" s="635">
        <v>0</v>
      </c>
      <c r="DF74" s="635">
        <v>0</v>
      </c>
      <c r="DG74" s="635">
        <v>0</v>
      </c>
      <c r="DH74" s="635">
        <v>0</v>
      </c>
      <c r="DI74" s="635">
        <v>0</v>
      </c>
      <c r="DJ74" s="635">
        <v>0</v>
      </c>
      <c r="DK74" s="635">
        <v>0</v>
      </c>
      <c r="DL74" s="635">
        <v>0</v>
      </c>
      <c r="DM74" s="635">
        <v>0</v>
      </c>
      <c r="DN74" s="635">
        <v>0</v>
      </c>
      <c r="DO74" s="635">
        <v>0</v>
      </c>
      <c r="DP74" s="635">
        <v>0</v>
      </c>
      <c r="DQ74" s="635">
        <v>0</v>
      </c>
      <c r="DR74" s="635">
        <v>0</v>
      </c>
      <c r="DS74" s="635">
        <v>0</v>
      </c>
      <c r="DT74" s="635">
        <v>0</v>
      </c>
      <c r="DU74" s="635">
        <v>0</v>
      </c>
      <c r="DV74" s="635">
        <v>0</v>
      </c>
      <c r="DW74" s="635">
        <v>0</v>
      </c>
      <c r="DX74" s="635">
        <v>0</v>
      </c>
      <c r="DY74" s="635">
        <v>0</v>
      </c>
      <c r="DZ74" s="635">
        <v>0</v>
      </c>
      <c r="EA74" s="635">
        <v>0</v>
      </c>
      <c r="EB74" s="635">
        <v>0</v>
      </c>
      <c r="EC74" s="635">
        <v>0</v>
      </c>
      <c r="ED74" s="635">
        <v>0</v>
      </c>
      <c r="EE74" s="635">
        <v>0</v>
      </c>
      <c r="EF74" s="635">
        <v>0</v>
      </c>
      <c r="EG74" s="635">
        <v>0</v>
      </c>
      <c r="EH74" s="635">
        <v>0</v>
      </c>
      <c r="EI74" s="635">
        <v>0</v>
      </c>
      <c r="EJ74" s="635">
        <v>0</v>
      </c>
      <c r="EK74" s="635">
        <v>0</v>
      </c>
      <c r="EL74" s="635">
        <v>0</v>
      </c>
      <c r="EM74" s="635">
        <v>0</v>
      </c>
      <c r="EN74" s="635">
        <v>0</v>
      </c>
      <c r="EO74" s="635">
        <v>0</v>
      </c>
      <c r="EP74" s="635">
        <v>0</v>
      </c>
      <c r="EQ74" s="635">
        <v>0</v>
      </c>
      <c r="ER74" s="635">
        <v>0</v>
      </c>
      <c r="ES74" s="635">
        <v>0</v>
      </c>
      <c r="ET74" s="635">
        <v>0</v>
      </c>
      <c r="EU74" s="635">
        <v>0</v>
      </c>
      <c r="EV74" s="635">
        <v>0</v>
      </c>
      <c r="EW74" s="635">
        <v>0</v>
      </c>
      <c r="EX74" s="635">
        <v>0</v>
      </c>
      <c r="EY74" s="635">
        <v>0</v>
      </c>
      <c r="EZ74" s="635">
        <v>0</v>
      </c>
      <c r="FA74" s="635">
        <v>0</v>
      </c>
      <c r="FB74" s="635">
        <v>0</v>
      </c>
      <c r="FC74" s="635">
        <v>0</v>
      </c>
      <c r="FD74" s="635">
        <v>0</v>
      </c>
      <c r="FE74" s="635">
        <v>0</v>
      </c>
      <c r="FF74" s="635">
        <v>0</v>
      </c>
    </row>
    <row r="75" spans="13:162" ht="13.5" thickBot="1">
      <c r="M75" s="55"/>
      <c r="O75" s="793" t="s">
        <v>629</v>
      </c>
      <c r="P75" s="794">
        <v>0</v>
      </c>
      <c r="Q75" s="797">
        <v>0</v>
      </c>
      <c r="R75" s="797">
        <v>0</v>
      </c>
      <c r="S75" s="797">
        <v>0</v>
      </c>
      <c r="T75" s="797">
        <v>0</v>
      </c>
      <c r="U75" s="797">
        <v>0</v>
      </c>
      <c r="V75" s="797">
        <v>0</v>
      </c>
      <c r="W75" s="797">
        <v>0</v>
      </c>
      <c r="X75" s="797">
        <v>0</v>
      </c>
      <c r="Y75" s="797">
        <v>0</v>
      </c>
      <c r="Z75" s="797">
        <v>0</v>
      </c>
      <c r="AA75" s="797">
        <v>0</v>
      </c>
      <c r="AB75" s="656"/>
      <c r="AC75" s="798" t="s">
        <v>629</v>
      </c>
      <c r="AD75" s="794">
        <v>0</v>
      </c>
      <c r="AE75" s="799">
        <v>0</v>
      </c>
      <c r="AF75" s="799">
        <v>0</v>
      </c>
      <c r="AG75" s="799">
        <v>0</v>
      </c>
      <c r="AH75" s="799">
        <v>0</v>
      </c>
      <c r="AI75" s="799">
        <v>0</v>
      </c>
      <c r="AJ75" s="799">
        <v>0</v>
      </c>
      <c r="AK75" s="799">
        <v>0</v>
      </c>
      <c r="AL75" s="799">
        <v>0</v>
      </c>
      <c r="AM75" s="799">
        <v>0</v>
      </c>
      <c r="AN75" s="799">
        <v>0</v>
      </c>
      <c r="AO75" s="799">
        <v>0</v>
      </c>
      <c r="AP75" s="799">
        <v>0</v>
      </c>
      <c r="AQ75" s="799">
        <v>0</v>
      </c>
      <c r="AR75" s="799">
        <v>0</v>
      </c>
      <c r="AS75" s="799">
        <v>0</v>
      </c>
      <c r="AT75" s="799">
        <v>0</v>
      </c>
      <c r="AU75" s="799">
        <v>0</v>
      </c>
      <c r="AV75" s="799">
        <v>0</v>
      </c>
      <c r="AW75" s="799">
        <v>0</v>
      </c>
      <c r="AX75" s="799">
        <v>0</v>
      </c>
      <c r="AY75" s="799">
        <v>0</v>
      </c>
      <c r="AZ75" s="799">
        <v>0</v>
      </c>
      <c r="BA75" s="799">
        <v>0</v>
      </c>
      <c r="BB75" s="799">
        <v>0</v>
      </c>
      <c r="BC75" s="799">
        <v>0</v>
      </c>
      <c r="BD75" s="799">
        <v>0</v>
      </c>
      <c r="BE75" s="799">
        <v>0</v>
      </c>
      <c r="BF75" s="799">
        <v>0</v>
      </c>
      <c r="BG75" s="799">
        <v>0</v>
      </c>
      <c r="BH75" s="799">
        <v>0</v>
      </c>
      <c r="BI75" s="799">
        <v>0</v>
      </c>
      <c r="BJ75" s="799">
        <v>0</v>
      </c>
      <c r="BK75" s="799">
        <v>0</v>
      </c>
      <c r="BL75" s="799">
        <v>0</v>
      </c>
      <c r="BM75" s="799">
        <v>0</v>
      </c>
      <c r="BN75" s="799">
        <v>0</v>
      </c>
      <c r="BO75" s="799">
        <v>0</v>
      </c>
      <c r="BP75" s="799">
        <v>0</v>
      </c>
      <c r="BQ75" s="799">
        <v>0</v>
      </c>
      <c r="BR75" s="799">
        <v>0</v>
      </c>
      <c r="BS75" s="799">
        <v>0</v>
      </c>
      <c r="BT75" s="799">
        <v>0</v>
      </c>
      <c r="BU75" s="799">
        <v>0</v>
      </c>
      <c r="BV75" s="799">
        <v>0</v>
      </c>
      <c r="BW75" s="799">
        <v>0</v>
      </c>
      <c r="BX75" s="799">
        <v>0</v>
      </c>
      <c r="BY75" s="799">
        <v>0</v>
      </c>
      <c r="BZ75" s="799">
        <v>0</v>
      </c>
      <c r="CA75" s="799">
        <v>0</v>
      </c>
      <c r="CB75" s="799">
        <v>0</v>
      </c>
      <c r="CC75" s="799">
        <v>0</v>
      </c>
      <c r="CD75" s="799">
        <v>0</v>
      </c>
      <c r="CE75" s="799">
        <v>0</v>
      </c>
      <c r="CF75" s="799">
        <v>0</v>
      </c>
      <c r="CG75" s="799">
        <v>0</v>
      </c>
      <c r="CH75" s="799">
        <v>0</v>
      </c>
      <c r="CI75" s="799">
        <v>0</v>
      </c>
      <c r="CJ75" s="799">
        <v>0</v>
      </c>
      <c r="CK75" s="799">
        <v>0</v>
      </c>
      <c r="CL75" s="799">
        <v>0</v>
      </c>
      <c r="CM75" s="799">
        <v>0</v>
      </c>
      <c r="CN75" s="799">
        <v>0</v>
      </c>
      <c r="CO75" s="799">
        <v>0</v>
      </c>
      <c r="CP75" s="799">
        <v>0</v>
      </c>
      <c r="CQ75" s="799">
        <v>0</v>
      </c>
      <c r="CR75" s="799">
        <v>0</v>
      </c>
      <c r="CS75" s="799">
        <v>0</v>
      </c>
      <c r="CT75" s="799">
        <v>0</v>
      </c>
      <c r="CU75" s="799">
        <v>0</v>
      </c>
      <c r="CV75" s="799">
        <v>0</v>
      </c>
      <c r="CW75" s="799">
        <v>0</v>
      </c>
      <c r="CX75" s="799">
        <v>0</v>
      </c>
      <c r="CY75" s="799">
        <v>0</v>
      </c>
      <c r="CZ75" s="799">
        <v>0</v>
      </c>
      <c r="DA75" s="799">
        <v>0</v>
      </c>
      <c r="DB75" s="799">
        <v>0</v>
      </c>
      <c r="DC75" s="799">
        <v>0</v>
      </c>
      <c r="DD75" s="799">
        <v>0</v>
      </c>
      <c r="DE75" s="799">
        <v>0</v>
      </c>
      <c r="DF75" s="799">
        <v>0</v>
      </c>
      <c r="DG75" s="799">
        <v>0</v>
      </c>
      <c r="DH75" s="799">
        <v>0</v>
      </c>
      <c r="DI75" s="799">
        <v>0</v>
      </c>
      <c r="DJ75" s="799">
        <v>0</v>
      </c>
      <c r="DK75" s="799">
        <v>0</v>
      </c>
      <c r="DL75" s="799">
        <v>0</v>
      </c>
      <c r="DM75" s="799">
        <v>0</v>
      </c>
      <c r="DN75" s="799">
        <v>0</v>
      </c>
      <c r="DO75" s="799">
        <v>0</v>
      </c>
      <c r="DP75" s="799">
        <v>0</v>
      </c>
      <c r="DQ75" s="799">
        <v>0</v>
      </c>
      <c r="DR75" s="799">
        <v>0</v>
      </c>
      <c r="DS75" s="799">
        <v>0</v>
      </c>
      <c r="DT75" s="799">
        <v>0</v>
      </c>
      <c r="DU75" s="799">
        <v>0</v>
      </c>
      <c r="DV75" s="799">
        <v>0</v>
      </c>
      <c r="DW75" s="799">
        <v>0</v>
      </c>
      <c r="DX75" s="799">
        <v>0</v>
      </c>
      <c r="DY75" s="799">
        <v>0</v>
      </c>
      <c r="DZ75" s="799">
        <v>0</v>
      </c>
      <c r="EA75" s="799">
        <v>0</v>
      </c>
      <c r="EB75" s="799">
        <v>0</v>
      </c>
      <c r="EC75" s="799">
        <v>0</v>
      </c>
      <c r="ED75" s="799">
        <v>0</v>
      </c>
      <c r="EE75" s="799">
        <v>0</v>
      </c>
      <c r="EF75" s="799">
        <v>0</v>
      </c>
      <c r="EG75" s="799">
        <v>0</v>
      </c>
      <c r="EH75" s="799">
        <v>0</v>
      </c>
      <c r="EI75" s="799">
        <v>0</v>
      </c>
      <c r="EJ75" s="799">
        <v>0</v>
      </c>
      <c r="EK75" s="799">
        <v>0</v>
      </c>
      <c r="EL75" s="799">
        <v>0</v>
      </c>
      <c r="EM75" s="799">
        <v>0</v>
      </c>
      <c r="EN75" s="799">
        <v>0</v>
      </c>
      <c r="EO75" s="799">
        <v>0</v>
      </c>
      <c r="EP75" s="799">
        <v>0</v>
      </c>
      <c r="EQ75" s="799">
        <v>0</v>
      </c>
      <c r="ER75" s="799">
        <v>0</v>
      </c>
      <c r="ES75" s="799">
        <v>0</v>
      </c>
      <c r="ET75" s="799">
        <v>0</v>
      </c>
      <c r="EU75" s="799">
        <v>0</v>
      </c>
      <c r="EV75" s="799">
        <v>0</v>
      </c>
      <c r="EW75" s="799">
        <v>0</v>
      </c>
      <c r="EX75" s="799">
        <v>0</v>
      </c>
      <c r="EY75" s="799">
        <v>0</v>
      </c>
      <c r="EZ75" s="799">
        <v>0</v>
      </c>
      <c r="FA75" s="799">
        <v>0</v>
      </c>
      <c r="FB75" s="799">
        <v>0</v>
      </c>
      <c r="FC75" s="799">
        <v>0</v>
      </c>
      <c r="FD75" s="799">
        <v>0</v>
      </c>
      <c r="FE75" s="799">
        <v>0</v>
      </c>
      <c r="FF75" s="799">
        <v>0</v>
      </c>
    </row>
    <row r="76" spans="13:162" ht="13.5" thickBot="1">
      <c r="M76" s="56"/>
      <c r="O76" s="643"/>
      <c r="P76" s="643"/>
      <c r="Q76" s="643"/>
      <c r="R76" s="643"/>
      <c r="S76" s="643"/>
      <c r="T76" s="643"/>
      <c r="U76" s="643"/>
      <c r="V76" s="643"/>
      <c r="W76" s="643"/>
      <c r="X76" s="643"/>
      <c r="Y76" s="643"/>
      <c r="Z76" s="643"/>
      <c r="AA76" s="643"/>
      <c r="AB76" s="662"/>
      <c r="AC76" s="800"/>
      <c r="AD76" s="643"/>
      <c r="AE76" s="662"/>
      <c r="AF76" s="662"/>
      <c r="AG76" s="662"/>
      <c r="AH76" s="662"/>
      <c r="AI76" s="662"/>
      <c r="AJ76" s="662"/>
      <c r="AK76" s="662"/>
      <c r="AL76" s="662"/>
      <c r="AM76" s="662"/>
      <c r="AN76" s="662"/>
      <c r="AO76" s="662"/>
      <c r="AP76" s="662"/>
      <c r="AQ76" s="662"/>
      <c r="AR76" s="662"/>
      <c r="AS76" s="662"/>
      <c r="AT76" s="662"/>
      <c r="AU76" s="662"/>
      <c r="AV76" s="662"/>
      <c r="AW76" s="662"/>
      <c r="AX76" s="662"/>
      <c r="AY76" s="662"/>
      <c r="AZ76" s="662"/>
      <c r="BA76" s="662"/>
      <c r="BB76" s="662"/>
      <c r="BC76" s="662"/>
      <c r="BD76" s="662"/>
      <c r="BE76" s="662"/>
      <c r="BF76" s="662"/>
      <c r="BG76" s="662"/>
      <c r="BH76" s="662"/>
      <c r="BI76" s="662"/>
      <c r="BJ76" s="662"/>
      <c r="BK76" s="662"/>
      <c r="BL76" s="662"/>
      <c r="BM76" s="662"/>
      <c r="BN76" s="662"/>
      <c r="BO76" s="662"/>
      <c r="BP76" s="662"/>
      <c r="BQ76" s="662"/>
      <c r="BR76" s="662"/>
      <c r="BS76" s="662"/>
      <c r="BT76" s="662"/>
      <c r="BU76" s="662"/>
      <c r="BV76" s="662"/>
      <c r="BW76" s="662"/>
      <c r="BX76" s="662"/>
      <c r="BY76" s="662"/>
      <c r="BZ76" s="662"/>
      <c r="CA76" s="662"/>
      <c r="CB76" s="662"/>
      <c r="CC76" s="662"/>
      <c r="CD76" s="662"/>
      <c r="CE76" s="662"/>
      <c r="CF76" s="662"/>
      <c r="CG76" s="662"/>
      <c r="CH76" s="662"/>
      <c r="CI76" s="662"/>
      <c r="CJ76" s="662"/>
      <c r="CK76" s="662"/>
      <c r="CL76" s="662"/>
      <c r="CM76" s="662"/>
      <c r="CN76" s="662"/>
      <c r="CO76" s="662"/>
      <c r="CP76" s="662"/>
      <c r="CQ76" s="662"/>
      <c r="CR76" s="662"/>
      <c r="CS76" s="662"/>
      <c r="CT76" s="662"/>
      <c r="CU76" s="662"/>
      <c r="CV76" s="662"/>
      <c r="CW76" s="662"/>
      <c r="CX76" s="662"/>
      <c r="CY76" s="662"/>
      <c r="CZ76" s="662"/>
      <c r="DA76" s="662"/>
      <c r="DB76" s="662"/>
      <c r="DC76" s="662"/>
      <c r="DD76" s="662"/>
      <c r="DE76" s="662"/>
      <c r="DF76" s="662"/>
      <c r="DG76" s="662"/>
      <c r="DH76" s="662"/>
      <c r="DI76" s="662"/>
      <c r="DJ76" s="662"/>
      <c r="DK76" s="662"/>
      <c r="DL76" s="662"/>
      <c r="DM76" s="662"/>
      <c r="DN76" s="662"/>
      <c r="DO76" s="662"/>
      <c r="DP76" s="662"/>
      <c r="DQ76" s="662"/>
      <c r="DR76" s="662"/>
      <c r="DS76" s="662"/>
      <c r="DT76" s="662"/>
      <c r="DU76" s="662"/>
      <c r="DV76" s="662"/>
      <c r="DW76" s="662"/>
      <c r="DX76" s="662"/>
      <c r="DY76" s="662"/>
      <c r="DZ76" s="662"/>
      <c r="EA76" s="662"/>
      <c r="EB76" s="662"/>
      <c r="EC76" s="662"/>
      <c r="ED76" s="662"/>
      <c r="EE76" s="662"/>
      <c r="EF76" s="662"/>
      <c r="EG76" s="662"/>
      <c r="EH76" s="662"/>
      <c r="EI76" s="662"/>
      <c r="EJ76" s="662"/>
      <c r="EK76" s="662"/>
      <c r="EL76" s="662"/>
      <c r="EM76" s="662"/>
      <c r="EN76" s="662"/>
      <c r="EO76" s="662"/>
      <c r="EP76" s="662"/>
      <c r="EQ76" s="662"/>
      <c r="ER76" s="662"/>
      <c r="ES76" s="662"/>
      <c r="ET76" s="662"/>
      <c r="EU76" s="662"/>
      <c r="EV76" s="662"/>
      <c r="EW76" s="662"/>
      <c r="EX76" s="662"/>
      <c r="EY76" s="662"/>
      <c r="EZ76" s="662"/>
      <c r="FA76" s="662"/>
      <c r="FB76" s="662"/>
      <c r="FC76" s="662"/>
      <c r="FD76" s="662"/>
      <c r="FE76" s="662"/>
      <c r="FF76" s="662"/>
    </row>
    <row r="77" spans="13:162" ht="13.5" thickBot="1">
      <c r="M77" s="46" t="s">
        <v>48</v>
      </c>
      <c r="O77" s="793" t="s">
        <v>630</v>
      </c>
      <c r="P77" s="794">
        <v>3287241.012565101</v>
      </c>
      <c r="Q77" s="797">
        <v>3085572.2873294316</v>
      </c>
      <c r="R77" s="797">
        <v>3406617.1835464719</v>
      </c>
      <c r="S77" s="797">
        <v>3981934.9821682191</v>
      </c>
      <c r="T77" s="797">
        <v>4670005.6073143687</v>
      </c>
      <c r="U77" s="797">
        <v>4775411.2782202344</v>
      </c>
      <c r="V77" s="797">
        <v>4872947.8242237261</v>
      </c>
      <c r="W77" s="797">
        <v>5020984.2589504439</v>
      </c>
      <c r="X77" s="797">
        <v>5173461.7867189683</v>
      </c>
      <c r="Y77" s="797">
        <v>5330513.6403205451</v>
      </c>
      <c r="Z77" s="797">
        <v>5492277.0495301699</v>
      </c>
      <c r="AA77" s="797">
        <v>5658893.3610160844</v>
      </c>
      <c r="AB77" s="656"/>
      <c r="AC77" s="798" t="s">
        <v>630</v>
      </c>
      <c r="AD77" s="794">
        <v>3287241.012565101</v>
      </c>
      <c r="AE77" s="799">
        <v>274755.53187458438</v>
      </c>
      <c r="AF77" s="799">
        <v>278637.78154239041</v>
      </c>
      <c r="AG77" s="799">
        <v>269429.8696331589</v>
      </c>
      <c r="AH77" s="799">
        <v>250101.50594124757</v>
      </c>
      <c r="AI77" s="799">
        <v>242577.80959589139</v>
      </c>
      <c r="AJ77" s="799">
        <v>245147.53181568516</v>
      </c>
      <c r="AK77" s="799">
        <v>247718.55321519275</v>
      </c>
      <c r="AL77" s="799">
        <v>250290.87586823117</v>
      </c>
      <c r="AM77" s="799">
        <v>252864.50185192795</v>
      </c>
      <c r="AN77" s="799">
        <v>255439.43324672582</v>
      </c>
      <c r="AO77" s="799">
        <v>258015.67213638889</v>
      </c>
      <c r="AP77" s="799">
        <v>260593.22060800722</v>
      </c>
      <c r="AQ77" s="799">
        <v>267321.2768054874</v>
      </c>
      <c r="AR77" s="799">
        <v>270323.75481712038</v>
      </c>
      <c r="AS77" s="799">
        <v>273328.93863904051</v>
      </c>
      <c r="AT77" s="799">
        <v>276336.8343801318</v>
      </c>
      <c r="AU77" s="799">
        <v>279347.44816307042</v>
      </c>
      <c r="AV77" s="799">
        <v>282360.78612435533</v>
      </c>
      <c r="AW77" s="799">
        <v>285376.85441434017</v>
      </c>
      <c r="AX77" s="799">
        <v>288395.65919726371</v>
      </c>
      <c r="AY77" s="799">
        <v>291417.20665128215</v>
      </c>
      <c r="AZ77" s="799">
        <v>294441.50296849961</v>
      </c>
      <c r="BA77" s="799">
        <v>297468.55435500044</v>
      </c>
      <c r="BB77" s="799">
        <v>300498.36703088041</v>
      </c>
      <c r="BC77" s="799">
        <v>306443.1335499683</v>
      </c>
      <c r="BD77" s="799">
        <v>309522.2260889418</v>
      </c>
      <c r="BE77" s="799">
        <v>312603.97654036089</v>
      </c>
      <c r="BF77" s="799">
        <v>315688.39065862051</v>
      </c>
      <c r="BG77" s="799">
        <v>318775.47421057383</v>
      </c>
      <c r="BH77" s="799">
        <v>321865.23297555919</v>
      </c>
      <c r="BI77" s="799">
        <v>324957.67274542729</v>
      </c>
      <c r="BJ77" s="799">
        <v>328052.79932456795</v>
      </c>
      <c r="BK77" s="799">
        <v>333479.27788376092</v>
      </c>
      <c r="BL77" s="799">
        <v>350631.25212069781</v>
      </c>
      <c r="BM77" s="799">
        <v>374584.5108085426</v>
      </c>
      <c r="BN77" s="799">
        <v>385331.03526119841</v>
      </c>
      <c r="BO77" s="799">
        <v>381729.90856376267</v>
      </c>
      <c r="BP77" s="799">
        <v>383072.78334251547</v>
      </c>
      <c r="BQ77" s="799">
        <v>384418.44942842005</v>
      </c>
      <c r="BR77" s="799">
        <v>385766.91262350348</v>
      </c>
      <c r="BS77" s="799">
        <v>387118.1787418524</v>
      </c>
      <c r="BT77" s="799">
        <v>388472.25360963924</v>
      </c>
      <c r="BU77" s="799">
        <v>389829.14306514664</v>
      </c>
      <c r="BV77" s="799">
        <v>391188.85295879253</v>
      </c>
      <c r="BW77" s="799">
        <v>392551.38915315561</v>
      </c>
      <c r="BX77" s="799">
        <v>393916.75752300082</v>
      </c>
      <c r="BY77" s="799">
        <v>395284.96395530412</v>
      </c>
      <c r="BZ77" s="799">
        <v>396656.01434927818</v>
      </c>
      <c r="CA77" s="799">
        <v>390772.44844173669</v>
      </c>
      <c r="CB77" s="799">
        <v>392069.12854286801</v>
      </c>
      <c r="CC77" s="799">
        <v>393368.34747096628</v>
      </c>
      <c r="CD77" s="799">
        <v>394670.11019691243</v>
      </c>
      <c r="CE77" s="799">
        <v>395974.4217013201</v>
      </c>
      <c r="CF77" s="799">
        <v>397281.28697455453</v>
      </c>
      <c r="CG77" s="799">
        <v>398590.71101675229</v>
      </c>
      <c r="CH77" s="799">
        <v>399902.6988378393</v>
      </c>
      <c r="CI77" s="799">
        <v>401217.25545755116</v>
      </c>
      <c r="CJ77" s="799">
        <v>402534.38590545143</v>
      </c>
      <c r="CK77" s="799">
        <v>403854.09522095142</v>
      </c>
      <c r="CL77" s="799">
        <v>405176.38845332962</v>
      </c>
      <c r="CM77" s="799">
        <v>396801.60262596392</v>
      </c>
      <c r="CN77" s="799">
        <v>398474.56957202568</v>
      </c>
      <c r="CO77" s="799">
        <v>400151.66250589659</v>
      </c>
      <c r="CP77" s="799">
        <v>401832.89160337579</v>
      </c>
      <c r="CQ77" s="799">
        <v>403518.26706535846</v>
      </c>
      <c r="CR77" s="799">
        <v>405207.79911789787</v>
      </c>
      <c r="CS77" s="799">
        <v>406901.49801226781</v>
      </c>
      <c r="CT77" s="799">
        <v>408599.37402502424</v>
      </c>
      <c r="CU77" s="799">
        <v>410301.43745806819</v>
      </c>
      <c r="CV77" s="799">
        <v>412007.69863870752</v>
      </c>
      <c r="CW77" s="799">
        <v>413718.16791972041</v>
      </c>
      <c r="CX77" s="799">
        <v>415432.8556794172</v>
      </c>
      <c r="CY77" s="799">
        <v>408859.65070474363</v>
      </c>
      <c r="CZ77" s="799">
        <v>410582.80665918731</v>
      </c>
      <c r="DA77" s="799">
        <v>412310.21238107438</v>
      </c>
      <c r="DB77" s="799">
        <v>414041.87835147785</v>
      </c>
      <c r="DC77" s="799">
        <v>415777.81507731992</v>
      </c>
      <c r="DD77" s="799">
        <v>417518.0330914355</v>
      </c>
      <c r="DE77" s="799">
        <v>419262.54295263661</v>
      </c>
      <c r="DF77" s="799">
        <v>421011.35524577572</v>
      </c>
      <c r="DG77" s="799">
        <v>422764.48058181087</v>
      </c>
      <c r="DH77" s="799">
        <v>424521.9295978694</v>
      </c>
      <c r="DI77" s="799">
        <v>426283.71295731253</v>
      </c>
      <c r="DJ77" s="799">
        <v>428049.84134980058</v>
      </c>
      <c r="DK77" s="799">
        <v>421279.4402258867</v>
      </c>
      <c r="DL77" s="799">
        <v>423054.29085896374</v>
      </c>
      <c r="DM77" s="799">
        <v>424833.51875250746</v>
      </c>
      <c r="DN77" s="799">
        <v>426617.13470202312</v>
      </c>
      <c r="DO77" s="799">
        <v>428405.14952964033</v>
      </c>
      <c r="DP77" s="799">
        <v>430197.57408417959</v>
      </c>
      <c r="DQ77" s="799">
        <v>431994.41924121656</v>
      </c>
      <c r="DR77" s="799">
        <v>433795.6959031499</v>
      </c>
      <c r="DS77" s="799">
        <v>435601.4149992661</v>
      </c>
      <c r="DT77" s="799">
        <v>437411.58748580632</v>
      </c>
      <c r="DU77" s="799">
        <v>439226.22434603277</v>
      </c>
      <c r="DV77" s="799">
        <v>441045.33659029537</v>
      </c>
      <c r="DW77" s="799">
        <v>434071.82343266404</v>
      </c>
      <c r="DX77" s="799">
        <v>435899.91958473343</v>
      </c>
      <c r="DY77" s="799">
        <v>437732.5243150834</v>
      </c>
      <c r="DZ77" s="799">
        <v>439569.64874308452</v>
      </c>
      <c r="EA77" s="799">
        <v>441411.30401553027</v>
      </c>
      <c r="EB77" s="799">
        <v>443257.50130670541</v>
      </c>
      <c r="EC77" s="799">
        <v>445108.25181845366</v>
      </c>
      <c r="ED77" s="799">
        <v>446963.56678024505</v>
      </c>
      <c r="EE77" s="799">
        <v>448823.4574492448</v>
      </c>
      <c r="EF77" s="799">
        <v>450687.93511038111</v>
      </c>
      <c r="EG77" s="799">
        <v>452557.01107641461</v>
      </c>
      <c r="EH77" s="799">
        <v>454430.69668800489</v>
      </c>
      <c r="EI77" s="799">
        <v>447247.97813564475</v>
      </c>
      <c r="EJ77" s="799">
        <v>449130.91717227618</v>
      </c>
      <c r="EK77" s="799">
        <v>451018.50004453672</v>
      </c>
      <c r="EL77" s="799">
        <v>452910.73820537789</v>
      </c>
      <c r="EM77" s="799">
        <v>454807.643135997</v>
      </c>
      <c r="EN77" s="799">
        <v>456709.22634590743</v>
      </c>
      <c r="EO77" s="799">
        <v>458615.49937300809</v>
      </c>
      <c r="EP77" s="799">
        <v>460526.47378365323</v>
      </c>
      <c r="EQ77" s="799">
        <v>462442.16117272287</v>
      </c>
      <c r="ER77" s="799">
        <v>464362.57316369348</v>
      </c>
      <c r="ES77" s="799">
        <v>466287.72140870779</v>
      </c>
      <c r="ET77" s="799">
        <v>468217.6175886459</v>
      </c>
      <c r="EU77" s="799">
        <v>460819.41747971502</v>
      </c>
      <c r="EV77" s="799">
        <v>462758.84468744526</v>
      </c>
      <c r="EW77" s="799">
        <v>464703.05504587351</v>
      </c>
      <c r="EX77" s="799">
        <v>466652.06035153981</v>
      </c>
      <c r="EY77" s="799">
        <v>468605.87243007764</v>
      </c>
      <c r="EZ77" s="799">
        <v>470564.50313628546</v>
      </c>
      <c r="FA77" s="799">
        <v>472527.96435419924</v>
      </c>
      <c r="FB77" s="799">
        <v>474496.26799716364</v>
      </c>
      <c r="FC77" s="799">
        <v>476469.42600790545</v>
      </c>
      <c r="FD77" s="799">
        <v>478447.45035860519</v>
      </c>
      <c r="FE77" s="799">
        <v>480430.35305096995</v>
      </c>
      <c r="FF77" s="799">
        <v>482418.14611630625</v>
      </c>
    </row>
    <row r="78" spans="13:162">
      <c r="O78" s="682" t="s">
        <v>631</v>
      </c>
      <c r="P78" s="801" t="s">
        <v>482</v>
      </c>
      <c r="Q78" s="758">
        <v>-6.1348931965990339E-2</v>
      </c>
      <c r="R78" s="758">
        <v>0.10404711551739565</v>
      </c>
      <c r="S78" s="758">
        <v>0.16888243310708906</v>
      </c>
      <c r="T78" s="758">
        <v>0.17279805627852962</v>
      </c>
      <c r="U78" s="758">
        <v>2.2570780373534216E-2</v>
      </c>
      <c r="V78" s="758">
        <v>2.0424742565805287E-2</v>
      </c>
      <c r="W78" s="758">
        <v>3.0379236566174583E-2</v>
      </c>
      <c r="X78" s="758">
        <v>3.036805532634701E-2</v>
      </c>
      <c r="Y78" s="758">
        <v>3.0357207625414828E-2</v>
      </c>
      <c r="Z78" s="758">
        <v>3.0346683288835496E-2</v>
      </c>
      <c r="AA78" s="758">
        <v>3.0336472465489983E-2</v>
      </c>
      <c r="AB78" s="656"/>
      <c r="AC78" s="708"/>
      <c r="AD78" s="708"/>
      <c r="AE78" s="656"/>
      <c r="AF78" s="656"/>
      <c r="AG78" s="662"/>
      <c r="AH78" s="662"/>
      <c r="AI78" s="662"/>
      <c r="AJ78" s="662"/>
      <c r="AK78" s="662"/>
      <c r="AL78" s="662"/>
      <c r="AM78" s="662"/>
      <c r="AN78" s="662"/>
      <c r="AO78" s="662"/>
      <c r="AP78" s="802"/>
      <c r="AQ78" s="662"/>
      <c r="AR78" s="662"/>
      <c r="AS78" s="662"/>
      <c r="AT78" s="662"/>
      <c r="AU78" s="662"/>
      <c r="AV78" s="662"/>
      <c r="AW78" s="662"/>
      <c r="AX78" s="662"/>
      <c r="AY78" s="662"/>
      <c r="AZ78" s="662"/>
      <c r="BA78" s="662"/>
      <c r="BB78" s="662"/>
      <c r="BC78" s="802"/>
      <c r="BD78" s="662"/>
      <c r="BE78" s="662"/>
      <c r="BF78" s="662"/>
      <c r="BG78" s="662"/>
      <c r="BH78" s="662"/>
      <c r="BI78" s="662"/>
      <c r="BJ78" s="662"/>
      <c r="BK78" s="662"/>
      <c r="BL78" s="662"/>
      <c r="BM78" s="662"/>
      <c r="BN78" s="662"/>
      <c r="BO78" s="662"/>
      <c r="BP78" s="662"/>
      <c r="BQ78" s="662"/>
      <c r="BR78" s="662"/>
      <c r="BS78" s="662"/>
      <c r="BT78" s="662"/>
      <c r="BU78" s="662"/>
      <c r="BV78" s="662"/>
      <c r="BW78" s="662"/>
      <c r="BX78" s="662"/>
      <c r="BY78" s="662"/>
      <c r="BZ78" s="662"/>
      <c r="CA78" s="662"/>
      <c r="CB78" s="662"/>
      <c r="CC78" s="662"/>
      <c r="CD78" s="662"/>
      <c r="CE78" s="662"/>
      <c r="CF78" s="662"/>
      <c r="CG78" s="662"/>
      <c r="CH78" s="662"/>
      <c r="CI78" s="662"/>
      <c r="CJ78" s="662"/>
      <c r="CK78" s="662"/>
      <c r="CL78" s="662"/>
      <c r="CM78" s="662"/>
      <c r="CN78" s="662"/>
      <c r="CO78" s="662"/>
      <c r="CP78" s="662"/>
      <c r="CQ78" s="662"/>
      <c r="CR78" s="662"/>
      <c r="CS78" s="662"/>
      <c r="CT78" s="662"/>
      <c r="CU78" s="662"/>
      <c r="CV78" s="662"/>
      <c r="CW78" s="662"/>
      <c r="CX78" s="662"/>
      <c r="CY78" s="662"/>
      <c r="CZ78" s="662"/>
      <c r="DA78" s="662"/>
      <c r="DB78" s="662"/>
      <c r="DC78" s="662"/>
      <c r="DD78" s="662"/>
      <c r="DE78" s="662"/>
      <c r="DF78" s="662"/>
      <c r="DG78" s="662"/>
      <c r="DH78" s="662"/>
      <c r="DI78" s="662"/>
      <c r="DJ78" s="662"/>
      <c r="DK78" s="662"/>
      <c r="DL78" s="662"/>
      <c r="DM78" s="662"/>
      <c r="DN78" s="662"/>
      <c r="DO78" s="662"/>
      <c r="DP78" s="662"/>
      <c r="DQ78" s="662"/>
      <c r="DR78" s="662"/>
      <c r="DS78" s="662"/>
      <c r="DT78" s="662"/>
      <c r="DU78" s="662"/>
      <c r="DV78" s="662"/>
      <c r="DW78" s="662"/>
      <c r="DX78" s="662"/>
      <c r="DY78" s="662"/>
      <c r="DZ78" s="662"/>
      <c r="EA78" s="662"/>
      <c r="EB78" s="662"/>
      <c r="EC78" s="662"/>
      <c r="ED78" s="662"/>
      <c r="EE78" s="662"/>
      <c r="EF78" s="662"/>
      <c r="EG78" s="662"/>
      <c r="EH78" s="662"/>
      <c r="EI78" s="662"/>
      <c r="EJ78" s="662"/>
      <c r="EK78" s="662"/>
      <c r="EL78" s="662"/>
      <c r="EM78" s="662"/>
      <c r="EN78" s="662"/>
      <c r="EO78" s="662"/>
      <c r="EP78" s="662"/>
      <c r="EQ78" s="662"/>
      <c r="ER78" s="662"/>
      <c r="ES78" s="662"/>
      <c r="ET78" s="662"/>
      <c r="EU78" s="662"/>
      <c r="EV78" s="662"/>
      <c r="EW78" s="662"/>
      <c r="EX78" s="662"/>
      <c r="EY78" s="662"/>
      <c r="EZ78" s="662"/>
      <c r="FA78" s="662"/>
      <c r="FB78" s="662"/>
      <c r="FC78" s="662"/>
      <c r="FD78" s="662"/>
      <c r="FE78" s="662"/>
      <c r="FF78" s="662"/>
    </row>
    <row r="79" spans="13:162">
      <c r="O79" s="803"/>
      <c r="P79" s="803"/>
      <c r="Q79" s="804"/>
      <c r="R79" s="656"/>
      <c r="S79" s="656"/>
      <c r="T79" s="656"/>
      <c r="U79" s="805"/>
      <c r="V79" s="804"/>
      <c r="W79" s="656"/>
      <c r="X79" s="656"/>
      <c r="Y79" s="656"/>
      <c r="Z79" s="656"/>
      <c r="AA79" s="656"/>
      <c r="AB79" s="806"/>
      <c r="AC79" s="708"/>
      <c r="AD79" s="708"/>
      <c r="AE79" s="656"/>
      <c r="AF79" s="656"/>
      <c r="AG79" s="662"/>
      <c r="AH79" s="662"/>
      <c r="AI79" s="662"/>
      <c r="AJ79" s="662"/>
      <c r="AK79" s="662"/>
      <c r="AL79" s="662"/>
      <c r="AM79" s="662"/>
      <c r="AN79" s="662"/>
      <c r="AO79" s="662"/>
      <c r="AP79" s="802"/>
      <c r="AQ79" s="662"/>
      <c r="AR79" s="662"/>
      <c r="AS79" s="662"/>
      <c r="AT79" s="662"/>
      <c r="AU79" s="662"/>
      <c r="AV79" s="662"/>
      <c r="AW79" s="662"/>
      <c r="AX79" s="662"/>
      <c r="AY79" s="662"/>
      <c r="AZ79" s="662"/>
      <c r="BA79" s="662"/>
      <c r="BB79" s="662"/>
      <c r="BC79" s="802"/>
      <c r="BD79" s="662"/>
      <c r="BE79" s="662"/>
      <c r="BF79" s="662"/>
      <c r="BG79" s="662"/>
      <c r="BH79" s="662"/>
      <c r="BI79" s="662"/>
      <c r="BJ79" s="662"/>
      <c r="BK79" s="662"/>
      <c r="BL79" s="662"/>
      <c r="BM79" s="662"/>
      <c r="BN79" s="662"/>
      <c r="BO79" s="662"/>
      <c r="BP79" s="662"/>
      <c r="BQ79" s="662"/>
      <c r="BR79" s="662"/>
      <c r="BS79" s="662"/>
      <c r="BT79" s="662"/>
      <c r="BU79" s="662"/>
      <c r="BV79" s="662"/>
      <c r="BW79" s="662"/>
      <c r="BX79" s="662"/>
      <c r="BY79" s="662"/>
      <c r="BZ79" s="662"/>
      <c r="CA79" s="662"/>
      <c r="CB79" s="662"/>
      <c r="CC79" s="662"/>
      <c r="CD79" s="662"/>
      <c r="CE79" s="662"/>
      <c r="CF79" s="662"/>
      <c r="CG79" s="662"/>
      <c r="CH79" s="662"/>
      <c r="CI79" s="662"/>
      <c r="CJ79" s="662"/>
      <c r="CK79" s="662"/>
      <c r="CL79" s="662"/>
      <c r="CM79" s="662"/>
      <c r="CN79" s="662"/>
      <c r="CO79" s="662"/>
      <c r="CP79" s="662"/>
      <c r="CQ79" s="662"/>
      <c r="CR79" s="662"/>
      <c r="CS79" s="662"/>
      <c r="CT79" s="662"/>
      <c r="CU79" s="662"/>
      <c r="CV79" s="662"/>
      <c r="CW79" s="662"/>
      <c r="CX79" s="662"/>
      <c r="CY79" s="662"/>
      <c r="CZ79" s="662"/>
      <c r="DA79" s="662"/>
      <c r="DB79" s="662"/>
      <c r="DC79" s="662"/>
      <c r="DD79" s="662"/>
      <c r="DE79" s="662"/>
      <c r="DF79" s="662"/>
      <c r="DG79" s="662"/>
      <c r="DH79" s="662"/>
      <c r="DI79" s="662"/>
      <c r="DJ79" s="662"/>
      <c r="DK79" s="662"/>
      <c r="DL79" s="662"/>
      <c r="DM79" s="662"/>
      <c r="DN79" s="662"/>
      <c r="DO79" s="662"/>
      <c r="DP79" s="662"/>
      <c r="DQ79" s="662"/>
      <c r="DR79" s="662"/>
      <c r="DS79" s="662"/>
      <c r="DT79" s="662"/>
      <c r="DU79" s="662"/>
      <c r="DV79" s="662"/>
      <c r="DW79" s="662"/>
      <c r="DX79" s="662"/>
      <c r="DY79" s="662"/>
      <c r="DZ79" s="662"/>
      <c r="EA79" s="662"/>
      <c r="EB79" s="662"/>
      <c r="EC79" s="662"/>
      <c r="ED79" s="662"/>
      <c r="EE79" s="662"/>
      <c r="EF79" s="662"/>
      <c r="EG79" s="662"/>
      <c r="EH79" s="662"/>
      <c r="EI79" s="662"/>
      <c r="EJ79" s="662"/>
      <c r="EK79" s="662"/>
      <c r="EL79" s="662"/>
      <c r="EM79" s="662"/>
      <c r="EN79" s="662"/>
      <c r="EO79" s="662"/>
      <c r="EP79" s="662"/>
      <c r="EQ79" s="662"/>
      <c r="ER79" s="662"/>
      <c r="ES79" s="662"/>
      <c r="ET79" s="662"/>
      <c r="EU79" s="662"/>
      <c r="EV79" s="662"/>
      <c r="EW79" s="662"/>
      <c r="EX79" s="662"/>
      <c r="EY79" s="662"/>
      <c r="EZ79" s="662"/>
      <c r="FA79" s="662"/>
      <c r="FB79" s="662"/>
      <c r="FC79" s="662"/>
      <c r="FD79" s="662"/>
      <c r="FE79" s="662"/>
      <c r="FF79" s="662"/>
    </row>
    <row r="80" spans="13:162">
      <c r="M80" s="34"/>
      <c r="O80" s="807" t="s">
        <v>632</v>
      </c>
      <c r="P80" s="808">
        <v>1.9439348657973206</v>
      </c>
      <c r="Q80" s="810">
        <v>1.955467650571185</v>
      </c>
      <c r="R80" s="810">
        <v>2.0905428107297448</v>
      </c>
      <c r="S80" s="810">
        <v>2.2636149980810134</v>
      </c>
      <c r="T80" s="810">
        <v>2.3651900687135328</v>
      </c>
      <c r="U80" s="810">
        <v>2.4229605295142203</v>
      </c>
      <c r="V80" s="810">
        <v>2.4887303682282091</v>
      </c>
      <c r="W80" s="810">
        <v>2.5633922792750581</v>
      </c>
      <c r="X80" s="810">
        <v>2.6402940476533128</v>
      </c>
      <c r="Y80" s="810">
        <v>2.7195028690829139</v>
      </c>
      <c r="Z80" s="810">
        <v>2.8010879551554044</v>
      </c>
      <c r="AA80" s="811">
        <v>2.8851205938100706</v>
      </c>
      <c r="AB80" s="806"/>
      <c r="AC80" s="708"/>
      <c r="AD80" s="708"/>
      <c r="AE80" s="656"/>
      <c r="AF80" s="656"/>
      <c r="AG80" s="662"/>
      <c r="AH80" s="662"/>
      <c r="AI80" s="662"/>
      <c r="AJ80" s="662"/>
      <c r="AK80" s="662"/>
      <c r="AL80" s="662"/>
      <c r="AM80" s="662"/>
      <c r="AN80" s="662"/>
      <c r="AO80" s="662"/>
      <c r="AP80" s="662"/>
      <c r="AQ80" s="662"/>
      <c r="AR80" s="662"/>
      <c r="AS80" s="662"/>
      <c r="AT80" s="662"/>
      <c r="AU80" s="662"/>
      <c r="AV80" s="662"/>
      <c r="AW80" s="662"/>
      <c r="AX80" s="662"/>
      <c r="AY80" s="662"/>
      <c r="AZ80" s="662"/>
      <c r="BA80" s="662"/>
      <c r="BB80" s="662"/>
      <c r="BC80" s="662"/>
      <c r="BD80" s="662"/>
      <c r="BE80" s="662"/>
      <c r="BF80" s="662"/>
      <c r="BG80" s="662"/>
      <c r="BH80" s="662"/>
      <c r="BI80" s="662"/>
      <c r="BJ80" s="662"/>
      <c r="BK80" s="662"/>
      <c r="BL80" s="662"/>
      <c r="BM80" s="662"/>
      <c r="BN80" s="662"/>
      <c r="BO80" s="662"/>
      <c r="BP80" s="662"/>
      <c r="BQ80" s="662"/>
      <c r="BR80" s="662"/>
      <c r="BS80" s="662"/>
      <c r="BT80" s="662"/>
      <c r="BU80" s="662"/>
      <c r="BV80" s="662"/>
      <c r="BW80" s="662"/>
      <c r="BX80" s="662"/>
      <c r="BY80" s="662"/>
      <c r="BZ80" s="662"/>
      <c r="CA80" s="662"/>
      <c r="CB80" s="662"/>
      <c r="CC80" s="662"/>
      <c r="CD80" s="662"/>
      <c r="CE80" s="662"/>
      <c r="CF80" s="662"/>
      <c r="CG80" s="662"/>
      <c r="CH80" s="662"/>
      <c r="CI80" s="662"/>
      <c r="CJ80" s="662"/>
      <c r="CK80" s="662"/>
      <c r="CL80" s="662"/>
      <c r="CM80" s="662"/>
      <c r="CN80" s="662"/>
      <c r="CO80" s="662"/>
      <c r="CP80" s="662"/>
      <c r="CQ80" s="662"/>
      <c r="CR80" s="662"/>
      <c r="CS80" s="662"/>
      <c r="CT80" s="662"/>
      <c r="CU80" s="662"/>
      <c r="CV80" s="662"/>
      <c r="CW80" s="662"/>
      <c r="CX80" s="662"/>
      <c r="CY80" s="662"/>
      <c r="CZ80" s="662"/>
      <c r="DA80" s="662"/>
      <c r="DB80" s="662"/>
      <c r="DC80" s="662"/>
      <c r="DD80" s="662"/>
      <c r="DE80" s="662"/>
      <c r="DF80" s="662"/>
      <c r="DG80" s="662"/>
      <c r="DH80" s="662"/>
      <c r="DI80" s="662"/>
      <c r="DJ80" s="662"/>
      <c r="DK80" s="662"/>
      <c r="DL80" s="662"/>
      <c r="DM80" s="662"/>
      <c r="DN80" s="662"/>
      <c r="DO80" s="662"/>
      <c r="DP80" s="662"/>
      <c r="DQ80" s="662"/>
      <c r="DR80" s="662"/>
      <c r="DS80" s="662"/>
      <c r="DT80" s="662"/>
      <c r="DU80" s="662"/>
      <c r="DV80" s="662"/>
      <c r="DW80" s="662"/>
      <c r="DX80" s="662"/>
      <c r="DY80" s="662"/>
      <c r="DZ80" s="662"/>
      <c r="EA80" s="662"/>
      <c r="EB80" s="662"/>
      <c r="EC80" s="662"/>
      <c r="ED80" s="662"/>
      <c r="EE80" s="662"/>
      <c r="EF80" s="662"/>
      <c r="EG80" s="662"/>
      <c r="EH80" s="662"/>
      <c r="EI80" s="662"/>
      <c r="EJ80" s="662"/>
      <c r="EK80" s="662"/>
      <c r="EL80" s="662"/>
      <c r="EM80" s="662"/>
      <c r="EN80" s="662"/>
      <c r="EO80" s="662"/>
      <c r="EP80" s="662"/>
      <c r="EQ80" s="662"/>
      <c r="ER80" s="662"/>
      <c r="ES80" s="662"/>
      <c r="ET80" s="662"/>
      <c r="EU80" s="662"/>
      <c r="EV80" s="662"/>
      <c r="EW80" s="662"/>
      <c r="EX80" s="662"/>
      <c r="EY80" s="662"/>
      <c r="EZ80" s="662"/>
      <c r="FA80" s="662"/>
      <c r="FB80" s="662"/>
      <c r="FC80" s="662"/>
      <c r="FD80" s="662"/>
      <c r="FE80" s="662"/>
      <c r="FF80" s="662"/>
    </row>
    <row r="81" spans="15:162" ht="13.5" thickBot="1">
      <c r="O81" s="803"/>
      <c r="P81" s="803"/>
      <c r="Q81" s="656"/>
      <c r="R81" s="812"/>
      <c r="S81" s="812"/>
      <c r="T81" s="812"/>
      <c r="U81" s="812"/>
      <c r="V81" s="812"/>
      <c r="W81" s="812"/>
      <c r="X81" s="812"/>
      <c r="Y81" s="812"/>
      <c r="Z81" s="812"/>
      <c r="AA81" s="812"/>
      <c r="AB81" s="656"/>
      <c r="AC81" s="708"/>
      <c r="AD81" s="708"/>
      <c r="AE81" s="656"/>
      <c r="AF81" s="656"/>
      <c r="AG81" s="662"/>
      <c r="AH81" s="662"/>
      <c r="AI81" s="662"/>
      <c r="AJ81" s="662"/>
      <c r="AK81" s="662"/>
      <c r="AL81" s="662"/>
      <c r="AM81" s="813"/>
      <c r="AN81" s="662"/>
      <c r="AO81" s="662"/>
      <c r="AP81" s="662"/>
      <c r="AQ81" s="662"/>
      <c r="AR81" s="662"/>
      <c r="AS81" s="662"/>
      <c r="AT81" s="662"/>
      <c r="AU81" s="662"/>
      <c r="AV81" s="662"/>
      <c r="AW81" s="662"/>
      <c r="AX81" s="662"/>
      <c r="AY81" s="662"/>
      <c r="AZ81" s="662"/>
      <c r="BA81" s="662"/>
      <c r="BB81" s="662"/>
      <c r="BC81" s="662"/>
      <c r="BD81" s="662"/>
      <c r="BE81" s="662"/>
      <c r="BF81" s="662"/>
      <c r="BG81" s="662"/>
      <c r="BH81" s="662"/>
      <c r="BI81" s="662"/>
      <c r="BJ81" s="662"/>
      <c r="BK81" s="662"/>
      <c r="BL81" s="662"/>
      <c r="BM81" s="662"/>
      <c r="BN81" s="662"/>
      <c r="BO81" s="662"/>
      <c r="BP81" s="662"/>
      <c r="BQ81" s="662"/>
      <c r="BR81" s="662"/>
      <c r="BS81" s="662"/>
      <c r="BT81" s="662"/>
      <c r="BU81" s="662"/>
      <c r="BV81" s="662"/>
      <c r="BW81" s="662"/>
      <c r="BX81" s="662"/>
      <c r="BY81" s="662"/>
      <c r="BZ81" s="662"/>
      <c r="CA81" s="662"/>
      <c r="CB81" s="662"/>
      <c r="CC81" s="662"/>
      <c r="CD81" s="662"/>
      <c r="CE81" s="662"/>
      <c r="CF81" s="662"/>
      <c r="CG81" s="662"/>
      <c r="CH81" s="662"/>
      <c r="CI81" s="662"/>
      <c r="CJ81" s="662"/>
      <c r="CK81" s="662"/>
      <c r="CL81" s="662"/>
      <c r="CM81" s="662"/>
      <c r="CN81" s="662"/>
      <c r="CO81" s="662"/>
      <c r="CP81" s="662"/>
      <c r="CQ81" s="662"/>
      <c r="CR81" s="662"/>
      <c r="CS81" s="662"/>
      <c r="CT81" s="662"/>
      <c r="CU81" s="662"/>
      <c r="CV81" s="662"/>
      <c r="CW81" s="662"/>
      <c r="CX81" s="662"/>
      <c r="CY81" s="662"/>
      <c r="CZ81" s="662"/>
      <c r="DA81" s="662"/>
      <c r="DB81" s="662"/>
      <c r="DC81" s="662"/>
      <c r="DD81" s="662"/>
      <c r="DE81" s="662"/>
      <c r="DF81" s="662"/>
      <c r="DG81" s="662"/>
      <c r="DH81" s="662"/>
      <c r="DI81" s="662"/>
      <c r="DJ81" s="662"/>
      <c r="DK81" s="662"/>
      <c r="DL81" s="662"/>
      <c r="DM81" s="662"/>
      <c r="DN81" s="662"/>
      <c r="DO81" s="662"/>
      <c r="DP81" s="662"/>
      <c r="DQ81" s="662"/>
      <c r="DR81" s="662"/>
      <c r="DS81" s="662"/>
      <c r="DT81" s="662"/>
      <c r="DU81" s="662"/>
      <c r="DV81" s="662"/>
      <c r="DW81" s="662"/>
      <c r="DX81" s="662"/>
      <c r="DY81" s="662"/>
      <c r="DZ81" s="662"/>
      <c r="EA81" s="662"/>
      <c r="EB81" s="662"/>
      <c r="EC81" s="662"/>
      <c r="ED81" s="662"/>
      <c r="EE81" s="662"/>
      <c r="EF81" s="662"/>
      <c r="EG81" s="662"/>
      <c r="EH81" s="662"/>
      <c r="EI81" s="662"/>
      <c r="EJ81" s="662"/>
      <c r="EK81" s="662"/>
      <c r="EL81" s="662"/>
      <c r="EM81" s="662"/>
      <c r="EN81" s="662"/>
      <c r="EO81" s="662"/>
      <c r="EP81" s="662"/>
      <c r="EQ81" s="662"/>
      <c r="ER81" s="662"/>
      <c r="ES81" s="662"/>
      <c r="ET81" s="662"/>
      <c r="EU81" s="662"/>
      <c r="EV81" s="662"/>
      <c r="EW81" s="662"/>
      <c r="EX81" s="662"/>
      <c r="EY81" s="662"/>
      <c r="EZ81" s="662"/>
      <c r="FA81" s="662"/>
      <c r="FB81" s="662"/>
      <c r="FC81" s="662"/>
      <c r="FD81" s="662"/>
      <c r="FE81" s="662"/>
      <c r="FF81" s="662"/>
    </row>
    <row r="82" spans="15:162" ht="13.5" thickBot="1">
      <c r="O82" s="814" t="s">
        <v>633</v>
      </c>
      <c r="P82" s="796">
        <v>0</v>
      </c>
      <c r="Q82" s="796">
        <v>0</v>
      </c>
      <c r="R82" s="796">
        <v>0</v>
      </c>
      <c r="S82" s="796">
        <v>0</v>
      </c>
      <c r="T82" s="796">
        <v>0</v>
      </c>
      <c r="U82" s="796">
        <v>0</v>
      </c>
      <c r="V82" s="796">
        <v>0</v>
      </c>
      <c r="W82" s="796">
        <v>0</v>
      </c>
      <c r="X82" s="796">
        <v>0</v>
      </c>
      <c r="Y82" s="796">
        <v>0</v>
      </c>
      <c r="Z82" s="815">
        <v>0</v>
      </c>
      <c r="AA82" s="727"/>
      <c r="AB82" s="812"/>
      <c r="AC82" s="708"/>
      <c r="AD82" s="708"/>
      <c r="AE82" s="656"/>
      <c r="AF82" s="656"/>
      <c r="AG82" s="662"/>
      <c r="AH82" s="662"/>
      <c r="AI82" s="662"/>
      <c r="AJ82" s="662"/>
      <c r="AK82" s="662"/>
      <c r="AL82" s="662"/>
      <c r="AM82" s="802"/>
      <c r="AN82" s="662"/>
      <c r="AO82" s="662"/>
      <c r="AP82" s="662"/>
      <c r="AQ82" s="662"/>
      <c r="AR82" s="662"/>
      <c r="AS82" s="662"/>
      <c r="AT82" s="662"/>
      <c r="AU82" s="662"/>
      <c r="AV82" s="662"/>
      <c r="AW82" s="662"/>
      <c r="AX82" s="662"/>
      <c r="AY82" s="662"/>
      <c r="AZ82" s="662"/>
      <c r="BA82" s="662"/>
      <c r="BB82" s="662"/>
      <c r="BC82" s="662"/>
      <c r="BD82" s="662"/>
      <c r="BE82" s="662"/>
      <c r="BF82" s="662"/>
      <c r="BG82" s="662"/>
      <c r="BH82" s="662"/>
      <c r="BI82" s="662"/>
      <c r="BJ82" s="662"/>
      <c r="BK82" s="662"/>
      <c r="BL82" s="662"/>
      <c r="BM82" s="662"/>
      <c r="BN82" s="662"/>
      <c r="BO82" s="662"/>
      <c r="BP82" s="662"/>
      <c r="BQ82" s="662"/>
      <c r="BR82" s="662"/>
      <c r="BS82" s="662"/>
      <c r="BT82" s="662"/>
      <c r="BU82" s="662"/>
      <c r="BV82" s="662"/>
      <c r="BW82" s="662"/>
      <c r="BX82" s="662"/>
      <c r="BY82" s="662"/>
      <c r="BZ82" s="662"/>
      <c r="CA82" s="662"/>
      <c r="CB82" s="662"/>
      <c r="CC82" s="662"/>
      <c r="CD82" s="662"/>
      <c r="CE82" s="662"/>
      <c r="CF82" s="662"/>
      <c r="CG82" s="662"/>
      <c r="CH82" s="662"/>
      <c r="CI82" s="662"/>
      <c r="CJ82" s="662"/>
      <c r="CK82" s="662"/>
      <c r="CL82" s="662"/>
      <c r="CM82" s="662"/>
      <c r="CN82" s="662"/>
      <c r="CO82" s="662"/>
      <c r="CP82" s="662"/>
      <c r="CQ82" s="662"/>
      <c r="CR82" s="662"/>
      <c r="CS82" s="662"/>
      <c r="CT82" s="662"/>
      <c r="CU82" s="662"/>
      <c r="CV82" s="662"/>
      <c r="CW82" s="662"/>
      <c r="CX82" s="662"/>
      <c r="CY82" s="662"/>
      <c r="CZ82" s="662"/>
      <c r="DA82" s="662"/>
      <c r="DB82" s="662"/>
      <c r="DC82" s="662"/>
      <c r="DD82" s="662"/>
      <c r="DE82" s="662"/>
      <c r="DF82" s="662"/>
      <c r="DG82" s="662"/>
      <c r="DH82" s="662"/>
      <c r="DI82" s="662"/>
      <c r="DJ82" s="662"/>
      <c r="DK82" s="662"/>
      <c r="DL82" s="662"/>
      <c r="DM82" s="662"/>
      <c r="DN82" s="662"/>
      <c r="DO82" s="662"/>
      <c r="DP82" s="662"/>
      <c r="DQ82" s="662"/>
      <c r="DR82" s="662"/>
      <c r="DS82" s="662"/>
      <c r="DT82" s="662"/>
      <c r="DU82" s="662"/>
      <c r="DV82" s="662"/>
      <c r="DW82" s="662"/>
      <c r="DX82" s="662"/>
      <c r="DY82" s="662"/>
      <c r="DZ82" s="662"/>
      <c r="EA82" s="662"/>
      <c r="EB82" s="662"/>
      <c r="EC82" s="662"/>
      <c r="ED82" s="662"/>
      <c r="EE82" s="662"/>
      <c r="EF82" s="662"/>
      <c r="EG82" s="662"/>
      <c r="EH82" s="662"/>
      <c r="EI82" s="662"/>
      <c r="EJ82" s="662"/>
      <c r="EK82" s="662"/>
      <c r="EL82" s="662"/>
      <c r="EM82" s="662"/>
      <c r="EN82" s="662"/>
      <c r="EO82" s="662"/>
      <c r="EP82" s="662"/>
      <c r="EQ82" s="662"/>
      <c r="ER82" s="662"/>
      <c r="ES82" s="662"/>
      <c r="ET82" s="662"/>
      <c r="EU82" s="662"/>
      <c r="EV82" s="662"/>
      <c r="EW82" s="662"/>
      <c r="EX82" s="662"/>
      <c r="EY82" s="662"/>
      <c r="EZ82" s="662"/>
      <c r="FA82" s="662"/>
      <c r="FB82" s="662"/>
      <c r="FC82" s="662"/>
      <c r="FD82" s="662"/>
      <c r="FE82" s="662"/>
      <c r="FF82" s="662"/>
    </row>
    <row r="83" spans="15:162" ht="13.5" thickBot="1"/>
    <row r="84" spans="15:162" ht="13.5" thickBot="1">
      <c r="O84" s="814" t="s">
        <v>475</v>
      </c>
      <c r="P84" s="794"/>
      <c r="Q84" s="797">
        <v>2468458</v>
      </c>
      <c r="R84" s="797">
        <v>2725294</v>
      </c>
      <c r="S84" s="797">
        <v>3185548</v>
      </c>
      <c r="T84" s="797">
        <v>3736004</v>
      </c>
      <c r="U84" s="797">
        <v>3820329</v>
      </c>
      <c r="V84" s="797"/>
      <c r="W84" s="797"/>
      <c r="X84" s="797"/>
      <c r="Y84" s="797"/>
      <c r="Z84" s="797"/>
      <c r="AA84" s="797"/>
    </row>
    <row r="85" spans="15:162" ht="13.5" thickBot="1"/>
    <row r="86" spans="15:162" ht="13.5" thickBot="1">
      <c r="O86" s="814" t="s">
        <v>474</v>
      </c>
      <c r="P86" s="794">
        <v>3102916</v>
      </c>
      <c r="Q86" s="797">
        <v>2962471</v>
      </c>
      <c r="R86" s="797">
        <v>2818743</v>
      </c>
      <c r="S86" s="797">
        <v>2982135</v>
      </c>
      <c r="T86" s="797">
        <v>4670006</v>
      </c>
      <c r="U86" s="797">
        <v>4775411</v>
      </c>
      <c r="V86" s="797"/>
      <c r="W86" s="797"/>
      <c r="X86" s="797"/>
      <c r="Y86" s="797"/>
      <c r="Z86" s="797"/>
      <c r="AA86" s="797"/>
    </row>
    <row r="89" spans="15:162">
      <c r="O89" s="852" t="s">
        <v>683</v>
      </c>
      <c r="P89" s="853">
        <f>12/12</f>
        <v>1</v>
      </c>
      <c r="Q89" s="854">
        <f>1-P89</f>
        <v>0</v>
      </c>
    </row>
    <row r="93" spans="15:162">
      <c r="P93" s="1047">
        <f>P77/C6</f>
        <v>6.9021236249258738E-2</v>
      </c>
    </row>
    <row r="205" spans="15:163">
      <c r="O205" s="123"/>
      <c r="P205" s="123"/>
      <c r="Q205" s="123"/>
      <c r="R205" s="123"/>
      <c r="S205" s="123"/>
      <c r="T205" s="123"/>
      <c r="U205" s="123"/>
      <c r="V205" s="123"/>
      <c r="W205" s="123"/>
      <c r="X205" s="123"/>
      <c r="Y205" s="123"/>
      <c r="Z205" s="123"/>
      <c r="AA205" s="123"/>
      <c r="AB205" s="123"/>
      <c r="AC205" s="123"/>
      <c r="AD205" s="123"/>
      <c r="AE205" s="123"/>
      <c r="AF205" s="123"/>
      <c r="AG205" s="123"/>
      <c r="AH205" s="123"/>
      <c r="AI205" s="123"/>
      <c r="AJ205" s="123"/>
      <c r="AK205" s="123"/>
      <c r="AL205" s="123"/>
      <c r="AM205" s="123"/>
      <c r="AN205" s="123"/>
      <c r="AO205" s="123"/>
      <c r="AP205" s="123"/>
      <c r="AQ205" s="123"/>
      <c r="AR205" s="123"/>
      <c r="AS205" s="123"/>
      <c r="AT205" s="123"/>
      <c r="AU205" s="123"/>
      <c r="AV205" s="123"/>
      <c r="AW205" s="123"/>
      <c r="AX205" s="123"/>
      <c r="AY205" s="123"/>
      <c r="AZ205" s="123"/>
      <c r="BA205" s="123"/>
      <c r="BB205" s="123"/>
      <c r="BC205" s="123"/>
      <c r="BD205" s="123"/>
      <c r="BE205" s="123"/>
      <c r="BF205" s="123"/>
      <c r="BG205" s="123"/>
      <c r="BH205" s="123"/>
      <c r="BI205" s="123"/>
      <c r="BJ205" s="123"/>
      <c r="BK205" s="123"/>
      <c r="BL205" s="123"/>
      <c r="BM205" s="123"/>
      <c r="BN205" s="123"/>
      <c r="BO205" s="123"/>
      <c r="BP205" s="123"/>
      <c r="BQ205" s="123"/>
      <c r="BR205" s="123"/>
      <c r="BS205" s="123"/>
      <c r="BT205" s="123"/>
      <c r="BU205" s="123"/>
      <c r="BV205" s="123"/>
      <c r="BW205" s="123"/>
      <c r="BX205" s="123"/>
      <c r="BY205" s="123"/>
      <c r="BZ205" s="123"/>
      <c r="CA205" s="123"/>
      <c r="CB205" s="123"/>
      <c r="CC205" s="123"/>
      <c r="CD205" s="123"/>
      <c r="CE205" s="123"/>
      <c r="CF205" s="123"/>
      <c r="CG205" s="123"/>
      <c r="CH205" s="123"/>
      <c r="CI205" s="123"/>
      <c r="CJ205" s="123"/>
      <c r="CK205" s="123"/>
      <c r="CL205" s="123"/>
      <c r="CM205" s="123"/>
      <c r="CN205" s="123"/>
      <c r="CO205" s="123"/>
      <c r="CP205" s="123"/>
      <c r="CQ205" s="123"/>
      <c r="CR205" s="123"/>
      <c r="CS205" s="123"/>
      <c r="CT205" s="123"/>
      <c r="CU205" s="123"/>
      <c r="CV205" s="123"/>
      <c r="CW205" s="123"/>
      <c r="CX205" s="123"/>
      <c r="CY205" s="123"/>
      <c r="CZ205" s="123"/>
      <c r="DA205" s="123"/>
      <c r="DB205" s="123"/>
      <c r="DC205" s="123"/>
      <c r="DD205" s="123"/>
      <c r="DE205" s="123"/>
      <c r="DF205" s="123"/>
      <c r="DG205" s="123"/>
      <c r="DH205" s="123"/>
      <c r="DI205" s="123"/>
      <c r="DJ205" s="123"/>
      <c r="DK205" s="123"/>
      <c r="DL205" s="123"/>
      <c r="DM205" s="123"/>
      <c r="DN205" s="123"/>
      <c r="DO205" s="123"/>
      <c r="DP205" s="123"/>
      <c r="DQ205" s="123"/>
      <c r="DR205" s="123"/>
      <c r="DS205" s="123"/>
      <c r="DT205" s="123"/>
      <c r="DU205" s="123"/>
      <c r="DV205" s="123"/>
      <c r="DW205" s="123"/>
      <c r="DX205" s="123"/>
      <c r="DY205" s="123"/>
      <c r="DZ205" s="123"/>
      <c r="EA205" s="123"/>
      <c r="EB205" s="123"/>
      <c r="EC205" s="123"/>
      <c r="ED205" s="123"/>
      <c r="EE205" s="123"/>
      <c r="EF205" s="123"/>
      <c r="EG205" s="123"/>
      <c r="EH205" s="123"/>
      <c r="EI205" s="123"/>
      <c r="EJ205" s="123"/>
      <c r="EK205" s="123"/>
      <c r="EL205" s="123"/>
      <c r="EM205" s="123"/>
      <c r="EN205" s="123"/>
      <c r="EO205" s="123"/>
      <c r="EP205" s="123"/>
      <c r="EQ205" s="123"/>
      <c r="ER205" s="123"/>
      <c r="ES205" s="123"/>
      <c r="ET205" s="123"/>
      <c r="EU205" s="123"/>
      <c r="EV205" s="123"/>
      <c r="EW205" s="123"/>
      <c r="EX205" s="123"/>
      <c r="EY205" s="123"/>
      <c r="EZ205" s="123"/>
      <c r="FA205" s="123"/>
      <c r="FB205" s="123"/>
      <c r="FC205" s="123"/>
      <c r="FD205" s="123"/>
      <c r="FE205" s="123"/>
      <c r="FF205" s="123"/>
      <c r="FG205" s="123"/>
    </row>
    <row r="206" spans="15:163">
      <c r="O206" s="123"/>
      <c r="P206" s="123"/>
      <c r="Q206" s="123"/>
      <c r="R206" s="123"/>
      <c r="S206" s="123"/>
      <c r="T206" s="123"/>
      <c r="U206" s="123"/>
      <c r="V206" s="123"/>
      <c r="W206" s="123"/>
      <c r="X206" s="123"/>
      <c r="Y206" s="123"/>
      <c r="Z206" s="123"/>
      <c r="AA206" s="123"/>
      <c r="AB206" s="123"/>
      <c r="AC206" s="123"/>
      <c r="AD206" s="123"/>
      <c r="AE206" s="123"/>
      <c r="AF206" s="123"/>
      <c r="AG206" s="123"/>
      <c r="AH206" s="123"/>
      <c r="AI206" s="123"/>
      <c r="AJ206" s="123"/>
      <c r="AK206" s="123"/>
      <c r="AL206" s="123"/>
      <c r="AM206" s="123"/>
      <c r="AN206" s="123"/>
      <c r="AO206" s="123"/>
      <c r="AP206" s="123"/>
      <c r="AQ206" s="123"/>
      <c r="AR206" s="123"/>
      <c r="AS206" s="123"/>
      <c r="AT206" s="123"/>
      <c r="AU206" s="123"/>
      <c r="AV206" s="123"/>
      <c r="AW206" s="123"/>
      <c r="AX206" s="123"/>
      <c r="AY206" s="123"/>
      <c r="AZ206" s="123"/>
      <c r="BA206" s="123"/>
      <c r="BB206" s="123"/>
      <c r="BC206" s="123"/>
      <c r="BD206" s="123"/>
      <c r="BE206" s="123"/>
      <c r="BF206" s="123"/>
      <c r="BG206" s="123"/>
      <c r="BH206" s="123"/>
      <c r="BI206" s="123"/>
      <c r="BJ206" s="123"/>
      <c r="BK206" s="123"/>
      <c r="BL206" s="123"/>
      <c r="BM206" s="123"/>
      <c r="BN206" s="123"/>
      <c r="BO206" s="123"/>
      <c r="BP206" s="123"/>
      <c r="BQ206" s="123"/>
      <c r="BR206" s="123"/>
      <c r="BS206" s="123"/>
      <c r="BT206" s="123"/>
      <c r="BU206" s="123"/>
      <c r="BV206" s="123"/>
      <c r="BW206" s="123"/>
      <c r="BX206" s="123"/>
      <c r="BY206" s="123"/>
      <c r="BZ206" s="123"/>
      <c r="CA206" s="123"/>
      <c r="CB206" s="123"/>
      <c r="CC206" s="123"/>
      <c r="CD206" s="123"/>
      <c r="CE206" s="123"/>
      <c r="CF206" s="123"/>
      <c r="CG206" s="123"/>
      <c r="CH206" s="123"/>
      <c r="CI206" s="123"/>
      <c r="CJ206" s="123"/>
      <c r="CK206" s="123"/>
      <c r="CL206" s="123"/>
      <c r="CM206" s="123"/>
      <c r="CN206" s="123"/>
      <c r="CO206" s="123"/>
      <c r="CP206" s="123"/>
      <c r="CQ206" s="123"/>
      <c r="CR206" s="123"/>
      <c r="CS206" s="123"/>
      <c r="CT206" s="123"/>
      <c r="CU206" s="123"/>
      <c r="CV206" s="123"/>
      <c r="CW206" s="123"/>
      <c r="CX206" s="123"/>
      <c r="CY206" s="123"/>
      <c r="CZ206" s="123"/>
      <c r="DA206" s="123"/>
      <c r="DB206" s="123"/>
      <c r="DC206" s="123"/>
      <c r="DD206" s="123"/>
      <c r="DE206" s="123"/>
      <c r="DF206" s="123"/>
      <c r="DG206" s="123"/>
      <c r="DH206" s="123"/>
      <c r="DI206" s="123"/>
      <c r="DJ206" s="123"/>
      <c r="DK206" s="123"/>
      <c r="DL206" s="123"/>
      <c r="DM206" s="123"/>
      <c r="DN206" s="123"/>
      <c r="DO206" s="123"/>
      <c r="DP206" s="123"/>
      <c r="DQ206" s="123"/>
      <c r="DR206" s="123"/>
      <c r="DS206" s="123"/>
      <c r="DT206" s="123"/>
      <c r="DU206" s="123"/>
      <c r="DV206" s="123"/>
      <c r="DW206" s="123"/>
      <c r="DX206" s="123"/>
      <c r="DY206" s="123"/>
      <c r="DZ206" s="123"/>
      <c r="EA206" s="123"/>
      <c r="EB206" s="123"/>
      <c r="EC206" s="123"/>
      <c r="ED206" s="123"/>
      <c r="EE206" s="123"/>
      <c r="EF206" s="123"/>
      <c r="EG206" s="123"/>
      <c r="EH206" s="123"/>
      <c r="EI206" s="123"/>
      <c r="EJ206" s="123"/>
      <c r="EK206" s="123"/>
      <c r="EL206" s="123"/>
      <c r="EM206" s="123"/>
      <c r="EN206" s="123"/>
      <c r="EO206" s="123"/>
      <c r="EP206" s="123"/>
      <c r="EQ206" s="123"/>
      <c r="ER206" s="123"/>
      <c r="ES206" s="123"/>
      <c r="ET206" s="123"/>
      <c r="EU206" s="123"/>
      <c r="EV206" s="123"/>
      <c r="EW206" s="123"/>
      <c r="EX206" s="123"/>
      <c r="EY206" s="123"/>
      <c r="EZ206" s="123"/>
      <c r="FA206" s="123"/>
      <c r="FB206" s="123"/>
      <c r="FC206" s="123"/>
      <c r="FD206" s="123"/>
      <c r="FE206" s="123"/>
      <c r="FF206" s="123"/>
      <c r="FG206" s="123"/>
    </row>
    <row r="207" spans="15:163">
      <c r="O207" s="123"/>
      <c r="P207" s="123"/>
      <c r="Q207" s="123"/>
      <c r="R207" s="123"/>
      <c r="S207" s="123"/>
      <c r="T207" s="123"/>
      <c r="U207" s="123"/>
      <c r="V207" s="123"/>
      <c r="W207" s="123"/>
      <c r="X207" s="123"/>
      <c r="Y207" s="123"/>
      <c r="Z207" s="123"/>
      <c r="AA207" s="123"/>
      <c r="AB207" s="123"/>
      <c r="AC207" s="123"/>
      <c r="AD207" s="123"/>
      <c r="AE207" s="123"/>
      <c r="AF207" s="123"/>
      <c r="AG207" s="123"/>
      <c r="AH207" s="123"/>
      <c r="AI207" s="123"/>
      <c r="AJ207" s="123"/>
      <c r="AK207" s="123"/>
      <c r="AL207" s="123"/>
      <c r="AM207" s="123"/>
      <c r="AN207" s="123"/>
      <c r="AO207" s="123"/>
      <c r="AP207" s="123"/>
      <c r="AQ207" s="123"/>
      <c r="AR207" s="123"/>
      <c r="AS207" s="123"/>
      <c r="AT207" s="123"/>
      <c r="AU207" s="123"/>
      <c r="AV207" s="123"/>
      <c r="AW207" s="123"/>
      <c r="AX207" s="123"/>
      <c r="AY207" s="123"/>
      <c r="AZ207" s="123"/>
      <c r="BA207" s="123"/>
      <c r="BB207" s="123"/>
      <c r="BC207" s="123"/>
      <c r="BD207" s="123"/>
      <c r="BE207" s="123"/>
      <c r="BF207" s="123"/>
      <c r="BG207" s="123"/>
      <c r="BH207" s="123"/>
      <c r="BI207" s="123"/>
      <c r="BJ207" s="123"/>
      <c r="BK207" s="123"/>
      <c r="BL207" s="123"/>
      <c r="BM207" s="123"/>
      <c r="BN207" s="123"/>
      <c r="BO207" s="123"/>
      <c r="BP207" s="123"/>
      <c r="BQ207" s="123"/>
      <c r="BR207" s="123"/>
      <c r="BS207" s="123"/>
      <c r="BT207" s="123"/>
      <c r="BU207" s="123"/>
      <c r="BV207" s="123"/>
      <c r="BW207" s="123"/>
      <c r="BX207" s="123"/>
      <c r="BY207" s="123"/>
      <c r="BZ207" s="123"/>
      <c r="CA207" s="123"/>
      <c r="CB207" s="123"/>
      <c r="CC207" s="123"/>
      <c r="CD207" s="123"/>
      <c r="CE207" s="123"/>
      <c r="CF207" s="123"/>
      <c r="CG207" s="123"/>
      <c r="CH207" s="123"/>
      <c r="CI207" s="123"/>
      <c r="CJ207" s="123"/>
      <c r="CK207" s="123"/>
      <c r="CL207" s="123"/>
      <c r="CM207" s="123"/>
      <c r="CN207" s="123"/>
      <c r="CO207" s="123"/>
      <c r="CP207" s="123"/>
      <c r="CQ207" s="123"/>
      <c r="CR207" s="123"/>
      <c r="CS207" s="123"/>
      <c r="CT207" s="123"/>
      <c r="CU207" s="123"/>
      <c r="CV207" s="123"/>
      <c r="CW207" s="123"/>
      <c r="CX207" s="123"/>
      <c r="CY207" s="123"/>
      <c r="CZ207" s="123"/>
      <c r="DA207" s="123"/>
      <c r="DB207" s="123"/>
      <c r="DC207" s="123"/>
      <c r="DD207" s="123"/>
      <c r="DE207" s="123"/>
      <c r="DF207" s="123"/>
      <c r="DG207" s="123"/>
      <c r="DH207" s="123"/>
      <c r="DI207" s="123"/>
      <c r="DJ207" s="123"/>
      <c r="DK207" s="123"/>
      <c r="DL207" s="123"/>
      <c r="DM207" s="123"/>
      <c r="DN207" s="123"/>
      <c r="DO207" s="123"/>
      <c r="DP207" s="123"/>
      <c r="DQ207" s="123"/>
      <c r="DR207" s="123"/>
      <c r="DS207" s="123"/>
      <c r="DT207" s="123"/>
      <c r="DU207" s="123"/>
      <c r="DV207" s="123"/>
      <c r="DW207" s="123"/>
      <c r="DX207" s="123"/>
      <c r="DY207" s="123"/>
      <c r="DZ207" s="123"/>
      <c r="EA207" s="123"/>
      <c r="EB207" s="123"/>
      <c r="EC207" s="123"/>
      <c r="ED207" s="123"/>
      <c r="EE207" s="123"/>
      <c r="EF207" s="123"/>
      <c r="EG207" s="123"/>
      <c r="EH207" s="123"/>
      <c r="EI207" s="123"/>
      <c r="EJ207" s="123"/>
      <c r="EK207" s="123"/>
      <c r="EL207" s="123"/>
      <c r="EM207" s="123"/>
      <c r="EN207" s="123"/>
      <c r="EO207" s="123"/>
      <c r="EP207" s="123"/>
      <c r="EQ207" s="123"/>
      <c r="ER207" s="123"/>
      <c r="ES207" s="123"/>
      <c r="ET207" s="123"/>
      <c r="EU207" s="123"/>
      <c r="EV207" s="123"/>
      <c r="EW207" s="123"/>
      <c r="EX207" s="123"/>
      <c r="EY207" s="123"/>
      <c r="EZ207" s="123"/>
      <c r="FA207" s="123"/>
      <c r="FB207" s="123"/>
      <c r="FC207" s="123"/>
      <c r="FD207" s="123"/>
      <c r="FE207" s="123"/>
      <c r="FF207" s="123"/>
      <c r="FG207" s="123"/>
    </row>
    <row r="208" spans="15:163">
      <c r="O208" s="123"/>
      <c r="P208" s="123"/>
      <c r="Q208" s="123"/>
      <c r="R208" s="123"/>
      <c r="S208" s="123"/>
      <c r="T208" s="123"/>
      <c r="U208" s="123"/>
      <c r="V208" s="123"/>
      <c r="W208" s="123"/>
      <c r="X208" s="123"/>
      <c r="Y208" s="123"/>
      <c r="Z208" s="123"/>
      <c r="AA208" s="123"/>
      <c r="AB208" s="123"/>
      <c r="AC208" s="123"/>
      <c r="AD208" s="123"/>
      <c r="AE208" s="123"/>
      <c r="AF208" s="123"/>
      <c r="AG208" s="123"/>
      <c r="AH208" s="123"/>
      <c r="AI208" s="123"/>
      <c r="AJ208" s="123"/>
      <c r="AK208" s="123"/>
      <c r="AL208" s="123"/>
      <c r="AM208" s="123"/>
      <c r="AN208" s="123"/>
      <c r="AO208" s="123"/>
      <c r="AP208" s="123"/>
      <c r="AQ208" s="123"/>
      <c r="AR208" s="123"/>
      <c r="AS208" s="123"/>
      <c r="AT208" s="123"/>
      <c r="AU208" s="123"/>
      <c r="AV208" s="123"/>
      <c r="AW208" s="123"/>
      <c r="AX208" s="123"/>
      <c r="AY208" s="123"/>
      <c r="AZ208" s="123"/>
      <c r="BA208" s="123"/>
      <c r="BB208" s="123"/>
      <c r="BC208" s="123"/>
      <c r="BD208" s="123"/>
      <c r="BE208" s="123"/>
      <c r="BF208" s="123"/>
      <c r="BG208" s="123"/>
      <c r="BH208" s="123"/>
      <c r="BI208" s="123"/>
      <c r="BJ208" s="123"/>
      <c r="BK208" s="123"/>
      <c r="BL208" s="123"/>
      <c r="BM208" s="123"/>
      <c r="BN208" s="123"/>
      <c r="BO208" s="123"/>
      <c r="BP208" s="123"/>
      <c r="BQ208" s="123"/>
      <c r="BR208" s="123"/>
      <c r="BS208" s="123"/>
      <c r="BT208" s="123"/>
      <c r="BU208" s="123"/>
      <c r="BV208" s="123"/>
      <c r="BW208" s="123"/>
      <c r="BX208" s="123"/>
      <c r="BY208" s="123"/>
      <c r="BZ208" s="123"/>
      <c r="CA208" s="123"/>
      <c r="CB208" s="123"/>
      <c r="CC208" s="123"/>
      <c r="CD208" s="123"/>
      <c r="CE208" s="123"/>
      <c r="CF208" s="123"/>
      <c r="CG208" s="123"/>
      <c r="CH208" s="123"/>
      <c r="CI208" s="123"/>
      <c r="CJ208" s="123"/>
      <c r="CK208" s="123"/>
      <c r="CL208" s="123"/>
      <c r="CM208" s="123"/>
      <c r="CN208" s="123"/>
      <c r="CO208" s="123"/>
      <c r="CP208" s="123"/>
      <c r="CQ208" s="123"/>
      <c r="CR208" s="123"/>
      <c r="CS208" s="123"/>
      <c r="CT208" s="123"/>
      <c r="CU208" s="123"/>
      <c r="CV208" s="123"/>
      <c r="CW208" s="123"/>
      <c r="CX208" s="123"/>
      <c r="CY208" s="123"/>
      <c r="CZ208" s="123"/>
      <c r="DA208" s="123"/>
      <c r="DB208" s="123"/>
      <c r="DC208" s="123"/>
      <c r="DD208" s="123"/>
      <c r="DE208" s="123"/>
      <c r="DF208" s="123"/>
      <c r="DG208" s="123"/>
      <c r="DH208" s="123"/>
      <c r="DI208" s="123"/>
      <c r="DJ208" s="123"/>
      <c r="DK208" s="123"/>
      <c r="DL208" s="123"/>
      <c r="DM208" s="123"/>
      <c r="DN208" s="123"/>
      <c r="DO208" s="123"/>
      <c r="DP208" s="123"/>
      <c r="DQ208" s="123"/>
      <c r="DR208" s="123"/>
      <c r="DS208" s="123"/>
      <c r="DT208" s="123"/>
      <c r="DU208" s="123"/>
      <c r="DV208" s="123"/>
      <c r="DW208" s="123"/>
      <c r="DX208" s="123"/>
      <c r="DY208" s="123"/>
      <c r="DZ208" s="123"/>
      <c r="EA208" s="123"/>
      <c r="EB208" s="123"/>
      <c r="EC208" s="123"/>
      <c r="ED208" s="123"/>
      <c r="EE208" s="123"/>
      <c r="EF208" s="123"/>
      <c r="EG208" s="123"/>
      <c r="EH208" s="123"/>
      <c r="EI208" s="123"/>
      <c r="EJ208" s="123"/>
      <c r="EK208" s="123"/>
      <c r="EL208" s="123"/>
      <c r="EM208" s="123"/>
      <c r="EN208" s="123"/>
      <c r="EO208" s="123"/>
      <c r="EP208" s="123"/>
      <c r="EQ208" s="123"/>
      <c r="ER208" s="123"/>
      <c r="ES208" s="123"/>
      <c r="ET208" s="123"/>
      <c r="EU208" s="123"/>
      <c r="EV208" s="123"/>
      <c r="EW208" s="123"/>
      <c r="EX208" s="123"/>
      <c r="EY208" s="123"/>
      <c r="EZ208" s="123"/>
      <c r="FA208" s="123"/>
      <c r="FB208" s="123"/>
      <c r="FC208" s="123"/>
      <c r="FD208" s="123"/>
      <c r="FE208" s="123"/>
      <c r="FF208" s="123"/>
      <c r="FG208" s="123"/>
    </row>
    <row r="209" spans="15:163">
      <c r="O209" s="123"/>
      <c r="P209" s="123"/>
      <c r="Q209" s="123"/>
      <c r="R209" s="123"/>
      <c r="S209" s="123"/>
      <c r="T209" s="123"/>
      <c r="U209" s="123"/>
      <c r="V209" s="123"/>
      <c r="W209" s="123"/>
      <c r="X209" s="123"/>
      <c r="Y209" s="123"/>
      <c r="Z209" s="123"/>
      <c r="AA209" s="123"/>
      <c r="AB209" s="123"/>
      <c r="AC209" s="123"/>
      <c r="AD209" s="123"/>
      <c r="AE209" s="123"/>
      <c r="AF209" s="123"/>
      <c r="AG209" s="123"/>
      <c r="AH209" s="123"/>
      <c r="AI209" s="123"/>
      <c r="AJ209" s="123"/>
      <c r="AK209" s="123"/>
      <c r="AL209" s="123"/>
      <c r="AM209" s="123"/>
      <c r="AN209" s="123"/>
      <c r="AO209" s="123"/>
      <c r="AP209" s="123"/>
      <c r="AQ209" s="123"/>
      <c r="AR209" s="123"/>
      <c r="AS209" s="123"/>
      <c r="AT209" s="123"/>
      <c r="AU209" s="123"/>
      <c r="AV209" s="123"/>
      <c r="AW209" s="123"/>
      <c r="AX209" s="123"/>
      <c r="AY209" s="123"/>
      <c r="AZ209" s="123"/>
      <c r="BA209" s="123"/>
      <c r="BB209" s="123"/>
      <c r="BC209" s="123"/>
      <c r="BD209" s="123"/>
      <c r="BE209" s="123"/>
      <c r="BF209" s="123"/>
      <c r="BG209" s="123"/>
      <c r="BH209" s="123"/>
      <c r="BI209" s="123"/>
      <c r="BJ209" s="123"/>
      <c r="BK209" s="123"/>
      <c r="BL209" s="123"/>
      <c r="BM209" s="123"/>
      <c r="BN209" s="123"/>
      <c r="BO209" s="123"/>
      <c r="BP209" s="123"/>
      <c r="BQ209" s="123"/>
      <c r="BR209" s="123"/>
      <c r="BS209" s="123"/>
      <c r="BT209" s="123"/>
      <c r="BU209" s="123"/>
      <c r="BV209" s="123"/>
      <c r="BW209" s="123"/>
      <c r="BX209" s="123"/>
      <c r="BY209" s="123"/>
      <c r="BZ209" s="123"/>
      <c r="CA209" s="123"/>
      <c r="CB209" s="123"/>
      <c r="CC209" s="123"/>
      <c r="CD209" s="123"/>
      <c r="CE209" s="123"/>
      <c r="CF209" s="123"/>
      <c r="CG209" s="123"/>
      <c r="CH209" s="123"/>
      <c r="CI209" s="123"/>
      <c r="CJ209" s="123"/>
      <c r="CK209" s="123"/>
      <c r="CL209" s="123"/>
      <c r="CM209" s="123"/>
      <c r="CN209" s="123"/>
      <c r="CO209" s="123"/>
      <c r="CP209" s="123"/>
      <c r="CQ209" s="123"/>
      <c r="CR209" s="123"/>
      <c r="CS209" s="123"/>
      <c r="CT209" s="123"/>
      <c r="CU209" s="123"/>
      <c r="CV209" s="123"/>
      <c r="CW209" s="123"/>
      <c r="CX209" s="123"/>
      <c r="CY209" s="123"/>
      <c r="CZ209" s="123"/>
      <c r="DA209" s="123"/>
      <c r="DB209" s="123"/>
      <c r="DC209" s="123"/>
      <c r="DD209" s="123"/>
      <c r="DE209" s="123"/>
      <c r="DF209" s="123"/>
      <c r="DG209" s="123"/>
      <c r="DH209" s="123"/>
      <c r="DI209" s="123"/>
      <c r="DJ209" s="123"/>
      <c r="DK209" s="123"/>
      <c r="DL209" s="123"/>
      <c r="DM209" s="123"/>
      <c r="DN209" s="123"/>
      <c r="DO209" s="123"/>
      <c r="DP209" s="123"/>
      <c r="DQ209" s="123"/>
      <c r="DR209" s="123"/>
      <c r="DS209" s="123"/>
      <c r="DT209" s="123"/>
      <c r="DU209" s="123"/>
      <c r="DV209" s="123"/>
      <c r="DW209" s="123"/>
      <c r="DX209" s="123"/>
      <c r="DY209" s="123"/>
      <c r="DZ209" s="123"/>
      <c r="EA209" s="123"/>
      <c r="EB209" s="123"/>
      <c r="EC209" s="123"/>
      <c r="ED209" s="123"/>
      <c r="EE209" s="123"/>
      <c r="EF209" s="123"/>
      <c r="EG209" s="123"/>
      <c r="EH209" s="123"/>
      <c r="EI209" s="123"/>
      <c r="EJ209" s="123"/>
      <c r="EK209" s="123"/>
      <c r="EL209" s="123"/>
      <c r="EM209" s="123"/>
      <c r="EN209" s="123"/>
      <c r="EO209" s="123"/>
      <c r="EP209" s="123"/>
      <c r="EQ209" s="123"/>
      <c r="ER209" s="123"/>
      <c r="ES209" s="123"/>
      <c r="ET209" s="123"/>
      <c r="EU209" s="123"/>
      <c r="EV209" s="123"/>
      <c r="EW209" s="123"/>
      <c r="EX209" s="123"/>
      <c r="EY209" s="123"/>
      <c r="EZ209" s="123"/>
      <c r="FA209" s="123"/>
      <c r="FB209" s="123"/>
      <c r="FC209" s="123"/>
      <c r="FD209" s="123"/>
      <c r="FE209" s="123"/>
      <c r="FF209" s="123"/>
      <c r="FG209" s="123"/>
    </row>
    <row r="210" spans="15:163">
      <c r="O210" s="123"/>
      <c r="P210" s="123"/>
      <c r="Q210" s="123"/>
      <c r="R210" s="123"/>
      <c r="S210" s="123"/>
      <c r="T210" s="123"/>
      <c r="U210" s="123"/>
      <c r="V210" s="123"/>
      <c r="W210" s="123"/>
      <c r="X210" s="123"/>
      <c r="Y210" s="123"/>
      <c r="Z210" s="123"/>
      <c r="AA210" s="123"/>
      <c r="AB210" s="123"/>
      <c r="AC210" s="123"/>
      <c r="AD210" s="123"/>
      <c r="AE210" s="123"/>
      <c r="AF210" s="123"/>
      <c r="AG210" s="123"/>
      <c r="AH210" s="123"/>
      <c r="AI210" s="123"/>
      <c r="AJ210" s="123"/>
      <c r="AK210" s="123"/>
      <c r="AL210" s="123"/>
      <c r="AM210" s="123"/>
      <c r="AN210" s="123"/>
      <c r="AO210" s="123"/>
      <c r="AP210" s="123"/>
      <c r="AQ210" s="123"/>
      <c r="AR210" s="123"/>
      <c r="AS210" s="123"/>
      <c r="AT210" s="123"/>
      <c r="AU210" s="123"/>
      <c r="AV210" s="123"/>
      <c r="AW210" s="123"/>
      <c r="AX210" s="123"/>
      <c r="AY210" s="123"/>
      <c r="AZ210" s="123"/>
      <c r="BA210" s="123"/>
      <c r="BB210" s="123"/>
      <c r="BC210" s="123"/>
      <c r="BD210" s="123"/>
      <c r="BE210" s="123"/>
      <c r="BF210" s="123"/>
      <c r="BG210" s="123"/>
      <c r="BH210" s="123"/>
      <c r="BI210" s="123"/>
      <c r="BJ210" s="123"/>
      <c r="BK210" s="123"/>
      <c r="BL210" s="123"/>
      <c r="BM210" s="123"/>
      <c r="BN210" s="123"/>
      <c r="BO210" s="123"/>
      <c r="BP210" s="123"/>
      <c r="BQ210" s="123"/>
      <c r="BR210" s="123"/>
      <c r="BS210" s="123"/>
      <c r="BT210" s="123"/>
      <c r="BU210" s="123"/>
      <c r="BV210" s="123"/>
      <c r="BW210" s="123"/>
      <c r="BX210" s="123"/>
      <c r="BY210" s="123"/>
      <c r="BZ210" s="123"/>
      <c r="CA210" s="123"/>
      <c r="CB210" s="123"/>
      <c r="CC210" s="123"/>
      <c r="CD210" s="123"/>
      <c r="CE210" s="123"/>
      <c r="CF210" s="123"/>
      <c r="CG210" s="123"/>
      <c r="CH210" s="123"/>
      <c r="CI210" s="123"/>
      <c r="CJ210" s="123"/>
      <c r="CK210" s="123"/>
      <c r="CL210" s="123"/>
      <c r="CM210" s="123"/>
      <c r="CN210" s="123"/>
      <c r="CO210" s="123"/>
      <c r="CP210" s="123"/>
      <c r="CQ210" s="123"/>
      <c r="CR210" s="123"/>
      <c r="CS210" s="123"/>
      <c r="CT210" s="123"/>
      <c r="CU210" s="123"/>
      <c r="CV210" s="123"/>
      <c r="CW210" s="123"/>
      <c r="CX210" s="123"/>
      <c r="CY210" s="123"/>
      <c r="CZ210" s="123"/>
      <c r="DA210" s="123"/>
      <c r="DB210" s="123"/>
      <c r="DC210" s="123"/>
      <c r="DD210" s="123"/>
      <c r="DE210" s="123"/>
      <c r="DF210" s="123"/>
      <c r="DG210" s="123"/>
      <c r="DH210" s="123"/>
      <c r="DI210" s="123"/>
      <c r="DJ210" s="123"/>
      <c r="DK210" s="123"/>
      <c r="DL210" s="123"/>
      <c r="DM210" s="123"/>
      <c r="DN210" s="123"/>
      <c r="DO210" s="123"/>
      <c r="DP210" s="123"/>
      <c r="DQ210" s="123"/>
      <c r="DR210" s="123"/>
      <c r="DS210" s="123"/>
      <c r="DT210" s="123"/>
      <c r="DU210" s="123"/>
      <c r="DV210" s="123"/>
      <c r="DW210" s="123"/>
      <c r="DX210" s="123"/>
      <c r="DY210" s="123"/>
      <c r="DZ210" s="123"/>
      <c r="EA210" s="123"/>
      <c r="EB210" s="123"/>
      <c r="EC210" s="123"/>
      <c r="ED210" s="123"/>
      <c r="EE210" s="123"/>
      <c r="EF210" s="123"/>
      <c r="EG210" s="123"/>
      <c r="EH210" s="123"/>
      <c r="EI210" s="123"/>
      <c r="EJ210" s="123"/>
      <c r="EK210" s="123"/>
      <c r="EL210" s="123"/>
      <c r="EM210" s="123"/>
      <c r="EN210" s="123"/>
      <c r="EO210" s="123"/>
      <c r="EP210" s="123"/>
      <c r="EQ210" s="123"/>
      <c r="ER210" s="123"/>
      <c r="ES210" s="123"/>
      <c r="ET210" s="123"/>
      <c r="EU210" s="123"/>
      <c r="EV210" s="123"/>
      <c r="EW210" s="123"/>
      <c r="EX210" s="123"/>
      <c r="EY210" s="123"/>
      <c r="EZ210" s="123"/>
      <c r="FA210" s="123"/>
      <c r="FB210" s="123"/>
      <c r="FC210" s="123"/>
      <c r="FD210" s="123"/>
      <c r="FE210" s="123"/>
      <c r="FF210" s="123"/>
      <c r="FG210" s="123"/>
    </row>
    <row r="211" spans="15:163">
      <c r="O211" s="123"/>
      <c r="P211" s="123"/>
      <c r="Q211" s="123"/>
      <c r="R211" s="123"/>
      <c r="S211" s="123"/>
      <c r="T211" s="123"/>
      <c r="U211" s="123"/>
      <c r="V211" s="123"/>
      <c r="W211" s="123"/>
      <c r="X211" s="123"/>
      <c r="Y211" s="123"/>
      <c r="Z211" s="123"/>
      <c r="AA211" s="123"/>
      <c r="AB211" s="123"/>
      <c r="AC211" s="123"/>
      <c r="AD211" s="123"/>
      <c r="AE211" s="123"/>
      <c r="AF211" s="123"/>
      <c r="AG211" s="123"/>
      <c r="AH211" s="123"/>
      <c r="AI211" s="123"/>
      <c r="AJ211" s="123"/>
      <c r="AK211" s="123"/>
      <c r="AL211" s="123"/>
      <c r="AM211" s="123"/>
      <c r="AN211" s="123"/>
      <c r="AO211" s="123"/>
      <c r="AP211" s="123"/>
      <c r="AQ211" s="123"/>
      <c r="AR211" s="123"/>
      <c r="AS211" s="123"/>
      <c r="AT211" s="123"/>
      <c r="AU211" s="123"/>
      <c r="AV211" s="123"/>
      <c r="AW211" s="123"/>
      <c r="AX211" s="123"/>
      <c r="AY211" s="123"/>
      <c r="AZ211" s="123"/>
      <c r="BA211" s="123"/>
      <c r="BB211" s="123"/>
      <c r="BC211" s="123"/>
      <c r="BD211" s="123"/>
      <c r="BE211" s="123"/>
      <c r="BF211" s="123"/>
      <c r="BG211" s="123"/>
      <c r="BH211" s="123"/>
      <c r="BI211" s="123"/>
      <c r="BJ211" s="123"/>
      <c r="BK211" s="123"/>
      <c r="BL211" s="123"/>
      <c r="BM211" s="123"/>
      <c r="BN211" s="123"/>
      <c r="BO211" s="123"/>
      <c r="BP211" s="123"/>
      <c r="BQ211" s="123"/>
      <c r="BR211" s="123"/>
      <c r="BS211" s="123"/>
      <c r="BT211" s="123"/>
      <c r="BU211" s="123"/>
      <c r="BV211" s="123"/>
      <c r="BW211" s="123"/>
      <c r="BX211" s="123"/>
      <c r="BY211" s="123"/>
      <c r="BZ211" s="123"/>
      <c r="CA211" s="123"/>
      <c r="CB211" s="123"/>
      <c r="CC211" s="123"/>
      <c r="CD211" s="123"/>
      <c r="CE211" s="123"/>
      <c r="CF211" s="123"/>
      <c r="CG211" s="123"/>
      <c r="CH211" s="123"/>
      <c r="CI211" s="123"/>
      <c r="CJ211" s="123"/>
      <c r="CK211" s="123"/>
      <c r="CL211" s="123"/>
      <c r="CM211" s="123"/>
      <c r="CN211" s="123"/>
      <c r="CO211" s="123"/>
      <c r="CP211" s="123"/>
      <c r="CQ211" s="123"/>
      <c r="CR211" s="123"/>
      <c r="CS211" s="123"/>
      <c r="CT211" s="123"/>
      <c r="CU211" s="123"/>
      <c r="CV211" s="123"/>
      <c r="CW211" s="123"/>
      <c r="CX211" s="123"/>
      <c r="CY211" s="123"/>
      <c r="CZ211" s="123"/>
      <c r="DA211" s="123"/>
      <c r="DB211" s="123"/>
      <c r="DC211" s="123"/>
      <c r="DD211" s="123"/>
      <c r="DE211" s="123"/>
      <c r="DF211" s="123"/>
      <c r="DG211" s="123"/>
      <c r="DH211" s="123"/>
      <c r="DI211" s="123"/>
      <c r="DJ211" s="123"/>
      <c r="DK211" s="123"/>
      <c r="DL211" s="123"/>
      <c r="DM211" s="123"/>
      <c r="DN211" s="123"/>
      <c r="DO211" s="123"/>
      <c r="DP211" s="123"/>
      <c r="DQ211" s="123"/>
      <c r="DR211" s="123"/>
      <c r="DS211" s="123"/>
      <c r="DT211" s="123"/>
      <c r="DU211" s="123"/>
      <c r="DV211" s="123"/>
      <c r="DW211" s="123"/>
      <c r="DX211" s="123"/>
      <c r="DY211" s="123"/>
      <c r="DZ211" s="123"/>
      <c r="EA211" s="123"/>
      <c r="EB211" s="123"/>
      <c r="EC211" s="123"/>
      <c r="ED211" s="123"/>
      <c r="EE211" s="123"/>
      <c r="EF211" s="123"/>
      <c r="EG211" s="123"/>
      <c r="EH211" s="123"/>
      <c r="EI211" s="123"/>
      <c r="EJ211" s="123"/>
      <c r="EK211" s="123"/>
      <c r="EL211" s="123"/>
      <c r="EM211" s="123"/>
      <c r="EN211" s="123"/>
      <c r="EO211" s="123"/>
      <c r="EP211" s="123"/>
      <c r="EQ211" s="123"/>
      <c r="ER211" s="123"/>
      <c r="ES211" s="123"/>
      <c r="ET211" s="123"/>
      <c r="EU211" s="123"/>
      <c r="EV211" s="123"/>
      <c r="EW211" s="123"/>
      <c r="EX211" s="123"/>
      <c r="EY211" s="123"/>
      <c r="EZ211" s="123"/>
      <c r="FA211" s="123"/>
      <c r="FB211" s="123"/>
      <c r="FC211" s="123"/>
      <c r="FD211" s="123"/>
      <c r="FE211" s="123"/>
      <c r="FF211" s="123"/>
      <c r="FG211" s="123"/>
    </row>
    <row r="212" spans="15:163">
      <c r="O212" s="123"/>
      <c r="P212" s="123"/>
      <c r="Q212" s="123"/>
      <c r="R212" s="123"/>
      <c r="S212" s="123"/>
      <c r="T212" s="123"/>
      <c r="U212" s="123"/>
      <c r="V212" s="123"/>
      <c r="W212" s="123"/>
      <c r="X212" s="123"/>
      <c r="Y212" s="123"/>
      <c r="Z212" s="123"/>
      <c r="AA212" s="123"/>
      <c r="AB212" s="123"/>
      <c r="AC212" s="123"/>
      <c r="AD212" s="123"/>
      <c r="AE212" s="123"/>
      <c r="AF212" s="123"/>
      <c r="AG212" s="123"/>
      <c r="AH212" s="123"/>
      <c r="AI212" s="123"/>
      <c r="AJ212" s="123"/>
      <c r="AK212" s="123"/>
      <c r="AL212" s="123"/>
      <c r="AM212" s="123"/>
      <c r="AN212" s="123"/>
      <c r="AO212" s="123"/>
      <c r="AP212" s="123"/>
      <c r="AQ212" s="123"/>
      <c r="AR212" s="123"/>
      <c r="AS212" s="123"/>
      <c r="AT212" s="123"/>
      <c r="AU212" s="123"/>
      <c r="AV212" s="123"/>
      <c r="AW212" s="123"/>
      <c r="AX212" s="123"/>
      <c r="AY212" s="123"/>
      <c r="AZ212" s="123"/>
      <c r="BA212" s="123"/>
      <c r="BB212" s="123"/>
      <c r="BC212" s="123"/>
      <c r="BD212" s="123"/>
      <c r="BE212" s="123"/>
      <c r="BF212" s="123"/>
      <c r="BG212" s="123"/>
      <c r="BH212" s="123"/>
      <c r="BI212" s="123"/>
      <c r="BJ212" s="123"/>
      <c r="BK212" s="123"/>
      <c r="BL212" s="123"/>
      <c r="BM212" s="123"/>
      <c r="BN212" s="123"/>
      <c r="BO212" s="123"/>
      <c r="BP212" s="123"/>
      <c r="BQ212" s="123"/>
      <c r="BR212" s="123"/>
      <c r="BS212" s="123"/>
      <c r="BT212" s="123"/>
      <c r="BU212" s="123"/>
      <c r="BV212" s="123"/>
      <c r="BW212" s="123"/>
      <c r="BX212" s="123"/>
      <c r="BY212" s="123"/>
      <c r="BZ212" s="123"/>
      <c r="CA212" s="123"/>
      <c r="CB212" s="123"/>
      <c r="CC212" s="123"/>
      <c r="CD212" s="123"/>
      <c r="CE212" s="123"/>
      <c r="CF212" s="123"/>
      <c r="CG212" s="123"/>
      <c r="CH212" s="123"/>
      <c r="CI212" s="123"/>
      <c r="CJ212" s="123"/>
      <c r="CK212" s="123"/>
      <c r="CL212" s="123"/>
      <c r="CM212" s="123"/>
      <c r="CN212" s="123"/>
      <c r="CO212" s="123"/>
      <c r="CP212" s="123"/>
      <c r="CQ212" s="123"/>
      <c r="CR212" s="123"/>
      <c r="CS212" s="123"/>
      <c r="CT212" s="123"/>
      <c r="CU212" s="123"/>
      <c r="CV212" s="123"/>
      <c r="CW212" s="123"/>
      <c r="CX212" s="123"/>
      <c r="CY212" s="123"/>
      <c r="CZ212" s="123"/>
      <c r="DA212" s="123"/>
      <c r="DB212" s="123"/>
      <c r="DC212" s="123"/>
      <c r="DD212" s="123"/>
      <c r="DE212" s="123"/>
      <c r="DF212" s="123"/>
      <c r="DG212" s="123"/>
      <c r="DH212" s="123"/>
      <c r="DI212" s="123"/>
      <c r="DJ212" s="123"/>
      <c r="DK212" s="123"/>
      <c r="DL212" s="123"/>
      <c r="DM212" s="123"/>
      <c r="DN212" s="123"/>
      <c r="DO212" s="123"/>
      <c r="DP212" s="123"/>
      <c r="DQ212" s="123"/>
      <c r="DR212" s="123"/>
      <c r="DS212" s="123"/>
      <c r="DT212" s="123"/>
      <c r="DU212" s="123"/>
      <c r="DV212" s="123"/>
      <c r="DW212" s="123"/>
      <c r="DX212" s="123"/>
      <c r="DY212" s="123"/>
      <c r="DZ212" s="123"/>
      <c r="EA212" s="123"/>
      <c r="EB212" s="123"/>
      <c r="EC212" s="123"/>
      <c r="ED212" s="123"/>
      <c r="EE212" s="123"/>
      <c r="EF212" s="123"/>
      <c r="EG212" s="123"/>
      <c r="EH212" s="123"/>
      <c r="EI212" s="123"/>
      <c r="EJ212" s="123"/>
      <c r="EK212" s="123"/>
      <c r="EL212" s="123"/>
      <c r="EM212" s="123"/>
      <c r="EN212" s="123"/>
      <c r="EO212" s="123"/>
      <c r="EP212" s="123"/>
      <c r="EQ212" s="123"/>
      <c r="ER212" s="123"/>
      <c r="ES212" s="123"/>
      <c r="ET212" s="123"/>
      <c r="EU212" s="123"/>
      <c r="EV212" s="123"/>
      <c r="EW212" s="123"/>
      <c r="EX212" s="123"/>
      <c r="EY212" s="123"/>
      <c r="EZ212" s="123"/>
      <c r="FA212" s="123"/>
      <c r="FB212" s="123"/>
      <c r="FC212" s="123"/>
      <c r="FD212" s="123"/>
      <c r="FE212" s="123"/>
      <c r="FF212" s="123"/>
      <c r="FG212" s="123"/>
    </row>
    <row r="213" spans="15:163">
      <c r="O213" s="123"/>
      <c r="P213" s="123"/>
      <c r="Q213" s="123"/>
      <c r="R213" s="123"/>
      <c r="S213" s="123"/>
      <c r="T213" s="123"/>
      <c r="U213" s="123"/>
      <c r="V213" s="123"/>
      <c r="W213" s="123"/>
      <c r="X213" s="123"/>
      <c r="Y213" s="123"/>
      <c r="Z213" s="123"/>
      <c r="AA213" s="123"/>
      <c r="AB213" s="123"/>
      <c r="AC213" s="123"/>
      <c r="AD213" s="123"/>
      <c r="AE213" s="123"/>
      <c r="AF213" s="123"/>
      <c r="AG213" s="123"/>
      <c r="AH213" s="123"/>
      <c r="AI213" s="123"/>
      <c r="AJ213" s="123"/>
      <c r="AK213" s="123"/>
      <c r="AL213" s="123"/>
      <c r="AM213" s="123"/>
      <c r="AN213" s="123"/>
      <c r="AO213" s="123"/>
      <c r="AP213" s="123"/>
      <c r="AQ213" s="123"/>
      <c r="AR213" s="123"/>
      <c r="AS213" s="123"/>
      <c r="AT213" s="123"/>
      <c r="AU213" s="123"/>
      <c r="AV213" s="123"/>
      <c r="AW213" s="123"/>
      <c r="AX213" s="123"/>
      <c r="AY213" s="123"/>
      <c r="AZ213" s="123"/>
      <c r="BA213" s="123"/>
      <c r="BB213" s="123"/>
      <c r="BC213" s="123"/>
      <c r="BD213" s="123"/>
      <c r="BE213" s="123"/>
      <c r="BF213" s="123"/>
      <c r="BG213" s="123"/>
      <c r="BH213" s="123"/>
      <c r="BI213" s="123"/>
      <c r="BJ213" s="123"/>
      <c r="BK213" s="123"/>
      <c r="BL213" s="123"/>
      <c r="BM213" s="123"/>
      <c r="BN213" s="123"/>
      <c r="BO213" s="123"/>
      <c r="BP213" s="123"/>
      <c r="BQ213" s="123"/>
      <c r="BR213" s="123"/>
      <c r="BS213" s="123"/>
      <c r="BT213" s="123"/>
      <c r="BU213" s="123"/>
      <c r="BV213" s="123"/>
      <c r="BW213" s="123"/>
      <c r="BX213" s="123"/>
      <c r="BY213" s="123"/>
      <c r="BZ213" s="123"/>
      <c r="CA213" s="123"/>
      <c r="CB213" s="123"/>
      <c r="CC213" s="123"/>
      <c r="CD213" s="123"/>
      <c r="CE213" s="123"/>
      <c r="CF213" s="123"/>
      <c r="CG213" s="123"/>
      <c r="CH213" s="123"/>
      <c r="CI213" s="123"/>
      <c r="CJ213" s="123"/>
      <c r="CK213" s="123"/>
      <c r="CL213" s="123"/>
      <c r="CM213" s="123"/>
      <c r="CN213" s="123"/>
      <c r="CO213" s="123"/>
      <c r="CP213" s="123"/>
      <c r="CQ213" s="123"/>
      <c r="CR213" s="123"/>
      <c r="CS213" s="123"/>
      <c r="CT213" s="123"/>
      <c r="CU213" s="123"/>
      <c r="CV213" s="123"/>
      <c r="CW213" s="123"/>
      <c r="CX213" s="123"/>
      <c r="CY213" s="123"/>
      <c r="CZ213" s="123"/>
      <c r="DA213" s="123"/>
      <c r="DB213" s="123"/>
      <c r="DC213" s="123"/>
      <c r="DD213" s="123"/>
      <c r="DE213" s="123"/>
      <c r="DF213" s="123"/>
      <c r="DG213" s="123"/>
      <c r="DH213" s="123"/>
      <c r="DI213" s="123"/>
      <c r="DJ213" s="123"/>
      <c r="DK213" s="123"/>
      <c r="DL213" s="123"/>
      <c r="DM213" s="123"/>
      <c r="DN213" s="123"/>
      <c r="DO213" s="123"/>
      <c r="DP213" s="123"/>
      <c r="DQ213" s="123"/>
      <c r="DR213" s="123"/>
      <c r="DS213" s="123"/>
      <c r="DT213" s="123"/>
      <c r="DU213" s="123"/>
      <c r="DV213" s="123"/>
      <c r="DW213" s="123"/>
      <c r="DX213" s="123"/>
      <c r="DY213" s="123"/>
      <c r="DZ213" s="123"/>
      <c r="EA213" s="123"/>
      <c r="EB213" s="123"/>
      <c r="EC213" s="123"/>
      <c r="ED213" s="123"/>
      <c r="EE213" s="123"/>
      <c r="EF213" s="123"/>
      <c r="EG213" s="123"/>
      <c r="EH213" s="123"/>
      <c r="EI213" s="123"/>
      <c r="EJ213" s="123"/>
      <c r="EK213" s="123"/>
      <c r="EL213" s="123"/>
      <c r="EM213" s="123"/>
      <c r="EN213" s="123"/>
      <c r="EO213" s="123"/>
      <c r="EP213" s="123"/>
      <c r="EQ213" s="123"/>
      <c r="ER213" s="123"/>
      <c r="ES213" s="123"/>
      <c r="ET213" s="123"/>
      <c r="EU213" s="123"/>
      <c r="EV213" s="123"/>
      <c r="EW213" s="123"/>
      <c r="EX213" s="123"/>
      <c r="EY213" s="123"/>
      <c r="EZ213" s="123"/>
      <c r="FA213" s="123"/>
      <c r="FB213" s="123"/>
      <c r="FC213" s="123"/>
      <c r="FD213" s="123"/>
      <c r="FE213" s="123"/>
      <c r="FF213" s="123"/>
      <c r="FG213" s="123"/>
    </row>
    <row r="214" spans="15:163">
      <c r="O214" s="123"/>
      <c r="P214" s="123"/>
      <c r="Q214" s="123"/>
      <c r="R214" s="123"/>
      <c r="S214" s="123"/>
      <c r="T214" s="123"/>
      <c r="U214" s="123"/>
      <c r="V214" s="123"/>
      <c r="W214" s="123"/>
      <c r="X214" s="123"/>
      <c r="Y214" s="123"/>
      <c r="Z214" s="123"/>
      <c r="AA214" s="123"/>
      <c r="AB214" s="123"/>
      <c r="AC214" s="123"/>
      <c r="AD214" s="123"/>
      <c r="AE214" s="123"/>
      <c r="AF214" s="123"/>
      <c r="AG214" s="123"/>
      <c r="AH214" s="123"/>
      <c r="AI214" s="123"/>
      <c r="AJ214" s="123"/>
      <c r="AK214" s="123"/>
      <c r="AL214" s="123"/>
      <c r="AM214" s="123"/>
      <c r="AN214" s="123"/>
      <c r="AO214" s="123"/>
      <c r="AP214" s="123"/>
      <c r="AQ214" s="123"/>
      <c r="AR214" s="123"/>
      <c r="AS214" s="123"/>
      <c r="AT214" s="123"/>
      <c r="AU214" s="123"/>
      <c r="AV214" s="123"/>
      <c r="AW214" s="123"/>
      <c r="AX214" s="123"/>
      <c r="AY214" s="123"/>
      <c r="AZ214" s="123"/>
      <c r="BA214" s="123"/>
      <c r="BB214" s="123"/>
      <c r="BC214" s="123"/>
      <c r="BD214" s="123"/>
      <c r="BE214" s="123"/>
      <c r="BF214" s="123"/>
      <c r="BG214" s="123"/>
      <c r="BH214" s="123"/>
      <c r="BI214" s="123"/>
      <c r="BJ214" s="123"/>
      <c r="BK214" s="123"/>
      <c r="BL214" s="123"/>
      <c r="BM214" s="123"/>
      <c r="BN214" s="123"/>
      <c r="BO214" s="123"/>
      <c r="BP214" s="123"/>
      <c r="BQ214" s="123"/>
      <c r="BR214" s="123"/>
      <c r="BS214" s="123"/>
      <c r="BT214" s="123"/>
      <c r="BU214" s="123"/>
      <c r="BV214" s="123"/>
      <c r="BW214" s="123"/>
      <c r="BX214" s="123"/>
      <c r="BY214" s="123"/>
      <c r="BZ214" s="123"/>
      <c r="CA214" s="123"/>
      <c r="CB214" s="123"/>
      <c r="CC214" s="123"/>
      <c r="CD214" s="123"/>
      <c r="CE214" s="123"/>
      <c r="CF214" s="123"/>
      <c r="CG214" s="123"/>
      <c r="CH214" s="123"/>
      <c r="CI214" s="123"/>
      <c r="CJ214" s="123"/>
      <c r="CK214" s="123"/>
      <c r="CL214" s="123"/>
      <c r="CM214" s="123"/>
      <c r="CN214" s="123"/>
      <c r="CO214" s="123"/>
      <c r="CP214" s="123"/>
      <c r="CQ214" s="123"/>
      <c r="CR214" s="123"/>
      <c r="CS214" s="123"/>
      <c r="CT214" s="123"/>
      <c r="CU214" s="123"/>
      <c r="CV214" s="123"/>
      <c r="CW214" s="123"/>
      <c r="CX214" s="123"/>
      <c r="CY214" s="123"/>
      <c r="CZ214" s="123"/>
      <c r="DA214" s="123"/>
      <c r="DB214" s="123"/>
      <c r="DC214" s="123"/>
      <c r="DD214" s="123"/>
      <c r="DE214" s="123"/>
      <c r="DF214" s="123"/>
      <c r="DG214" s="123"/>
      <c r="DH214" s="123"/>
      <c r="DI214" s="123"/>
      <c r="DJ214" s="123"/>
      <c r="DK214" s="123"/>
      <c r="DL214" s="123"/>
      <c r="DM214" s="123"/>
      <c r="DN214" s="123"/>
      <c r="DO214" s="123"/>
      <c r="DP214" s="123"/>
      <c r="DQ214" s="123"/>
      <c r="DR214" s="123"/>
      <c r="DS214" s="123"/>
      <c r="DT214" s="123"/>
      <c r="DU214" s="123"/>
      <c r="DV214" s="123"/>
      <c r="DW214" s="123"/>
      <c r="DX214" s="123"/>
      <c r="DY214" s="123"/>
      <c r="DZ214" s="123"/>
      <c r="EA214" s="123"/>
      <c r="EB214" s="123"/>
      <c r="EC214" s="123"/>
      <c r="ED214" s="123"/>
      <c r="EE214" s="123"/>
      <c r="EF214" s="123"/>
      <c r="EG214" s="123"/>
      <c r="EH214" s="123"/>
      <c r="EI214" s="123"/>
      <c r="EJ214" s="123"/>
      <c r="EK214" s="123"/>
      <c r="EL214" s="123"/>
      <c r="EM214" s="123"/>
      <c r="EN214" s="123"/>
      <c r="EO214" s="123"/>
      <c r="EP214" s="123"/>
      <c r="EQ214" s="123"/>
      <c r="ER214" s="123"/>
      <c r="ES214" s="123"/>
      <c r="ET214" s="123"/>
      <c r="EU214" s="123"/>
      <c r="EV214" s="123"/>
      <c r="EW214" s="123"/>
      <c r="EX214" s="123"/>
      <c r="EY214" s="123"/>
      <c r="EZ214" s="123"/>
      <c r="FA214" s="123"/>
      <c r="FB214" s="123"/>
      <c r="FC214" s="123"/>
      <c r="FD214" s="123"/>
      <c r="FE214" s="123"/>
      <c r="FF214" s="123"/>
      <c r="FG214" s="123"/>
    </row>
    <row r="215" spans="15:163">
      <c r="O215" s="123"/>
      <c r="P215" s="123"/>
      <c r="Q215" s="123"/>
      <c r="R215" s="123"/>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3"/>
      <c r="AZ215" s="123"/>
      <c r="BA215" s="123"/>
      <c r="BB215" s="123"/>
      <c r="BC215" s="123"/>
      <c r="BD215" s="123"/>
      <c r="BE215" s="123"/>
      <c r="BF215" s="123"/>
      <c r="BG215" s="123"/>
      <c r="BH215" s="123"/>
      <c r="BI215" s="123"/>
      <c r="BJ215" s="123"/>
      <c r="BK215" s="123"/>
      <c r="BL215" s="123"/>
      <c r="BM215" s="123"/>
      <c r="BN215" s="123"/>
      <c r="BO215" s="123"/>
      <c r="BP215" s="123"/>
      <c r="BQ215" s="123"/>
      <c r="BR215" s="123"/>
      <c r="BS215" s="123"/>
      <c r="BT215" s="123"/>
      <c r="BU215" s="123"/>
      <c r="BV215" s="123"/>
      <c r="BW215" s="123"/>
      <c r="BX215" s="123"/>
      <c r="BY215" s="123"/>
      <c r="BZ215" s="123"/>
      <c r="CA215" s="123"/>
      <c r="CB215" s="123"/>
      <c r="CC215" s="123"/>
      <c r="CD215" s="123"/>
      <c r="CE215" s="123"/>
      <c r="CF215" s="123"/>
      <c r="CG215" s="123"/>
      <c r="CH215" s="123"/>
      <c r="CI215" s="123"/>
      <c r="CJ215" s="123"/>
      <c r="CK215" s="123"/>
      <c r="CL215" s="123"/>
      <c r="CM215" s="123"/>
      <c r="CN215" s="123"/>
      <c r="CO215" s="123"/>
      <c r="CP215" s="123"/>
      <c r="CQ215" s="123"/>
      <c r="CR215" s="123"/>
      <c r="CS215" s="123"/>
      <c r="CT215" s="123"/>
      <c r="CU215" s="123"/>
      <c r="CV215" s="123"/>
      <c r="CW215" s="123"/>
      <c r="CX215" s="123"/>
      <c r="CY215" s="123"/>
      <c r="CZ215" s="123"/>
      <c r="DA215" s="123"/>
      <c r="DB215" s="123"/>
      <c r="DC215" s="123"/>
      <c r="DD215" s="123"/>
      <c r="DE215" s="123"/>
      <c r="DF215" s="123"/>
      <c r="DG215" s="123"/>
      <c r="DH215" s="123"/>
      <c r="DI215" s="123"/>
      <c r="DJ215" s="123"/>
      <c r="DK215" s="123"/>
      <c r="DL215" s="123"/>
      <c r="DM215" s="123"/>
      <c r="DN215" s="123"/>
      <c r="DO215" s="123"/>
      <c r="DP215" s="123"/>
      <c r="DQ215" s="123"/>
      <c r="DR215" s="123"/>
      <c r="DS215" s="123"/>
      <c r="DT215" s="123"/>
      <c r="DU215" s="123"/>
      <c r="DV215" s="123"/>
      <c r="DW215" s="123"/>
      <c r="DX215" s="123"/>
      <c r="DY215" s="123"/>
      <c r="DZ215" s="123"/>
      <c r="EA215" s="123"/>
      <c r="EB215" s="123"/>
      <c r="EC215" s="123"/>
      <c r="ED215" s="123"/>
      <c r="EE215" s="123"/>
      <c r="EF215" s="123"/>
      <c r="EG215" s="123"/>
      <c r="EH215" s="123"/>
      <c r="EI215" s="123"/>
      <c r="EJ215" s="123"/>
      <c r="EK215" s="123"/>
      <c r="EL215" s="123"/>
      <c r="EM215" s="123"/>
      <c r="EN215" s="123"/>
      <c r="EO215" s="123"/>
      <c r="EP215" s="123"/>
      <c r="EQ215" s="123"/>
      <c r="ER215" s="123"/>
      <c r="ES215" s="123"/>
      <c r="ET215" s="123"/>
      <c r="EU215" s="123"/>
      <c r="EV215" s="123"/>
      <c r="EW215" s="123"/>
      <c r="EX215" s="123"/>
      <c r="EY215" s="123"/>
      <c r="EZ215" s="123"/>
      <c r="FA215" s="123"/>
      <c r="FB215" s="123"/>
      <c r="FC215" s="123"/>
      <c r="FD215" s="123"/>
      <c r="FE215" s="123"/>
      <c r="FF215" s="123"/>
      <c r="FG215" s="123"/>
    </row>
    <row r="216" spans="15:163">
      <c r="O216" s="123"/>
      <c r="P216" s="123"/>
      <c r="Q216" s="123"/>
      <c r="R216" s="123"/>
      <c r="S216" s="123"/>
      <c r="T216" s="123"/>
      <c r="U216" s="123"/>
      <c r="V216" s="123"/>
      <c r="W216" s="123"/>
      <c r="X216" s="123"/>
      <c r="Y216" s="123"/>
      <c r="Z216" s="123"/>
      <c r="AA216" s="123"/>
      <c r="AB216" s="123"/>
      <c r="AC216" s="123"/>
      <c r="AD216" s="123"/>
      <c r="AE216" s="123"/>
      <c r="AF216" s="123"/>
      <c r="AG216" s="123"/>
      <c r="AH216" s="123"/>
      <c r="AI216" s="123"/>
      <c r="AJ216" s="123"/>
      <c r="AK216" s="123"/>
      <c r="AL216" s="123"/>
      <c r="AM216" s="123"/>
      <c r="AN216" s="123"/>
      <c r="AO216" s="123"/>
      <c r="AP216" s="123"/>
      <c r="AQ216" s="123"/>
      <c r="AR216" s="123"/>
      <c r="AS216" s="123"/>
      <c r="AT216" s="123"/>
      <c r="AU216" s="123"/>
      <c r="AV216" s="123"/>
      <c r="AW216" s="123"/>
      <c r="AX216" s="123"/>
      <c r="AY216" s="123"/>
      <c r="AZ216" s="123"/>
      <c r="BA216" s="123"/>
      <c r="BB216" s="123"/>
      <c r="BC216" s="123"/>
      <c r="BD216" s="123"/>
      <c r="BE216" s="123"/>
      <c r="BF216" s="123"/>
      <c r="BG216" s="123"/>
      <c r="BH216" s="123"/>
      <c r="BI216" s="123"/>
      <c r="BJ216" s="123"/>
      <c r="BK216" s="123"/>
      <c r="BL216" s="123"/>
      <c r="BM216" s="123"/>
      <c r="BN216" s="123"/>
      <c r="BO216" s="123"/>
      <c r="BP216" s="123"/>
      <c r="BQ216" s="123"/>
      <c r="BR216" s="123"/>
      <c r="BS216" s="123"/>
      <c r="BT216" s="123"/>
      <c r="BU216" s="123"/>
      <c r="BV216" s="123"/>
      <c r="BW216" s="123"/>
      <c r="BX216" s="123"/>
      <c r="BY216" s="123"/>
      <c r="BZ216" s="123"/>
      <c r="CA216" s="123"/>
      <c r="CB216" s="123"/>
      <c r="CC216" s="123"/>
      <c r="CD216" s="123"/>
      <c r="CE216" s="123"/>
      <c r="CF216" s="123"/>
      <c r="CG216" s="123"/>
      <c r="CH216" s="123"/>
      <c r="CI216" s="123"/>
      <c r="CJ216" s="123"/>
      <c r="CK216" s="123"/>
      <c r="CL216" s="123"/>
      <c r="CM216" s="123"/>
      <c r="CN216" s="123"/>
      <c r="CO216" s="123"/>
      <c r="CP216" s="123"/>
      <c r="CQ216" s="123"/>
      <c r="CR216" s="123"/>
      <c r="CS216" s="123"/>
      <c r="CT216" s="123"/>
      <c r="CU216" s="123"/>
      <c r="CV216" s="123"/>
      <c r="CW216" s="123"/>
      <c r="CX216" s="123"/>
      <c r="CY216" s="123"/>
      <c r="CZ216" s="123"/>
      <c r="DA216" s="123"/>
      <c r="DB216" s="123"/>
      <c r="DC216" s="123"/>
      <c r="DD216" s="123"/>
      <c r="DE216" s="123"/>
      <c r="DF216" s="123"/>
      <c r="DG216" s="123"/>
      <c r="DH216" s="123"/>
      <c r="DI216" s="123"/>
      <c r="DJ216" s="123"/>
      <c r="DK216" s="123"/>
      <c r="DL216" s="123"/>
      <c r="DM216" s="123"/>
      <c r="DN216" s="123"/>
      <c r="DO216" s="123"/>
      <c r="DP216" s="123"/>
      <c r="DQ216" s="123"/>
      <c r="DR216" s="123"/>
      <c r="DS216" s="123"/>
      <c r="DT216" s="123"/>
      <c r="DU216" s="123"/>
      <c r="DV216" s="123"/>
      <c r="DW216" s="123"/>
      <c r="DX216" s="123"/>
      <c r="DY216" s="123"/>
      <c r="DZ216" s="123"/>
      <c r="EA216" s="123"/>
      <c r="EB216" s="123"/>
      <c r="EC216" s="123"/>
      <c r="ED216" s="123"/>
      <c r="EE216" s="123"/>
      <c r="EF216" s="123"/>
      <c r="EG216" s="123"/>
      <c r="EH216" s="123"/>
      <c r="EI216" s="123"/>
      <c r="EJ216" s="123"/>
      <c r="EK216" s="123"/>
      <c r="EL216" s="123"/>
      <c r="EM216" s="123"/>
      <c r="EN216" s="123"/>
      <c r="EO216" s="123"/>
      <c r="EP216" s="123"/>
      <c r="EQ216" s="123"/>
      <c r="ER216" s="123"/>
      <c r="ES216" s="123"/>
      <c r="ET216" s="123"/>
      <c r="EU216" s="123"/>
      <c r="EV216" s="123"/>
      <c r="EW216" s="123"/>
      <c r="EX216" s="123"/>
      <c r="EY216" s="123"/>
      <c r="EZ216" s="123"/>
      <c r="FA216" s="123"/>
      <c r="FB216" s="123"/>
      <c r="FC216" s="123"/>
      <c r="FD216" s="123"/>
      <c r="FE216" s="123"/>
      <c r="FF216" s="123"/>
      <c r="FG216" s="123"/>
    </row>
    <row r="217" spans="15:163">
      <c r="O217" s="123"/>
      <c r="P217" s="123"/>
      <c r="Q217" s="123"/>
      <c r="R217" s="123"/>
      <c r="S217" s="123"/>
      <c r="T217" s="123"/>
      <c r="U217" s="123"/>
      <c r="V217" s="123"/>
      <c r="W217" s="123"/>
      <c r="X217" s="123"/>
      <c r="Y217" s="123"/>
      <c r="Z217" s="123"/>
      <c r="AA217" s="123"/>
      <c r="AB217" s="123"/>
      <c r="AC217" s="123"/>
      <c r="AD217" s="123"/>
      <c r="AE217" s="123"/>
      <c r="AF217" s="123"/>
      <c r="AG217" s="123"/>
      <c r="AH217" s="123"/>
      <c r="AI217" s="123"/>
      <c r="AJ217" s="123"/>
      <c r="AK217" s="123"/>
      <c r="AL217" s="123"/>
      <c r="AM217" s="123"/>
      <c r="AN217" s="123"/>
      <c r="AO217" s="123"/>
      <c r="AP217" s="123"/>
      <c r="AQ217" s="123"/>
      <c r="AR217" s="123"/>
      <c r="AS217" s="123"/>
      <c r="AT217" s="123"/>
      <c r="AU217" s="123"/>
      <c r="AV217" s="123"/>
      <c r="AW217" s="123"/>
      <c r="AX217" s="123"/>
      <c r="AY217" s="123"/>
      <c r="AZ217" s="123"/>
      <c r="BA217" s="123"/>
      <c r="BB217" s="123"/>
      <c r="BC217" s="123"/>
      <c r="BD217" s="123"/>
      <c r="BE217" s="123"/>
      <c r="BF217" s="123"/>
      <c r="BG217" s="123"/>
      <c r="BH217" s="123"/>
      <c r="BI217" s="123"/>
      <c r="BJ217" s="123"/>
      <c r="BK217" s="123"/>
      <c r="BL217" s="123"/>
      <c r="BM217" s="123"/>
      <c r="BN217" s="123"/>
      <c r="BO217" s="123"/>
      <c r="BP217" s="123"/>
      <c r="BQ217" s="123"/>
      <c r="BR217" s="123"/>
      <c r="BS217" s="123"/>
      <c r="BT217" s="123"/>
      <c r="BU217" s="123"/>
      <c r="BV217" s="123"/>
      <c r="BW217" s="123"/>
      <c r="BX217" s="123"/>
      <c r="BY217" s="123"/>
      <c r="BZ217" s="123"/>
      <c r="CA217" s="123"/>
      <c r="CB217" s="123"/>
      <c r="CC217" s="123"/>
      <c r="CD217" s="123"/>
      <c r="CE217" s="123"/>
      <c r="CF217" s="123"/>
      <c r="CG217" s="123"/>
      <c r="CH217" s="123"/>
      <c r="CI217" s="123"/>
      <c r="CJ217" s="123"/>
      <c r="CK217" s="123"/>
      <c r="CL217" s="123"/>
      <c r="CM217" s="123"/>
      <c r="CN217" s="123"/>
      <c r="CO217" s="123"/>
      <c r="CP217" s="123"/>
      <c r="CQ217" s="123"/>
      <c r="CR217" s="123"/>
      <c r="CS217" s="123"/>
      <c r="CT217" s="123"/>
      <c r="CU217" s="123"/>
      <c r="CV217" s="123"/>
      <c r="CW217" s="123"/>
      <c r="CX217" s="123"/>
      <c r="CY217" s="123"/>
      <c r="CZ217" s="123"/>
      <c r="DA217" s="123"/>
      <c r="DB217" s="123"/>
      <c r="DC217" s="123"/>
      <c r="DD217" s="123"/>
      <c r="DE217" s="123"/>
      <c r="DF217" s="123"/>
      <c r="DG217" s="123"/>
      <c r="DH217" s="123"/>
      <c r="DI217" s="123"/>
      <c r="DJ217" s="123"/>
      <c r="DK217" s="123"/>
      <c r="DL217" s="123"/>
      <c r="DM217" s="123"/>
      <c r="DN217" s="123"/>
      <c r="DO217" s="123"/>
      <c r="DP217" s="123"/>
      <c r="DQ217" s="123"/>
      <c r="DR217" s="123"/>
      <c r="DS217" s="123"/>
      <c r="DT217" s="123"/>
      <c r="DU217" s="123"/>
      <c r="DV217" s="123"/>
      <c r="DW217" s="123"/>
      <c r="DX217" s="123"/>
      <c r="DY217" s="123"/>
      <c r="DZ217" s="123"/>
      <c r="EA217" s="123"/>
      <c r="EB217" s="123"/>
      <c r="EC217" s="123"/>
      <c r="ED217" s="123"/>
      <c r="EE217" s="123"/>
      <c r="EF217" s="123"/>
      <c r="EG217" s="123"/>
      <c r="EH217" s="123"/>
      <c r="EI217" s="123"/>
      <c r="EJ217" s="123"/>
      <c r="EK217" s="123"/>
      <c r="EL217" s="123"/>
      <c r="EM217" s="123"/>
      <c r="EN217" s="123"/>
      <c r="EO217" s="123"/>
      <c r="EP217" s="123"/>
      <c r="EQ217" s="123"/>
      <c r="ER217" s="123"/>
      <c r="ES217" s="123"/>
      <c r="ET217" s="123"/>
      <c r="EU217" s="123"/>
      <c r="EV217" s="123"/>
      <c r="EW217" s="123"/>
      <c r="EX217" s="123"/>
      <c r="EY217" s="123"/>
      <c r="EZ217" s="123"/>
      <c r="FA217" s="123"/>
      <c r="FB217" s="123"/>
      <c r="FC217" s="123"/>
      <c r="FD217" s="123"/>
      <c r="FE217" s="123"/>
      <c r="FF217" s="123"/>
      <c r="FG217" s="123"/>
    </row>
    <row r="218" spans="15:16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123"/>
      <c r="BT218" s="123"/>
      <c r="BU218" s="123"/>
      <c r="BV218" s="123"/>
      <c r="BW218" s="123"/>
      <c r="BX218" s="123"/>
      <c r="BY218" s="123"/>
      <c r="BZ218" s="123"/>
      <c r="CA218" s="123"/>
      <c r="CB218" s="123"/>
      <c r="CC218" s="123"/>
      <c r="CD218" s="123"/>
      <c r="CE218" s="123"/>
      <c r="CF218" s="123"/>
      <c r="CG218" s="123"/>
      <c r="CH218" s="123"/>
      <c r="CI218" s="123"/>
      <c r="CJ218" s="123"/>
      <c r="CK218" s="123"/>
      <c r="CL218" s="123"/>
      <c r="CM218" s="123"/>
      <c r="CN218" s="123"/>
      <c r="CO218" s="123"/>
      <c r="CP218" s="123"/>
      <c r="CQ218" s="123"/>
      <c r="CR218" s="123"/>
      <c r="CS218" s="123"/>
      <c r="CT218" s="123"/>
      <c r="CU218" s="123"/>
      <c r="CV218" s="123"/>
      <c r="CW218" s="123"/>
      <c r="CX218" s="123"/>
      <c r="CY218" s="123"/>
      <c r="CZ218" s="123"/>
      <c r="DA218" s="123"/>
      <c r="DB218" s="123"/>
      <c r="DC218" s="123"/>
      <c r="DD218" s="123"/>
      <c r="DE218" s="123"/>
      <c r="DF218" s="123"/>
      <c r="DG218" s="123"/>
      <c r="DH218" s="123"/>
      <c r="DI218" s="123"/>
      <c r="DJ218" s="123"/>
      <c r="DK218" s="123"/>
      <c r="DL218" s="123"/>
      <c r="DM218" s="123"/>
      <c r="DN218" s="123"/>
      <c r="DO218" s="123"/>
      <c r="DP218" s="123"/>
      <c r="DQ218" s="123"/>
      <c r="DR218" s="123"/>
      <c r="DS218" s="123"/>
      <c r="DT218" s="123"/>
      <c r="DU218" s="123"/>
      <c r="DV218" s="123"/>
      <c r="DW218" s="123"/>
      <c r="DX218" s="123"/>
      <c r="DY218" s="123"/>
      <c r="DZ218" s="123"/>
      <c r="EA218" s="123"/>
      <c r="EB218" s="123"/>
      <c r="EC218" s="123"/>
      <c r="ED218" s="123"/>
      <c r="EE218" s="123"/>
      <c r="EF218" s="123"/>
      <c r="EG218" s="123"/>
      <c r="EH218" s="123"/>
      <c r="EI218" s="123"/>
      <c r="EJ218" s="123"/>
      <c r="EK218" s="123"/>
      <c r="EL218" s="123"/>
      <c r="EM218" s="123"/>
      <c r="EN218" s="123"/>
      <c r="EO218" s="123"/>
      <c r="EP218" s="123"/>
      <c r="EQ218" s="123"/>
      <c r="ER218" s="123"/>
      <c r="ES218" s="123"/>
      <c r="ET218" s="123"/>
      <c r="EU218" s="123"/>
      <c r="EV218" s="123"/>
      <c r="EW218" s="123"/>
      <c r="EX218" s="123"/>
      <c r="EY218" s="123"/>
      <c r="EZ218" s="123"/>
      <c r="FA218" s="123"/>
      <c r="FB218" s="123"/>
      <c r="FC218" s="123"/>
      <c r="FD218" s="123"/>
      <c r="FE218" s="123"/>
      <c r="FF218" s="123"/>
      <c r="FG218" s="123"/>
    </row>
    <row r="219" spans="15:163">
      <c r="O219" s="123"/>
      <c r="P219" s="123"/>
      <c r="Q219" s="123"/>
      <c r="R219" s="123"/>
      <c r="S219" s="123"/>
      <c r="T219" s="123"/>
      <c r="U219" s="123"/>
      <c r="V219" s="123"/>
      <c r="W219" s="123"/>
      <c r="X219" s="123"/>
      <c r="Y219" s="123"/>
      <c r="Z219" s="123"/>
      <c r="AA219" s="123"/>
      <c r="AB219" s="123"/>
      <c r="AC219" s="123"/>
      <c r="AD219" s="123"/>
      <c r="AE219" s="123"/>
      <c r="AF219" s="123"/>
      <c r="AG219" s="123"/>
      <c r="AH219" s="123"/>
      <c r="AI219" s="123"/>
      <c r="AJ219" s="123"/>
      <c r="AK219" s="123"/>
      <c r="AL219" s="123"/>
      <c r="AM219" s="123"/>
      <c r="AN219" s="123"/>
      <c r="AO219" s="123"/>
      <c r="AP219" s="123"/>
      <c r="AQ219" s="123"/>
      <c r="AR219" s="123"/>
      <c r="AS219" s="123"/>
      <c r="AT219" s="123"/>
      <c r="AU219" s="123"/>
      <c r="AV219" s="123"/>
      <c r="AW219" s="123"/>
      <c r="AX219" s="123"/>
      <c r="AY219" s="123"/>
      <c r="AZ219" s="123"/>
      <c r="BA219" s="123"/>
      <c r="BB219" s="123"/>
      <c r="BC219" s="123"/>
      <c r="BD219" s="123"/>
      <c r="BE219" s="123"/>
      <c r="BF219" s="123"/>
      <c r="BG219" s="123"/>
      <c r="BH219" s="123"/>
      <c r="BI219" s="123"/>
      <c r="BJ219" s="123"/>
      <c r="BK219" s="123"/>
      <c r="BL219" s="123"/>
      <c r="BM219" s="123"/>
      <c r="BN219" s="123"/>
      <c r="BO219" s="123"/>
      <c r="BP219" s="123"/>
      <c r="BQ219" s="123"/>
      <c r="BR219" s="123"/>
      <c r="BS219" s="123"/>
      <c r="BT219" s="123"/>
      <c r="BU219" s="123"/>
      <c r="BV219" s="123"/>
      <c r="BW219" s="123"/>
      <c r="BX219" s="123"/>
      <c r="BY219" s="123"/>
      <c r="BZ219" s="123"/>
      <c r="CA219" s="123"/>
      <c r="CB219" s="123"/>
      <c r="CC219" s="123"/>
      <c r="CD219" s="123"/>
      <c r="CE219" s="123"/>
      <c r="CF219" s="123"/>
      <c r="CG219" s="123"/>
      <c r="CH219" s="123"/>
      <c r="CI219" s="123"/>
      <c r="CJ219" s="123"/>
      <c r="CK219" s="123"/>
      <c r="CL219" s="123"/>
      <c r="CM219" s="123"/>
      <c r="CN219" s="123"/>
      <c r="CO219" s="123"/>
      <c r="CP219" s="123"/>
      <c r="CQ219" s="123"/>
      <c r="CR219" s="123"/>
      <c r="CS219" s="123"/>
      <c r="CT219" s="123"/>
      <c r="CU219" s="123"/>
      <c r="CV219" s="123"/>
      <c r="CW219" s="123"/>
      <c r="CX219" s="123"/>
      <c r="CY219" s="123"/>
      <c r="CZ219" s="123"/>
      <c r="DA219" s="123"/>
      <c r="DB219" s="123"/>
      <c r="DC219" s="123"/>
      <c r="DD219" s="123"/>
      <c r="DE219" s="123"/>
      <c r="DF219" s="123"/>
      <c r="DG219" s="123"/>
      <c r="DH219" s="123"/>
      <c r="DI219" s="123"/>
      <c r="DJ219" s="123"/>
      <c r="DK219" s="123"/>
      <c r="DL219" s="123"/>
      <c r="DM219" s="123"/>
      <c r="DN219" s="123"/>
      <c r="DO219" s="123"/>
      <c r="DP219" s="123"/>
      <c r="DQ219" s="123"/>
      <c r="DR219" s="123"/>
      <c r="DS219" s="123"/>
      <c r="DT219" s="123"/>
      <c r="DU219" s="123"/>
      <c r="DV219" s="123"/>
      <c r="DW219" s="123"/>
      <c r="DX219" s="123"/>
      <c r="DY219" s="123"/>
      <c r="DZ219" s="123"/>
      <c r="EA219" s="123"/>
      <c r="EB219" s="123"/>
      <c r="EC219" s="123"/>
      <c r="ED219" s="123"/>
      <c r="EE219" s="123"/>
      <c r="EF219" s="123"/>
      <c r="EG219" s="123"/>
      <c r="EH219" s="123"/>
      <c r="EI219" s="123"/>
      <c r="EJ219" s="123"/>
      <c r="EK219" s="123"/>
      <c r="EL219" s="123"/>
      <c r="EM219" s="123"/>
      <c r="EN219" s="123"/>
      <c r="EO219" s="123"/>
      <c r="EP219" s="123"/>
      <c r="EQ219" s="123"/>
      <c r="ER219" s="123"/>
      <c r="ES219" s="123"/>
      <c r="ET219" s="123"/>
      <c r="EU219" s="123"/>
      <c r="EV219" s="123"/>
      <c r="EW219" s="123"/>
      <c r="EX219" s="123"/>
      <c r="EY219" s="123"/>
      <c r="EZ219" s="123"/>
      <c r="FA219" s="123"/>
      <c r="FB219" s="123"/>
      <c r="FC219" s="123"/>
      <c r="FD219" s="123"/>
      <c r="FE219" s="123"/>
      <c r="FF219" s="123"/>
      <c r="FG219" s="123"/>
    </row>
    <row r="220" spans="15:163">
      <c r="O220" s="123"/>
      <c r="P220" s="123"/>
      <c r="Q220" s="123"/>
      <c r="R220" s="123"/>
      <c r="S220" s="123"/>
      <c r="T220" s="123"/>
      <c r="U220" s="123"/>
      <c r="V220" s="123"/>
      <c r="W220" s="123"/>
      <c r="X220" s="123"/>
      <c r="Y220" s="123"/>
      <c r="Z220" s="123"/>
      <c r="AA220" s="123"/>
      <c r="AB220" s="123"/>
      <c r="AC220" s="123"/>
      <c r="AD220" s="123"/>
      <c r="AE220" s="123"/>
      <c r="AF220" s="123"/>
      <c r="AG220" s="123"/>
      <c r="AH220" s="123"/>
      <c r="AI220" s="123"/>
      <c r="AJ220" s="123"/>
      <c r="AK220" s="123"/>
      <c r="AL220" s="123"/>
      <c r="AM220" s="123"/>
      <c r="AN220" s="123"/>
      <c r="AO220" s="123"/>
      <c r="AP220" s="123"/>
      <c r="AQ220" s="123"/>
      <c r="AR220" s="123"/>
      <c r="AS220" s="123"/>
      <c r="AT220" s="123"/>
      <c r="AU220" s="123"/>
      <c r="AV220" s="123"/>
      <c r="AW220" s="123"/>
      <c r="AX220" s="123"/>
      <c r="AY220" s="123"/>
      <c r="AZ220" s="123"/>
      <c r="BA220" s="123"/>
      <c r="BB220" s="123"/>
      <c r="BC220" s="123"/>
      <c r="BD220" s="123"/>
      <c r="BE220" s="123"/>
      <c r="BF220" s="123"/>
      <c r="BG220" s="123"/>
      <c r="BH220" s="123"/>
      <c r="BI220" s="123"/>
      <c r="BJ220" s="123"/>
      <c r="BK220" s="123"/>
      <c r="BL220" s="123"/>
      <c r="BM220" s="123"/>
      <c r="BN220" s="123"/>
      <c r="BO220" s="123"/>
      <c r="BP220" s="123"/>
      <c r="BQ220" s="123"/>
      <c r="BR220" s="123"/>
      <c r="BS220" s="123"/>
      <c r="BT220" s="123"/>
      <c r="BU220" s="123"/>
      <c r="BV220" s="123"/>
      <c r="BW220" s="123"/>
      <c r="BX220" s="123"/>
      <c r="BY220" s="123"/>
      <c r="BZ220" s="123"/>
      <c r="CA220" s="123"/>
      <c r="CB220" s="123"/>
      <c r="CC220" s="123"/>
      <c r="CD220" s="123"/>
      <c r="CE220" s="123"/>
      <c r="CF220" s="123"/>
      <c r="CG220" s="123"/>
      <c r="CH220" s="123"/>
      <c r="CI220" s="123"/>
      <c r="CJ220" s="123"/>
      <c r="CK220" s="123"/>
      <c r="CL220" s="123"/>
      <c r="CM220" s="123"/>
      <c r="CN220" s="123"/>
      <c r="CO220" s="123"/>
      <c r="CP220" s="123"/>
      <c r="CQ220" s="123"/>
      <c r="CR220" s="123"/>
      <c r="CS220" s="123"/>
      <c r="CT220" s="123"/>
      <c r="CU220" s="123"/>
      <c r="CV220" s="123"/>
      <c r="CW220" s="123"/>
      <c r="CX220" s="123"/>
      <c r="CY220" s="123"/>
      <c r="CZ220" s="123"/>
      <c r="DA220" s="123"/>
      <c r="DB220" s="123"/>
      <c r="DC220" s="123"/>
      <c r="DD220" s="123"/>
      <c r="DE220" s="123"/>
      <c r="DF220" s="123"/>
      <c r="DG220" s="123"/>
      <c r="DH220" s="123"/>
      <c r="DI220" s="123"/>
      <c r="DJ220" s="123"/>
      <c r="DK220" s="123"/>
      <c r="DL220" s="123"/>
      <c r="DM220" s="123"/>
      <c r="DN220" s="123"/>
      <c r="DO220" s="123"/>
      <c r="DP220" s="123"/>
      <c r="DQ220" s="123"/>
      <c r="DR220" s="123"/>
      <c r="DS220" s="123"/>
      <c r="DT220" s="123"/>
      <c r="DU220" s="123"/>
      <c r="DV220" s="123"/>
      <c r="DW220" s="123"/>
      <c r="DX220" s="123"/>
      <c r="DY220" s="123"/>
      <c r="DZ220" s="123"/>
      <c r="EA220" s="123"/>
      <c r="EB220" s="123"/>
      <c r="EC220" s="123"/>
      <c r="ED220" s="123"/>
      <c r="EE220" s="123"/>
      <c r="EF220" s="123"/>
      <c r="EG220" s="123"/>
      <c r="EH220" s="123"/>
      <c r="EI220" s="123"/>
      <c r="EJ220" s="123"/>
      <c r="EK220" s="123"/>
      <c r="EL220" s="123"/>
      <c r="EM220" s="123"/>
      <c r="EN220" s="123"/>
      <c r="EO220" s="123"/>
      <c r="EP220" s="123"/>
      <c r="EQ220" s="123"/>
      <c r="ER220" s="123"/>
      <c r="ES220" s="123"/>
      <c r="ET220" s="123"/>
      <c r="EU220" s="123"/>
      <c r="EV220" s="123"/>
      <c r="EW220" s="123"/>
      <c r="EX220" s="123"/>
      <c r="EY220" s="123"/>
      <c r="EZ220" s="123"/>
      <c r="FA220" s="123"/>
      <c r="FB220" s="123"/>
      <c r="FC220" s="123"/>
      <c r="FD220" s="123"/>
      <c r="FE220" s="123"/>
      <c r="FF220" s="123"/>
      <c r="FG220" s="123"/>
    </row>
    <row r="221" spans="15:163">
      <c r="O221" s="123"/>
      <c r="P221" s="123"/>
      <c r="Q221" s="123"/>
      <c r="R221" s="123"/>
      <c r="S221" s="123"/>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3"/>
      <c r="AZ221" s="123"/>
      <c r="BA221" s="123"/>
      <c r="BB221" s="123"/>
      <c r="BC221" s="123"/>
      <c r="BD221" s="123"/>
      <c r="BE221" s="123"/>
      <c r="BF221" s="123"/>
      <c r="BG221" s="123"/>
      <c r="BH221" s="123"/>
      <c r="BI221" s="123"/>
      <c r="BJ221" s="123"/>
      <c r="BK221" s="123"/>
      <c r="BL221" s="123"/>
      <c r="BM221" s="123"/>
      <c r="BN221" s="123"/>
      <c r="BO221" s="123"/>
      <c r="BP221" s="123"/>
      <c r="BQ221" s="123"/>
      <c r="BR221" s="123"/>
      <c r="BS221" s="123"/>
      <c r="BT221" s="123"/>
      <c r="BU221" s="123"/>
      <c r="BV221" s="123"/>
      <c r="BW221" s="123"/>
      <c r="BX221" s="123"/>
      <c r="BY221" s="123"/>
      <c r="BZ221" s="123"/>
      <c r="CA221" s="123"/>
      <c r="CB221" s="123"/>
      <c r="CC221" s="123"/>
      <c r="CD221" s="123"/>
      <c r="CE221" s="123"/>
      <c r="CF221" s="123"/>
      <c r="CG221" s="123"/>
      <c r="CH221" s="123"/>
      <c r="CI221" s="123"/>
      <c r="CJ221" s="123"/>
      <c r="CK221" s="123"/>
      <c r="CL221" s="123"/>
      <c r="CM221" s="123"/>
      <c r="CN221" s="123"/>
      <c r="CO221" s="123"/>
      <c r="CP221" s="123"/>
      <c r="CQ221" s="123"/>
      <c r="CR221" s="123"/>
      <c r="CS221" s="123"/>
      <c r="CT221" s="123"/>
      <c r="CU221" s="123"/>
      <c r="CV221" s="123"/>
      <c r="CW221" s="123"/>
      <c r="CX221" s="123"/>
      <c r="CY221" s="123"/>
      <c r="CZ221" s="123"/>
      <c r="DA221" s="123"/>
      <c r="DB221" s="123"/>
      <c r="DC221" s="123"/>
      <c r="DD221" s="123"/>
      <c r="DE221" s="123"/>
      <c r="DF221" s="123"/>
      <c r="DG221" s="123"/>
      <c r="DH221" s="123"/>
      <c r="DI221" s="123"/>
      <c r="DJ221" s="123"/>
      <c r="DK221" s="123"/>
      <c r="DL221" s="123"/>
      <c r="DM221" s="123"/>
      <c r="DN221" s="123"/>
      <c r="DO221" s="123"/>
      <c r="DP221" s="123"/>
      <c r="DQ221" s="123"/>
      <c r="DR221" s="123"/>
      <c r="DS221" s="123"/>
      <c r="DT221" s="123"/>
      <c r="DU221" s="123"/>
      <c r="DV221" s="123"/>
      <c r="DW221" s="123"/>
      <c r="DX221" s="123"/>
      <c r="DY221" s="123"/>
      <c r="DZ221" s="123"/>
      <c r="EA221" s="123"/>
      <c r="EB221" s="123"/>
      <c r="EC221" s="123"/>
      <c r="ED221" s="123"/>
      <c r="EE221" s="123"/>
      <c r="EF221" s="123"/>
      <c r="EG221" s="123"/>
      <c r="EH221" s="123"/>
      <c r="EI221" s="123"/>
      <c r="EJ221" s="123"/>
      <c r="EK221" s="123"/>
      <c r="EL221" s="123"/>
      <c r="EM221" s="123"/>
      <c r="EN221" s="123"/>
      <c r="EO221" s="123"/>
      <c r="EP221" s="123"/>
      <c r="EQ221" s="123"/>
      <c r="ER221" s="123"/>
      <c r="ES221" s="123"/>
      <c r="ET221" s="123"/>
      <c r="EU221" s="123"/>
      <c r="EV221" s="123"/>
      <c r="EW221" s="123"/>
      <c r="EX221" s="123"/>
      <c r="EY221" s="123"/>
      <c r="EZ221" s="123"/>
      <c r="FA221" s="123"/>
      <c r="FB221" s="123"/>
      <c r="FC221" s="123"/>
      <c r="FD221" s="123"/>
      <c r="FE221" s="123"/>
      <c r="FF221" s="123"/>
      <c r="FG221" s="123"/>
    </row>
    <row r="222" spans="15:163">
      <c r="O222" s="123"/>
      <c r="P222" s="123"/>
      <c r="Q222" s="123"/>
      <c r="R222" s="123"/>
      <c r="S222" s="123"/>
      <c r="T222" s="123"/>
      <c r="U222" s="123"/>
      <c r="V222" s="123"/>
      <c r="W222" s="123"/>
      <c r="X222" s="123"/>
      <c r="Y222" s="123"/>
      <c r="Z222" s="123"/>
      <c r="AA222" s="123"/>
      <c r="AB222" s="123"/>
      <c r="AC222" s="123"/>
      <c r="AD222" s="123"/>
      <c r="AE222" s="123"/>
      <c r="AF222" s="123"/>
      <c r="AG222" s="123"/>
      <c r="AH222" s="123"/>
      <c r="AI222" s="123"/>
      <c r="AJ222" s="123"/>
      <c r="AK222" s="123"/>
      <c r="AL222" s="123"/>
      <c r="AM222" s="123"/>
      <c r="AN222" s="123"/>
      <c r="AO222" s="123"/>
      <c r="AP222" s="123"/>
      <c r="AQ222" s="123"/>
      <c r="AR222" s="123"/>
      <c r="AS222" s="123"/>
      <c r="AT222" s="123"/>
      <c r="AU222" s="123"/>
      <c r="AV222" s="123"/>
      <c r="AW222" s="123"/>
      <c r="AX222" s="123"/>
      <c r="AY222" s="123"/>
      <c r="AZ222" s="123"/>
      <c r="BA222" s="123"/>
      <c r="BB222" s="123"/>
      <c r="BC222" s="123"/>
      <c r="BD222" s="123"/>
      <c r="BE222" s="123"/>
      <c r="BF222" s="123"/>
      <c r="BG222" s="123"/>
      <c r="BH222" s="123"/>
      <c r="BI222" s="123"/>
      <c r="BJ222" s="123"/>
      <c r="BK222" s="123"/>
      <c r="BL222" s="123"/>
      <c r="BM222" s="123"/>
      <c r="BN222" s="123"/>
      <c r="BO222" s="123"/>
      <c r="BP222" s="123"/>
      <c r="BQ222" s="123"/>
      <c r="BR222" s="123"/>
      <c r="BS222" s="123"/>
      <c r="BT222" s="123"/>
      <c r="BU222" s="123"/>
      <c r="BV222" s="123"/>
      <c r="BW222" s="123"/>
      <c r="BX222" s="123"/>
      <c r="BY222" s="123"/>
      <c r="BZ222" s="123"/>
      <c r="CA222" s="123"/>
      <c r="CB222" s="123"/>
      <c r="CC222" s="123"/>
      <c r="CD222" s="123"/>
      <c r="CE222" s="123"/>
      <c r="CF222" s="123"/>
      <c r="CG222" s="123"/>
      <c r="CH222" s="123"/>
      <c r="CI222" s="123"/>
      <c r="CJ222" s="123"/>
      <c r="CK222" s="123"/>
      <c r="CL222" s="123"/>
      <c r="CM222" s="123"/>
      <c r="CN222" s="123"/>
      <c r="CO222" s="123"/>
      <c r="CP222" s="123"/>
      <c r="CQ222" s="123"/>
      <c r="CR222" s="123"/>
      <c r="CS222" s="123"/>
      <c r="CT222" s="123"/>
      <c r="CU222" s="123"/>
      <c r="CV222" s="123"/>
      <c r="CW222" s="123"/>
      <c r="CX222" s="123"/>
      <c r="CY222" s="123"/>
      <c r="CZ222" s="123"/>
      <c r="DA222" s="123"/>
      <c r="DB222" s="123"/>
      <c r="DC222" s="123"/>
      <c r="DD222" s="123"/>
      <c r="DE222" s="123"/>
      <c r="DF222" s="123"/>
      <c r="DG222" s="123"/>
      <c r="DH222" s="123"/>
      <c r="DI222" s="123"/>
      <c r="DJ222" s="123"/>
      <c r="DK222" s="123"/>
      <c r="DL222" s="123"/>
      <c r="DM222" s="123"/>
      <c r="DN222" s="123"/>
      <c r="DO222" s="123"/>
      <c r="DP222" s="123"/>
      <c r="DQ222" s="123"/>
      <c r="DR222" s="123"/>
      <c r="DS222" s="123"/>
      <c r="DT222" s="123"/>
      <c r="DU222" s="123"/>
      <c r="DV222" s="123"/>
      <c r="DW222" s="123"/>
      <c r="DX222" s="123"/>
      <c r="DY222" s="123"/>
      <c r="DZ222" s="123"/>
      <c r="EA222" s="123"/>
      <c r="EB222" s="123"/>
      <c r="EC222" s="123"/>
      <c r="ED222" s="123"/>
      <c r="EE222" s="123"/>
      <c r="EF222" s="123"/>
      <c r="EG222" s="123"/>
      <c r="EH222" s="123"/>
      <c r="EI222" s="123"/>
      <c r="EJ222" s="123"/>
      <c r="EK222" s="123"/>
      <c r="EL222" s="123"/>
      <c r="EM222" s="123"/>
      <c r="EN222" s="123"/>
      <c r="EO222" s="123"/>
      <c r="EP222" s="123"/>
      <c r="EQ222" s="123"/>
      <c r="ER222" s="123"/>
      <c r="ES222" s="123"/>
      <c r="ET222" s="123"/>
      <c r="EU222" s="123"/>
      <c r="EV222" s="123"/>
      <c r="EW222" s="123"/>
      <c r="EX222" s="123"/>
      <c r="EY222" s="123"/>
      <c r="EZ222" s="123"/>
      <c r="FA222" s="123"/>
      <c r="FB222" s="123"/>
      <c r="FC222" s="123"/>
      <c r="FD222" s="123"/>
      <c r="FE222" s="123"/>
      <c r="FF222" s="123"/>
      <c r="FG222" s="123"/>
    </row>
    <row r="223" spans="15:163">
      <c r="O223" s="123"/>
      <c r="P223" s="123"/>
      <c r="Q223" s="123"/>
      <c r="R223" s="123"/>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c r="BC223" s="123"/>
      <c r="BD223" s="123"/>
      <c r="BE223" s="123"/>
      <c r="BF223" s="123"/>
      <c r="BG223" s="123"/>
      <c r="BH223" s="123"/>
      <c r="BI223" s="123"/>
      <c r="BJ223" s="123"/>
      <c r="BK223" s="123"/>
      <c r="BL223" s="123"/>
      <c r="BM223" s="123"/>
      <c r="BN223" s="123"/>
      <c r="BO223" s="123"/>
      <c r="BP223" s="123"/>
      <c r="BQ223" s="123"/>
      <c r="BR223" s="123"/>
      <c r="BS223" s="123"/>
      <c r="BT223" s="123"/>
      <c r="BU223" s="123"/>
      <c r="BV223" s="123"/>
      <c r="BW223" s="123"/>
      <c r="BX223" s="123"/>
      <c r="BY223" s="123"/>
      <c r="BZ223" s="123"/>
      <c r="CA223" s="123"/>
      <c r="CB223" s="123"/>
      <c r="CC223" s="123"/>
      <c r="CD223" s="123"/>
      <c r="CE223" s="123"/>
      <c r="CF223" s="123"/>
      <c r="CG223" s="123"/>
      <c r="CH223" s="123"/>
      <c r="CI223" s="123"/>
      <c r="CJ223" s="123"/>
      <c r="CK223" s="123"/>
      <c r="CL223" s="123"/>
      <c r="CM223" s="123"/>
      <c r="CN223" s="123"/>
      <c r="CO223" s="123"/>
      <c r="CP223" s="123"/>
      <c r="CQ223" s="123"/>
      <c r="CR223" s="123"/>
      <c r="CS223" s="123"/>
      <c r="CT223" s="123"/>
      <c r="CU223" s="123"/>
      <c r="CV223" s="123"/>
      <c r="CW223" s="123"/>
      <c r="CX223" s="123"/>
      <c r="CY223" s="123"/>
      <c r="CZ223" s="123"/>
      <c r="DA223" s="123"/>
      <c r="DB223" s="123"/>
      <c r="DC223" s="123"/>
      <c r="DD223" s="123"/>
      <c r="DE223" s="123"/>
      <c r="DF223" s="123"/>
      <c r="DG223" s="123"/>
      <c r="DH223" s="123"/>
      <c r="DI223" s="123"/>
      <c r="DJ223" s="123"/>
      <c r="DK223" s="123"/>
      <c r="DL223" s="123"/>
      <c r="DM223" s="123"/>
      <c r="DN223" s="123"/>
      <c r="DO223" s="123"/>
      <c r="DP223" s="123"/>
      <c r="DQ223" s="123"/>
      <c r="DR223" s="123"/>
      <c r="DS223" s="123"/>
      <c r="DT223" s="123"/>
      <c r="DU223" s="123"/>
      <c r="DV223" s="123"/>
      <c r="DW223" s="123"/>
      <c r="DX223" s="123"/>
      <c r="DY223" s="123"/>
      <c r="DZ223" s="123"/>
      <c r="EA223" s="123"/>
      <c r="EB223" s="123"/>
      <c r="EC223" s="123"/>
      <c r="ED223" s="123"/>
      <c r="EE223" s="123"/>
      <c r="EF223" s="123"/>
      <c r="EG223" s="123"/>
      <c r="EH223" s="123"/>
      <c r="EI223" s="123"/>
      <c r="EJ223" s="123"/>
      <c r="EK223" s="123"/>
      <c r="EL223" s="123"/>
      <c r="EM223" s="123"/>
      <c r="EN223" s="123"/>
      <c r="EO223" s="123"/>
      <c r="EP223" s="123"/>
      <c r="EQ223" s="123"/>
      <c r="ER223" s="123"/>
      <c r="ES223" s="123"/>
      <c r="ET223" s="123"/>
      <c r="EU223" s="123"/>
      <c r="EV223" s="123"/>
      <c r="EW223" s="123"/>
      <c r="EX223" s="123"/>
      <c r="EY223" s="123"/>
      <c r="EZ223" s="123"/>
      <c r="FA223" s="123"/>
      <c r="FB223" s="123"/>
      <c r="FC223" s="123"/>
      <c r="FD223" s="123"/>
      <c r="FE223" s="123"/>
      <c r="FF223" s="123"/>
      <c r="FG223" s="123"/>
    </row>
    <row r="224" spans="15:163">
      <c r="O224" s="123"/>
      <c r="P224" s="123"/>
      <c r="Q224" s="123"/>
      <c r="R224" s="123"/>
      <c r="S224" s="123"/>
      <c r="T224" s="123"/>
      <c r="U224" s="123"/>
      <c r="V224" s="123"/>
      <c r="W224" s="123"/>
      <c r="X224" s="123"/>
      <c r="Y224" s="123"/>
      <c r="Z224" s="123"/>
      <c r="AA224" s="123"/>
      <c r="AB224" s="123"/>
      <c r="AC224" s="123"/>
      <c r="AD224" s="123"/>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c r="AY224" s="123"/>
      <c r="AZ224" s="123"/>
      <c r="BA224" s="123"/>
      <c r="BB224" s="123"/>
      <c r="BC224" s="123"/>
      <c r="BD224" s="123"/>
      <c r="BE224" s="123"/>
      <c r="BF224" s="123"/>
      <c r="BG224" s="123"/>
      <c r="BH224" s="123"/>
      <c r="BI224" s="123"/>
      <c r="BJ224" s="123"/>
      <c r="BK224" s="123"/>
      <c r="BL224" s="123"/>
      <c r="BM224" s="123"/>
      <c r="BN224" s="123"/>
      <c r="BO224" s="123"/>
      <c r="BP224" s="123"/>
      <c r="BQ224" s="123"/>
      <c r="BR224" s="123"/>
      <c r="BS224" s="123"/>
      <c r="BT224" s="123"/>
      <c r="BU224" s="123"/>
      <c r="BV224" s="123"/>
      <c r="BW224" s="123"/>
      <c r="BX224" s="123"/>
      <c r="BY224" s="123"/>
      <c r="BZ224" s="123"/>
      <c r="CA224" s="123"/>
      <c r="CB224" s="123"/>
      <c r="CC224" s="123"/>
      <c r="CD224" s="123"/>
      <c r="CE224" s="123"/>
      <c r="CF224" s="123"/>
      <c r="CG224" s="123"/>
      <c r="CH224" s="123"/>
      <c r="CI224" s="123"/>
      <c r="CJ224" s="123"/>
      <c r="CK224" s="123"/>
      <c r="CL224" s="123"/>
      <c r="CM224" s="123"/>
      <c r="CN224" s="123"/>
      <c r="CO224" s="123"/>
      <c r="CP224" s="123"/>
      <c r="CQ224" s="123"/>
      <c r="CR224" s="123"/>
      <c r="CS224" s="123"/>
      <c r="CT224" s="123"/>
      <c r="CU224" s="123"/>
      <c r="CV224" s="123"/>
      <c r="CW224" s="123"/>
      <c r="CX224" s="123"/>
      <c r="CY224" s="123"/>
      <c r="CZ224" s="123"/>
      <c r="DA224" s="123"/>
      <c r="DB224" s="123"/>
      <c r="DC224" s="123"/>
      <c r="DD224" s="123"/>
      <c r="DE224" s="123"/>
      <c r="DF224" s="123"/>
      <c r="DG224" s="123"/>
      <c r="DH224" s="123"/>
      <c r="DI224" s="123"/>
      <c r="DJ224" s="123"/>
      <c r="DK224" s="123"/>
      <c r="DL224" s="123"/>
      <c r="DM224" s="123"/>
      <c r="DN224" s="123"/>
      <c r="DO224" s="123"/>
      <c r="DP224" s="123"/>
      <c r="DQ224" s="123"/>
      <c r="DR224" s="123"/>
      <c r="DS224" s="123"/>
      <c r="DT224" s="123"/>
      <c r="DU224" s="123"/>
      <c r="DV224" s="123"/>
      <c r="DW224" s="123"/>
      <c r="DX224" s="123"/>
      <c r="DY224" s="123"/>
      <c r="DZ224" s="123"/>
      <c r="EA224" s="123"/>
      <c r="EB224" s="123"/>
      <c r="EC224" s="123"/>
      <c r="ED224" s="123"/>
      <c r="EE224" s="123"/>
      <c r="EF224" s="123"/>
      <c r="EG224" s="123"/>
      <c r="EH224" s="123"/>
      <c r="EI224" s="123"/>
      <c r="EJ224" s="123"/>
      <c r="EK224" s="123"/>
      <c r="EL224" s="123"/>
      <c r="EM224" s="123"/>
      <c r="EN224" s="123"/>
      <c r="EO224" s="123"/>
      <c r="EP224" s="123"/>
      <c r="EQ224" s="123"/>
      <c r="ER224" s="123"/>
      <c r="ES224" s="123"/>
      <c r="ET224" s="123"/>
      <c r="EU224" s="123"/>
      <c r="EV224" s="123"/>
      <c r="EW224" s="123"/>
      <c r="EX224" s="123"/>
      <c r="EY224" s="123"/>
      <c r="EZ224" s="123"/>
      <c r="FA224" s="123"/>
      <c r="FB224" s="123"/>
      <c r="FC224" s="123"/>
      <c r="FD224" s="123"/>
      <c r="FE224" s="123"/>
      <c r="FF224" s="123"/>
      <c r="FG224" s="123"/>
    </row>
    <row r="225" spans="15:163">
      <c r="O225" s="123"/>
      <c r="P225" s="123"/>
      <c r="Q225" s="123"/>
      <c r="R225" s="123"/>
      <c r="S225" s="123"/>
      <c r="T225" s="123"/>
      <c r="U225" s="123"/>
      <c r="V225" s="123"/>
      <c r="W225" s="123"/>
      <c r="X225" s="123"/>
      <c r="Y225" s="123"/>
      <c r="Z225" s="123"/>
      <c r="AA225" s="123"/>
      <c r="AB225" s="123"/>
      <c r="AC225" s="123"/>
      <c r="AD225" s="123"/>
      <c r="AE225" s="123"/>
      <c r="AF225" s="123"/>
      <c r="AG225" s="123"/>
      <c r="AH225" s="123"/>
      <c r="AI225" s="123"/>
      <c r="AJ225" s="123"/>
      <c r="AK225" s="123"/>
      <c r="AL225" s="123"/>
      <c r="AM225" s="123"/>
      <c r="AN225" s="123"/>
      <c r="AO225" s="123"/>
      <c r="AP225" s="123"/>
      <c r="AQ225" s="123"/>
      <c r="AR225" s="123"/>
      <c r="AS225" s="123"/>
      <c r="AT225" s="123"/>
      <c r="AU225" s="123"/>
      <c r="AV225" s="123"/>
      <c r="AW225" s="123"/>
      <c r="AX225" s="123"/>
      <c r="AY225" s="123"/>
      <c r="AZ225" s="123"/>
      <c r="BA225" s="123"/>
      <c r="BB225" s="123"/>
      <c r="BC225" s="123"/>
      <c r="BD225" s="123"/>
      <c r="BE225" s="123"/>
      <c r="BF225" s="123"/>
      <c r="BG225" s="123"/>
      <c r="BH225" s="123"/>
      <c r="BI225" s="123"/>
      <c r="BJ225" s="123"/>
      <c r="BK225" s="123"/>
      <c r="BL225" s="123"/>
      <c r="BM225" s="123"/>
      <c r="BN225" s="123"/>
      <c r="BO225" s="123"/>
      <c r="BP225" s="123"/>
      <c r="BQ225" s="123"/>
      <c r="BR225" s="123"/>
      <c r="BS225" s="123"/>
      <c r="BT225" s="123"/>
      <c r="BU225" s="123"/>
      <c r="BV225" s="123"/>
      <c r="BW225" s="123"/>
      <c r="BX225" s="123"/>
      <c r="BY225" s="123"/>
      <c r="BZ225" s="123"/>
      <c r="CA225" s="123"/>
      <c r="CB225" s="123"/>
      <c r="CC225" s="123"/>
      <c r="CD225" s="123"/>
      <c r="CE225" s="123"/>
      <c r="CF225" s="123"/>
      <c r="CG225" s="123"/>
      <c r="CH225" s="123"/>
      <c r="CI225" s="123"/>
      <c r="CJ225" s="123"/>
      <c r="CK225" s="123"/>
      <c r="CL225" s="123"/>
      <c r="CM225" s="123"/>
      <c r="CN225" s="123"/>
      <c r="CO225" s="123"/>
      <c r="CP225" s="123"/>
      <c r="CQ225" s="123"/>
      <c r="CR225" s="123"/>
      <c r="CS225" s="123"/>
      <c r="CT225" s="123"/>
      <c r="CU225" s="123"/>
      <c r="CV225" s="123"/>
      <c r="CW225" s="123"/>
      <c r="CX225" s="123"/>
      <c r="CY225" s="123"/>
      <c r="CZ225" s="123"/>
      <c r="DA225" s="123"/>
      <c r="DB225" s="123"/>
      <c r="DC225" s="123"/>
      <c r="DD225" s="123"/>
      <c r="DE225" s="123"/>
      <c r="DF225" s="123"/>
      <c r="DG225" s="123"/>
      <c r="DH225" s="123"/>
      <c r="DI225" s="123"/>
      <c r="DJ225" s="123"/>
      <c r="DK225" s="123"/>
      <c r="DL225" s="123"/>
      <c r="DM225" s="123"/>
      <c r="DN225" s="123"/>
      <c r="DO225" s="123"/>
      <c r="DP225" s="123"/>
      <c r="DQ225" s="123"/>
      <c r="DR225" s="123"/>
      <c r="DS225" s="123"/>
      <c r="DT225" s="123"/>
      <c r="DU225" s="123"/>
      <c r="DV225" s="123"/>
      <c r="DW225" s="123"/>
      <c r="DX225" s="123"/>
      <c r="DY225" s="123"/>
      <c r="DZ225" s="123"/>
      <c r="EA225" s="123"/>
      <c r="EB225" s="123"/>
      <c r="EC225" s="123"/>
      <c r="ED225" s="123"/>
      <c r="EE225" s="123"/>
      <c r="EF225" s="123"/>
      <c r="EG225" s="123"/>
      <c r="EH225" s="123"/>
      <c r="EI225" s="123"/>
      <c r="EJ225" s="123"/>
      <c r="EK225" s="123"/>
      <c r="EL225" s="123"/>
      <c r="EM225" s="123"/>
      <c r="EN225" s="123"/>
      <c r="EO225" s="123"/>
      <c r="EP225" s="123"/>
      <c r="EQ225" s="123"/>
      <c r="ER225" s="123"/>
      <c r="ES225" s="123"/>
      <c r="ET225" s="123"/>
      <c r="EU225" s="123"/>
      <c r="EV225" s="123"/>
      <c r="EW225" s="123"/>
      <c r="EX225" s="123"/>
      <c r="EY225" s="123"/>
      <c r="EZ225" s="123"/>
      <c r="FA225" s="123"/>
      <c r="FB225" s="123"/>
      <c r="FC225" s="123"/>
      <c r="FD225" s="123"/>
      <c r="FE225" s="123"/>
      <c r="FF225" s="123"/>
      <c r="FG225" s="123"/>
    </row>
    <row r="226" spans="15:163">
      <c r="O226" s="123"/>
      <c r="P226" s="123"/>
      <c r="Q226" s="123"/>
      <c r="R226" s="123"/>
      <c r="S226" s="123"/>
      <c r="T226" s="123"/>
      <c r="U226" s="123"/>
      <c r="V226" s="123"/>
      <c r="W226" s="123"/>
      <c r="X226" s="123"/>
      <c r="Y226" s="123"/>
      <c r="Z226" s="123"/>
      <c r="AA226" s="123"/>
      <c r="AB226" s="123"/>
      <c r="AC226" s="123"/>
      <c r="AD226" s="123"/>
      <c r="AE226" s="123"/>
      <c r="AF226" s="123"/>
      <c r="AG226" s="123"/>
      <c r="AH226" s="123"/>
      <c r="AI226" s="123"/>
      <c r="AJ226" s="123"/>
      <c r="AK226" s="123"/>
      <c r="AL226" s="123"/>
      <c r="AM226" s="123"/>
      <c r="AN226" s="123"/>
      <c r="AO226" s="123"/>
      <c r="AP226" s="123"/>
      <c r="AQ226" s="123"/>
      <c r="AR226" s="123"/>
      <c r="AS226" s="123"/>
      <c r="AT226" s="123"/>
      <c r="AU226" s="123"/>
      <c r="AV226" s="123"/>
      <c r="AW226" s="123"/>
      <c r="AX226" s="123"/>
      <c r="AY226" s="123"/>
      <c r="AZ226" s="123"/>
      <c r="BA226" s="123"/>
      <c r="BB226" s="123"/>
      <c r="BC226" s="123"/>
      <c r="BD226" s="123"/>
      <c r="BE226" s="123"/>
      <c r="BF226" s="123"/>
      <c r="BG226" s="123"/>
      <c r="BH226" s="123"/>
      <c r="BI226" s="123"/>
      <c r="BJ226" s="123"/>
      <c r="BK226" s="123"/>
      <c r="BL226" s="123"/>
      <c r="BM226" s="123"/>
      <c r="BN226" s="123"/>
      <c r="BO226" s="123"/>
      <c r="BP226" s="123"/>
      <c r="BQ226" s="123"/>
      <c r="BR226" s="123"/>
      <c r="BS226" s="123"/>
      <c r="BT226" s="123"/>
      <c r="BU226" s="123"/>
      <c r="BV226" s="123"/>
      <c r="BW226" s="123"/>
      <c r="BX226" s="123"/>
      <c r="BY226" s="123"/>
      <c r="BZ226" s="123"/>
      <c r="CA226" s="123"/>
      <c r="CB226" s="123"/>
      <c r="CC226" s="123"/>
      <c r="CD226" s="123"/>
      <c r="CE226" s="123"/>
      <c r="CF226" s="123"/>
      <c r="CG226" s="123"/>
      <c r="CH226" s="123"/>
      <c r="CI226" s="123"/>
      <c r="CJ226" s="123"/>
      <c r="CK226" s="123"/>
      <c r="CL226" s="123"/>
      <c r="CM226" s="123"/>
      <c r="CN226" s="123"/>
      <c r="CO226" s="123"/>
      <c r="CP226" s="123"/>
      <c r="CQ226" s="123"/>
      <c r="CR226" s="123"/>
      <c r="CS226" s="123"/>
      <c r="CT226" s="123"/>
      <c r="CU226" s="123"/>
      <c r="CV226" s="123"/>
      <c r="CW226" s="123"/>
      <c r="CX226" s="123"/>
      <c r="CY226" s="123"/>
      <c r="CZ226" s="123"/>
      <c r="DA226" s="123"/>
      <c r="DB226" s="123"/>
      <c r="DC226" s="123"/>
      <c r="DD226" s="123"/>
      <c r="DE226" s="123"/>
      <c r="DF226" s="123"/>
      <c r="DG226" s="123"/>
      <c r="DH226" s="123"/>
      <c r="DI226" s="123"/>
      <c r="DJ226" s="123"/>
      <c r="DK226" s="123"/>
      <c r="DL226" s="123"/>
      <c r="DM226" s="123"/>
      <c r="DN226" s="123"/>
      <c r="DO226" s="123"/>
      <c r="DP226" s="123"/>
      <c r="DQ226" s="123"/>
      <c r="DR226" s="123"/>
      <c r="DS226" s="123"/>
      <c r="DT226" s="123"/>
      <c r="DU226" s="123"/>
      <c r="DV226" s="123"/>
      <c r="DW226" s="123"/>
      <c r="DX226" s="123"/>
      <c r="DY226" s="123"/>
      <c r="DZ226" s="123"/>
      <c r="EA226" s="123"/>
      <c r="EB226" s="123"/>
      <c r="EC226" s="123"/>
      <c r="ED226" s="123"/>
      <c r="EE226" s="123"/>
      <c r="EF226" s="123"/>
      <c r="EG226" s="123"/>
      <c r="EH226" s="123"/>
      <c r="EI226" s="123"/>
      <c r="EJ226" s="123"/>
      <c r="EK226" s="123"/>
      <c r="EL226" s="123"/>
      <c r="EM226" s="123"/>
      <c r="EN226" s="123"/>
      <c r="EO226" s="123"/>
      <c r="EP226" s="123"/>
      <c r="EQ226" s="123"/>
      <c r="ER226" s="123"/>
      <c r="ES226" s="123"/>
      <c r="ET226" s="123"/>
      <c r="EU226" s="123"/>
      <c r="EV226" s="123"/>
      <c r="EW226" s="123"/>
      <c r="EX226" s="123"/>
      <c r="EY226" s="123"/>
      <c r="EZ226" s="123"/>
      <c r="FA226" s="123"/>
      <c r="FB226" s="123"/>
      <c r="FC226" s="123"/>
      <c r="FD226" s="123"/>
      <c r="FE226" s="123"/>
      <c r="FF226" s="123"/>
      <c r="FG226" s="123"/>
    </row>
    <row r="227" spans="15:163">
      <c r="O227" s="123"/>
      <c r="P227" s="123"/>
      <c r="Q227" s="123"/>
      <c r="R227" s="123"/>
      <c r="S227" s="123"/>
      <c r="T227" s="123"/>
      <c r="U227" s="123"/>
      <c r="V227" s="123"/>
      <c r="W227" s="123"/>
      <c r="X227" s="123"/>
      <c r="Y227" s="123"/>
      <c r="Z227" s="123"/>
      <c r="AA227" s="123"/>
      <c r="AB227" s="123"/>
      <c r="AC227" s="123"/>
      <c r="AD227" s="123"/>
      <c r="AE227" s="123"/>
      <c r="AF227" s="123"/>
      <c r="AG227" s="123"/>
      <c r="AH227" s="123"/>
      <c r="AI227" s="123"/>
      <c r="AJ227" s="123"/>
      <c r="AK227" s="123"/>
      <c r="AL227" s="123"/>
      <c r="AM227" s="123"/>
      <c r="AN227" s="123"/>
      <c r="AO227" s="123"/>
      <c r="AP227" s="123"/>
      <c r="AQ227" s="123"/>
      <c r="AR227" s="123"/>
      <c r="AS227" s="123"/>
      <c r="AT227" s="123"/>
      <c r="AU227" s="123"/>
      <c r="AV227" s="123"/>
      <c r="AW227" s="123"/>
      <c r="AX227" s="123"/>
      <c r="AY227" s="123"/>
      <c r="AZ227" s="123"/>
      <c r="BA227" s="123"/>
      <c r="BB227" s="123"/>
      <c r="BC227" s="123"/>
      <c r="BD227" s="123"/>
      <c r="BE227" s="123"/>
      <c r="BF227" s="123"/>
      <c r="BG227" s="123"/>
      <c r="BH227" s="123"/>
      <c r="BI227" s="123"/>
      <c r="BJ227" s="123"/>
      <c r="BK227" s="123"/>
      <c r="BL227" s="123"/>
      <c r="BM227" s="123"/>
      <c r="BN227" s="123"/>
      <c r="BO227" s="123"/>
      <c r="BP227" s="123"/>
      <c r="BQ227" s="123"/>
      <c r="BR227" s="123"/>
      <c r="BS227" s="123"/>
      <c r="BT227" s="123"/>
      <c r="BU227" s="123"/>
      <c r="BV227" s="123"/>
      <c r="BW227" s="123"/>
      <c r="BX227" s="123"/>
      <c r="BY227" s="123"/>
      <c r="BZ227" s="123"/>
      <c r="CA227" s="123"/>
      <c r="CB227" s="123"/>
      <c r="CC227" s="123"/>
      <c r="CD227" s="123"/>
      <c r="CE227" s="123"/>
      <c r="CF227" s="123"/>
      <c r="CG227" s="123"/>
      <c r="CH227" s="123"/>
      <c r="CI227" s="123"/>
      <c r="CJ227" s="123"/>
      <c r="CK227" s="123"/>
      <c r="CL227" s="123"/>
      <c r="CM227" s="123"/>
      <c r="CN227" s="123"/>
      <c r="CO227" s="123"/>
      <c r="CP227" s="123"/>
      <c r="CQ227" s="123"/>
      <c r="CR227" s="123"/>
      <c r="CS227" s="123"/>
      <c r="CT227" s="123"/>
      <c r="CU227" s="123"/>
      <c r="CV227" s="123"/>
      <c r="CW227" s="123"/>
      <c r="CX227" s="123"/>
      <c r="CY227" s="123"/>
      <c r="CZ227" s="123"/>
      <c r="DA227" s="123"/>
      <c r="DB227" s="123"/>
      <c r="DC227" s="123"/>
      <c r="DD227" s="123"/>
      <c r="DE227" s="123"/>
      <c r="DF227" s="123"/>
      <c r="DG227" s="123"/>
      <c r="DH227" s="123"/>
      <c r="DI227" s="123"/>
      <c r="DJ227" s="123"/>
      <c r="DK227" s="123"/>
      <c r="DL227" s="123"/>
      <c r="DM227" s="123"/>
      <c r="DN227" s="123"/>
      <c r="DO227" s="123"/>
      <c r="DP227" s="123"/>
      <c r="DQ227" s="123"/>
      <c r="DR227" s="123"/>
      <c r="DS227" s="123"/>
      <c r="DT227" s="123"/>
      <c r="DU227" s="123"/>
      <c r="DV227" s="123"/>
      <c r="DW227" s="123"/>
      <c r="DX227" s="123"/>
      <c r="DY227" s="123"/>
      <c r="DZ227" s="123"/>
      <c r="EA227" s="123"/>
      <c r="EB227" s="123"/>
      <c r="EC227" s="123"/>
      <c r="ED227" s="123"/>
      <c r="EE227" s="123"/>
      <c r="EF227" s="123"/>
      <c r="EG227" s="123"/>
      <c r="EH227" s="123"/>
      <c r="EI227" s="123"/>
      <c r="EJ227" s="123"/>
      <c r="EK227" s="123"/>
      <c r="EL227" s="123"/>
      <c r="EM227" s="123"/>
      <c r="EN227" s="123"/>
      <c r="EO227" s="123"/>
      <c r="EP227" s="123"/>
      <c r="EQ227" s="123"/>
      <c r="ER227" s="123"/>
      <c r="ES227" s="123"/>
      <c r="ET227" s="123"/>
      <c r="EU227" s="123"/>
      <c r="EV227" s="123"/>
      <c r="EW227" s="123"/>
      <c r="EX227" s="123"/>
      <c r="EY227" s="123"/>
      <c r="EZ227" s="123"/>
      <c r="FA227" s="123"/>
      <c r="FB227" s="123"/>
      <c r="FC227" s="123"/>
      <c r="FD227" s="123"/>
      <c r="FE227" s="123"/>
      <c r="FF227" s="123"/>
      <c r="FG227" s="123"/>
    </row>
    <row r="228" spans="15:163">
      <c r="O228" s="123"/>
      <c r="P228" s="123"/>
      <c r="Q228" s="123"/>
      <c r="R228" s="123"/>
      <c r="S228" s="123"/>
      <c r="T228" s="123"/>
      <c r="U228" s="123"/>
      <c r="V228" s="123"/>
      <c r="W228" s="123"/>
      <c r="X228" s="123"/>
      <c r="Y228" s="123"/>
      <c r="Z228" s="123"/>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c r="AY228" s="123"/>
      <c r="AZ228" s="123"/>
      <c r="BA228" s="123"/>
      <c r="BB228" s="123"/>
      <c r="BC228" s="123"/>
      <c r="BD228" s="123"/>
      <c r="BE228" s="123"/>
      <c r="BF228" s="123"/>
      <c r="BG228" s="123"/>
      <c r="BH228" s="123"/>
      <c r="BI228" s="123"/>
      <c r="BJ228" s="123"/>
      <c r="BK228" s="123"/>
      <c r="BL228" s="123"/>
      <c r="BM228" s="123"/>
      <c r="BN228" s="123"/>
      <c r="BO228" s="123"/>
      <c r="BP228" s="123"/>
      <c r="BQ228" s="123"/>
      <c r="BR228" s="123"/>
      <c r="BS228" s="123"/>
      <c r="BT228" s="123"/>
      <c r="BU228" s="123"/>
      <c r="BV228" s="123"/>
      <c r="BW228" s="123"/>
      <c r="BX228" s="123"/>
      <c r="BY228" s="123"/>
      <c r="BZ228" s="123"/>
      <c r="CA228" s="123"/>
      <c r="CB228" s="123"/>
      <c r="CC228" s="123"/>
      <c r="CD228" s="123"/>
      <c r="CE228" s="123"/>
      <c r="CF228" s="123"/>
      <c r="CG228" s="123"/>
      <c r="CH228" s="123"/>
      <c r="CI228" s="123"/>
      <c r="CJ228" s="123"/>
      <c r="CK228" s="123"/>
      <c r="CL228" s="123"/>
      <c r="CM228" s="123"/>
      <c r="CN228" s="123"/>
      <c r="CO228" s="123"/>
      <c r="CP228" s="123"/>
      <c r="CQ228" s="123"/>
      <c r="CR228" s="123"/>
      <c r="CS228" s="123"/>
      <c r="CT228" s="123"/>
      <c r="CU228" s="123"/>
      <c r="CV228" s="123"/>
      <c r="CW228" s="123"/>
      <c r="CX228" s="123"/>
      <c r="CY228" s="123"/>
      <c r="CZ228" s="123"/>
      <c r="DA228" s="123"/>
      <c r="DB228" s="123"/>
      <c r="DC228" s="123"/>
      <c r="DD228" s="123"/>
      <c r="DE228" s="123"/>
      <c r="DF228" s="123"/>
      <c r="DG228" s="123"/>
      <c r="DH228" s="123"/>
      <c r="DI228" s="123"/>
      <c r="DJ228" s="123"/>
      <c r="DK228" s="123"/>
      <c r="DL228" s="123"/>
      <c r="DM228" s="123"/>
      <c r="DN228" s="123"/>
      <c r="DO228" s="123"/>
      <c r="DP228" s="123"/>
      <c r="DQ228" s="123"/>
      <c r="DR228" s="123"/>
      <c r="DS228" s="123"/>
      <c r="DT228" s="123"/>
      <c r="DU228" s="123"/>
      <c r="DV228" s="123"/>
      <c r="DW228" s="123"/>
      <c r="DX228" s="123"/>
      <c r="DY228" s="123"/>
      <c r="DZ228" s="123"/>
      <c r="EA228" s="123"/>
      <c r="EB228" s="123"/>
      <c r="EC228" s="123"/>
      <c r="ED228" s="123"/>
      <c r="EE228" s="123"/>
      <c r="EF228" s="123"/>
      <c r="EG228" s="123"/>
      <c r="EH228" s="123"/>
      <c r="EI228" s="123"/>
      <c r="EJ228" s="123"/>
      <c r="EK228" s="123"/>
      <c r="EL228" s="123"/>
      <c r="EM228" s="123"/>
      <c r="EN228" s="123"/>
      <c r="EO228" s="123"/>
      <c r="EP228" s="123"/>
      <c r="EQ228" s="123"/>
      <c r="ER228" s="123"/>
      <c r="ES228" s="123"/>
      <c r="ET228" s="123"/>
      <c r="EU228" s="123"/>
      <c r="EV228" s="123"/>
      <c r="EW228" s="123"/>
      <c r="EX228" s="123"/>
      <c r="EY228" s="123"/>
      <c r="EZ228" s="123"/>
      <c r="FA228" s="123"/>
      <c r="FB228" s="123"/>
      <c r="FC228" s="123"/>
      <c r="FD228" s="123"/>
      <c r="FE228" s="123"/>
      <c r="FF228" s="123"/>
      <c r="FG228" s="123"/>
    </row>
    <row r="229" spans="15:163">
      <c r="O229" s="123"/>
      <c r="P229" s="123"/>
      <c r="Q229" s="123"/>
      <c r="R229" s="123"/>
      <c r="S229" s="123"/>
      <c r="T229" s="123"/>
      <c r="U229" s="123"/>
      <c r="V229" s="123"/>
      <c r="W229" s="123"/>
      <c r="X229" s="123"/>
      <c r="Y229" s="123"/>
      <c r="Z229" s="123"/>
      <c r="AA229" s="123"/>
      <c r="AB229" s="123"/>
      <c r="AC229" s="123"/>
      <c r="AD229" s="123"/>
      <c r="AE229" s="123"/>
      <c r="AF229" s="123"/>
      <c r="AG229" s="123"/>
      <c r="AH229" s="123"/>
      <c r="AI229" s="123"/>
      <c r="AJ229" s="123"/>
      <c r="AK229" s="123"/>
      <c r="AL229" s="123"/>
      <c r="AM229" s="123"/>
      <c r="AN229" s="123"/>
      <c r="AO229" s="123"/>
      <c r="AP229" s="123"/>
      <c r="AQ229" s="123"/>
      <c r="AR229" s="123"/>
      <c r="AS229" s="123"/>
      <c r="AT229" s="123"/>
      <c r="AU229" s="123"/>
      <c r="AV229" s="123"/>
      <c r="AW229" s="123"/>
      <c r="AX229" s="123"/>
      <c r="AY229" s="123"/>
      <c r="AZ229" s="123"/>
      <c r="BA229" s="123"/>
      <c r="BB229" s="123"/>
      <c r="BC229" s="123"/>
      <c r="BD229" s="123"/>
      <c r="BE229" s="123"/>
      <c r="BF229" s="123"/>
      <c r="BG229" s="123"/>
      <c r="BH229" s="123"/>
      <c r="BI229" s="123"/>
      <c r="BJ229" s="123"/>
      <c r="BK229" s="123"/>
      <c r="BL229" s="123"/>
      <c r="BM229" s="123"/>
      <c r="BN229" s="123"/>
      <c r="BO229" s="123"/>
      <c r="BP229" s="123"/>
      <c r="BQ229" s="123"/>
      <c r="BR229" s="123"/>
      <c r="BS229" s="123"/>
      <c r="BT229" s="123"/>
      <c r="BU229" s="123"/>
      <c r="BV229" s="123"/>
      <c r="BW229" s="123"/>
      <c r="BX229" s="123"/>
      <c r="BY229" s="123"/>
      <c r="BZ229" s="123"/>
      <c r="CA229" s="123"/>
      <c r="CB229" s="123"/>
      <c r="CC229" s="123"/>
      <c r="CD229" s="123"/>
      <c r="CE229" s="123"/>
      <c r="CF229" s="123"/>
      <c r="CG229" s="123"/>
      <c r="CH229" s="123"/>
      <c r="CI229" s="123"/>
      <c r="CJ229" s="123"/>
      <c r="CK229" s="123"/>
      <c r="CL229" s="123"/>
      <c r="CM229" s="123"/>
      <c r="CN229" s="123"/>
      <c r="CO229" s="123"/>
      <c r="CP229" s="123"/>
      <c r="CQ229" s="123"/>
      <c r="CR229" s="123"/>
      <c r="CS229" s="123"/>
      <c r="CT229" s="123"/>
      <c r="CU229" s="123"/>
      <c r="CV229" s="123"/>
      <c r="CW229" s="123"/>
      <c r="CX229" s="123"/>
      <c r="CY229" s="123"/>
      <c r="CZ229" s="123"/>
      <c r="DA229" s="123"/>
      <c r="DB229" s="123"/>
      <c r="DC229" s="123"/>
      <c r="DD229" s="123"/>
      <c r="DE229" s="123"/>
      <c r="DF229" s="123"/>
      <c r="DG229" s="123"/>
      <c r="DH229" s="123"/>
      <c r="DI229" s="123"/>
      <c r="DJ229" s="123"/>
      <c r="DK229" s="123"/>
      <c r="DL229" s="123"/>
      <c r="DM229" s="123"/>
      <c r="DN229" s="123"/>
      <c r="DO229" s="123"/>
      <c r="DP229" s="123"/>
      <c r="DQ229" s="123"/>
      <c r="DR229" s="123"/>
      <c r="DS229" s="123"/>
      <c r="DT229" s="123"/>
      <c r="DU229" s="123"/>
      <c r="DV229" s="123"/>
      <c r="DW229" s="123"/>
      <c r="DX229" s="123"/>
      <c r="DY229" s="123"/>
      <c r="DZ229" s="123"/>
      <c r="EA229" s="123"/>
      <c r="EB229" s="123"/>
      <c r="EC229" s="123"/>
      <c r="ED229" s="123"/>
      <c r="EE229" s="123"/>
      <c r="EF229" s="123"/>
      <c r="EG229" s="123"/>
      <c r="EH229" s="123"/>
      <c r="EI229" s="123"/>
      <c r="EJ229" s="123"/>
      <c r="EK229" s="123"/>
      <c r="EL229" s="123"/>
      <c r="EM229" s="123"/>
      <c r="EN229" s="123"/>
      <c r="EO229" s="123"/>
      <c r="EP229" s="123"/>
      <c r="EQ229" s="123"/>
      <c r="ER229" s="123"/>
      <c r="ES229" s="123"/>
      <c r="ET229" s="123"/>
      <c r="EU229" s="123"/>
      <c r="EV229" s="123"/>
      <c r="EW229" s="123"/>
      <c r="EX229" s="123"/>
      <c r="EY229" s="123"/>
      <c r="EZ229" s="123"/>
      <c r="FA229" s="123"/>
      <c r="FB229" s="123"/>
      <c r="FC229" s="123"/>
      <c r="FD229" s="123"/>
      <c r="FE229" s="123"/>
      <c r="FF229" s="123"/>
      <c r="FG229" s="123"/>
    </row>
    <row r="230" spans="15:163">
      <c r="O230" s="123"/>
      <c r="P230" s="123"/>
      <c r="Q230" s="123"/>
      <c r="R230" s="123"/>
      <c r="S230" s="123"/>
      <c r="T230" s="123"/>
      <c r="U230" s="123"/>
      <c r="V230" s="123"/>
      <c r="W230" s="123"/>
      <c r="X230" s="123"/>
      <c r="Y230" s="123"/>
      <c r="Z230" s="123"/>
      <c r="AA230" s="123"/>
      <c r="AB230" s="123"/>
      <c r="AC230" s="123"/>
      <c r="AD230" s="123"/>
      <c r="AE230" s="123"/>
      <c r="AF230" s="123"/>
      <c r="AG230" s="123"/>
      <c r="AH230" s="123"/>
      <c r="AI230" s="123"/>
      <c r="AJ230" s="123"/>
      <c r="AK230" s="123"/>
      <c r="AL230" s="123"/>
      <c r="AM230" s="123"/>
      <c r="AN230" s="123"/>
      <c r="AO230" s="123"/>
      <c r="AP230" s="123"/>
      <c r="AQ230" s="123"/>
      <c r="AR230" s="123"/>
      <c r="AS230" s="123"/>
      <c r="AT230" s="123"/>
      <c r="AU230" s="123"/>
      <c r="AV230" s="123"/>
      <c r="AW230" s="123"/>
      <c r="AX230" s="123"/>
      <c r="AY230" s="123"/>
      <c r="AZ230" s="123"/>
      <c r="BA230" s="123"/>
      <c r="BB230" s="123"/>
      <c r="BC230" s="123"/>
      <c r="BD230" s="123"/>
      <c r="BE230" s="123"/>
      <c r="BF230" s="123"/>
      <c r="BG230" s="123"/>
      <c r="BH230" s="123"/>
      <c r="BI230" s="123"/>
      <c r="BJ230" s="123"/>
      <c r="BK230" s="123"/>
      <c r="BL230" s="123"/>
      <c r="BM230" s="123"/>
      <c r="BN230" s="123"/>
      <c r="BO230" s="123"/>
      <c r="BP230" s="123"/>
      <c r="BQ230" s="123"/>
      <c r="BR230" s="123"/>
      <c r="BS230" s="123"/>
      <c r="BT230" s="123"/>
      <c r="BU230" s="123"/>
      <c r="BV230" s="123"/>
      <c r="BW230" s="123"/>
      <c r="BX230" s="123"/>
      <c r="BY230" s="123"/>
      <c r="BZ230" s="123"/>
      <c r="CA230" s="123"/>
      <c r="CB230" s="123"/>
      <c r="CC230" s="123"/>
      <c r="CD230" s="123"/>
      <c r="CE230" s="123"/>
      <c r="CF230" s="123"/>
      <c r="CG230" s="123"/>
      <c r="CH230" s="123"/>
      <c r="CI230" s="123"/>
      <c r="CJ230" s="123"/>
      <c r="CK230" s="123"/>
      <c r="CL230" s="123"/>
      <c r="CM230" s="123"/>
      <c r="CN230" s="123"/>
      <c r="CO230" s="123"/>
      <c r="CP230" s="123"/>
      <c r="CQ230" s="123"/>
      <c r="CR230" s="123"/>
      <c r="CS230" s="123"/>
      <c r="CT230" s="123"/>
      <c r="CU230" s="123"/>
      <c r="CV230" s="123"/>
      <c r="CW230" s="123"/>
      <c r="CX230" s="123"/>
      <c r="CY230" s="123"/>
      <c r="CZ230" s="123"/>
      <c r="DA230" s="123"/>
      <c r="DB230" s="123"/>
      <c r="DC230" s="123"/>
      <c r="DD230" s="123"/>
      <c r="DE230" s="123"/>
      <c r="DF230" s="123"/>
      <c r="DG230" s="123"/>
      <c r="DH230" s="123"/>
      <c r="DI230" s="123"/>
      <c r="DJ230" s="123"/>
      <c r="DK230" s="123"/>
      <c r="DL230" s="123"/>
      <c r="DM230" s="123"/>
      <c r="DN230" s="123"/>
      <c r="DO230" s="123"/>
      <c r="DP230" s="123"/>
      <c r="DQ230" s="123"/>
      <c r="DR230" s="123"/>
      <c r="DS230" s="123"/>
      <c r="DT230" s="123"/>
      <c r="DU230" s="123"/>
      <c r="DV230" s="123"/>
      <c r="DW230" s="123"/>
      <c r="DX230" s="123"/>
      <c r="DY230" s="123"/>
      <c r="DZ230" s="123"/>
      <c r="EA230" s="123"/>
      <c r="EB230" s="123"/>
      <c r="EC230" s="123"/>
      <c r="ED230" s="123"/>
      <c r="EE230" s="123"/>
      <c r="EF230" s="123"/>
      <c r="EG230" s="123"/>
      <c r="EH230" s="123"/>
      <c r="EI230" s="123"/>
      <c r="EJ230" s="123"/>
      <c r="EK230" s="123"/>
      <c r="EL230" s="123"/>
      <c r="EM230" s="123"/>
      <c r="EN230" s="123"/>
      <c r="EO230" s="123"/>
      <c r="EP230" s="123"/>
      <c r="EQ230" s="123"/>
      <c r="ER230" s="123"/>
      <c r="ES230" s="123"/>
      <c r="ET230" s="123"/>
      <c r="EU230" s="123"/>
      <c r="EV230" s="123"/>
      <c r="EW230" s="123"/>
      <c r="EX230" s="123"/>
      <c r="EY230" s="123"/>
      <c r="EZ230" s="123"/>
      <c r="FA230" s="123"/>
      <c r="FB230" s="123"/>
      <c r="FC230" s="123"/>
      <c r="FD230" s="123"/>
      <c r="FE230" s="123"/>
      <c r="FF230" s="123"/>
      <c r="FG230" s="123"/>
    </row>
    <row r="231" spans="15:163">
      <c r="O231" s="123"/>
      <c r="P231" s="123"/>
      <c r="Q231" s="123"/>
      <c r="R231" s="123"/>
      <c r="S231" s="123"/>
      <c r="T231" s="123"/>
      <c r="U231" s="123"/>
      <c r="V231" s="123"/>
      <c r="W231" s="123"/>
      <c r="X231" s="123"/>
      <c r="Y231" s="123"/>
      <c r="Z231" s="123"/>
      <c r="AA231" s="123"/>
      <c r="AB231" s="123"/>
      <c r="AC231" s="123"/>
      <c r="AD231" s="123"/>
      <c r="AE231" s="123"/>
      <c r="AF231" s="123"/>
      <c r="AG231" s="123"/>
      <c r="AH231" s="123"/>
      <c r="AI231" s="123"/>
      <c r="AJ231" s="123"/>
      <c r="AK231" s="123"/>
      <c r="AL231" s="123"/>
      <c r="AM231" s="123"/>
      <c r="AN231" s="123"/>
      <c r="AO231" s="123"/>
      <c r="AP231" s="123"/>
      <c r="AQ231" s="123"/>
      <c r="AR231" s="123"/>
      <c r="AS231" s="123"/>
      <c r="AT231" s="123"/>
      <c r="AU231" s="123"/>
      <c r="AV231" s="123"/>
      <c r="AW231" s="123"/>
      <c r="AX231" s="123"/>
      <c r="AY231" s="123"/>
      <c r="AZ231" s="123"/>
      <c r="BA231" s="123"/>
      <c r="BB231" s="123"/>
      <c r="BC231" s="123"/>
      <c r="BD231" s="123"/>
      <c r="BE231" s="123"/>
      <c r="BF231" s="123"/>
      <c r="BG231" s="123"/>
      <c r="BH231" s="123"/>
      <c r="BI231" s="123"/>
      <c r="BJ231" s="123"/>
      <c r="BK231" s="123"/>
      <c r="BL231" s="123"/>
      <c r="BM231" s="123"/>
      <c r="BN231" s="123"/>
      <c r="BO231" s="123"/>
      <c r="BP231" s="123"/>
      <c r="BQ231" s="123"/>
      <c r="BR231" s="123"/>
      <c r="BS231" s="123"/>
      <c r="BT231" s="123"/>
      <c r="BU231" s="123"/>
      <c r="BV231" s="123"/>
      <c r="BW231" s="123"/>
      <c r="BX231" s="123"/>
      <c r="BY231" s="123"/>
      <c r="BZ231" s="123"/>
      <c r="CA231" s="123"/>
      <c r="CB231" s="123"/>
      <c r="CC231" s="123"/>
      <c r="CD231" s="123"/>
      <c r="CE231" s="123"/>
      <c r="CF231" s="123"/>
      <c r="CG231" s="123"/>
      <c r="CH231" s="123"/>
      <c r="CI231" s="123"/>
      <c r="CJ231" s="123"/>
      <c r="CK231" s="123"/>
      <c r="CL231" s="123"/>
      <c r="CM231" s="123"/>
      <c r="CN231" s="123"/>
      <c r="CO231" s="123"/>
      <c r="CP231" s="123"/>
      <c r="CQ231" s="123"/>
      <c r="CR231" s="123"/>
      <c r="CS231" s="123"/>
      <c r="CT231" s="123"/>
      <c r="CU231" s="123"/>
      <c r="CV231" s="123"/>
      <c r="CW231" s="123"/>
      <c r="CX231" s="123"/>
      <c r="CY231" s="123"/>
      <c r="CZ231" s="123"/>
      <c r="DA231" s="123"/>
      <c r="DB231" s="123"/>
      <c r="DC231" s="123"/>
      <c r="DD231" s="123"/>
      <c r="DE231" s="123"/>
      <c r="DF231" s="123"/>
      <c r="DG231" s="123"/>
      <c r="DH231" s="123"/>
      <c r="DI231" s="123"/>
      <c r="DJ231" s="123"/>
      <c r="DK231" s="123"/>
      <c r="DL231" s="123"/>
      <c r="DM231" s="123"/>
      <c r="DN231" s="123"/>
      <c r="DO231" s="123"/>
      <c r="DP231" s="123"/>
      <c r="DQ231" s="123"/>
      <c r="DR231" s="123"/>
      <c r="DS231" s="123"/>
      <c r="DT231" s="123"/>
      <c r="DU231" s="123"/>
      <c r="DV231" s="123"/>
      <c r="DW231" s="123"/>
      <c r="DX231" s="123"/>
      <c r="DY231" s="123"/>
      <c r="DZ231" s="123"/>
      <c r="EA231" s="123"/>
      <c r="EB231" s="123"/>
      <c r="EC231" s="123"/>
      <c r="ED231" s="123"/>
      <c r="EE231" s="123"/>
      <c r="EF231" s="123"/>
      <c r="EG231" s="123"/>
      <c r="EH231" s="123"/>
      <c r="EI231" s="123"/>
      <c r="EJ231" s="123"/>
      <c r="EK231" s="123"/>
      <c r="EL231" s="123"/>
      <c r="EM231" s="123"/>
      <c r="EN231" s="123"/>
      <c r="EO231" s="123"/>
      <c r="EP231" s="123"/>
      <c r="EQ231" s="123"/>
      <c r="ER231" s="123"/>
      <c r="ES231" s="123"/>
      <c r="ET231" s="123"/>
      <c r="EU231" s="123"/>
      <c r="EV231" s="123"/>
      <c r="EW231" s="123"/>
      <c r="EX231" s="123"/>
      <c r="EY231" s="123"/>
      <c r="EZ231" s="123"/>
      <c r="FA231" s="123"/>
      <c r="FB231" s="123"/>
      <c r="FC231" s="123"/>
      <c r="FD231" s="123"/>
      <c r="FE231" s="123"/>
      <c r="FF231" s="123"/>
      <c r="FG231" s="123"/>
    </row>
    <row r="232" spans="15:163">
      <c r="O232" s="123"/>
      <c r="P232" s="123"/>
      <c r="Q232" s="123"/>
      <c r="R232" s="123"/>
      <c r="S232" s="123"/>
      <c r="T232" s="123"/>
      <c r="U232" s="123"/>
      <c r="V232" s="123"/>
      <c r="W232" s="123"/>
      <c r="X232" s="123"/>
      <c r="Y232" s="123"/>
      <c r="Z232" s="123"/>
      <c r="AA232" s="123"/>
      <c r="AB232" s="123"/>
      <c r="AC232" s="123"/>
      <c r="AD232" s="123"/>
      <c r="AE232" s="123"/>
      <c r="AF232" s="123"/>
      <c r="AG232" s="123"/>
      <c r="AH232" s="123"/>
      <c r="AI232" s="123"/>
      <c r="AJ232" s="123"/>
      <c r="AK232" s="123"/>
      <c r="AL232" s="123"/>
      <c r="AM232" s="123"/>
      <c r="AN232" s="123"/>
      <c r="AO232" s="123"/>
      <c r="AP232" s="123"/>
      <c r="AQ232" s="123"/>
      <c r="AR232" s="123"/>
      <c r="AS232" s="123"/>
      <c r="AT232" s="123"/>
      <c r="AU232" s="123"/>
      <c r="AV232" s="123"/>
      <c r="AW232" s="123"/>
      <c r="AX232" s="123"/>
      <c r="AY232" s="123"/>
      <c r="AZ232" s="123"/>
      <c r="BA232" s="123"/>
      <c r="BB232" s="123"/>
      <c r="BC232" s="123"/>
      <c r="BD232" s="123"/>
      <c r="BE232" s="123"/>
      <c r="BF232" s="123"/>
      <c r="BG232" s="123"/>
      <c r="BH232" s="123"/>
      <c r="BI232" s="123"/>
      <c r="BJ232" s="123"/>
      <c r="BK232" s="123"/>
      <c r="BL232" s="123"/>
      <c r="BM232" s="123"/>
      <c r="BN232" s="123"/>
      <c r="BO232" s="123"/>
      <c r="BP232" s="123"/>
      <c r="BQ232" s="123"/>
      <c r="BR232" s="123"/>
      <c r="BS232" s="123"/>
      <c r="BT232" s="123"/>
      <c r="BU232" s="123"/>
      <c r="BV232" s="123"/>
      <c r="BW232" s="123"/>
      <c r="BX232" s="123"/>
      <c r="BY232" s="123"/>
      <c r="BZ232" s="123"/>
      <c r="CA232" s="123"/>
      <c r="CB232" s="123"/>
      <c r="CC232" s="123"/>
      <c r="CD232" s="123"/>
      <c r="CE232" s="123"/>
      <c r="CF232" s="123"/>
      <c r="CG232" s="123"/>
      <c r="CH232" s="123"/>
      <c r="CI232" s="123"/>
      <c r="CJ232" s="123"/>
      <c r="CK232" s="123"/>
      <c r="CL232" s="123"/>
      <c r="CM232" s="123"/>
      <c r="CN232" s="123"/>
      <c r="CO232" s="123"/>
      <c r="CP232" s="123"/>
      <c r="CQ232" s="123"/>
      <c r="CR232" s="123"/>
      <c r="CS232" s="123"/>
      <c r="CT232" s="123"/>
      <c r="CU232" s="123"/>
      <c r="CV232" s="123"/>
      <c r="CW232" s="123"/>
      <c r="CX232" s="123"/>
      <c r="CY232" s="123"/>
      <c r="CZ232" s="123"/>
      <c r="DA232" s="123"/>
      <c r="DB232" s="123"/>
      <c r="DC232" s="123"/>
      <c r="DD232" s="123"/>
      <c r="DE232" s="123"/>
      <c r="DF232" s="123"/>
      <c r="DG232" s="123"/>
      <c r="DH232" s="123"/>
      <c r="DI232" s="123"/>
      <c r="DJ232" s="123"/>
      <c r="DK232" s="123"/>
      <c r="DL232" s="123"/>
      <c r="DM232" s="123"/>
      <c r="DN232" s="123"/>
      <c r="DO232" s="123"/>
      <c r="DP232" s="123"/>
      <c r="DQ232" s="123"/>
      <c r="DR232" s="123"/>
      <c r="DS232" s="123"/>
      <c r="DT232" s="123"/>
      <c r="DU232" s="123"/>
      <c r="DV232" s="123"/>
      <c r="DW232" s="123"/>
      <c r="DX232" s="123"/>
      <c r="DY232" s="123"/>
      <c r="DZ232" s="123"/>
      <c r="EA232" s="123"/>
      <c r="EB232" s="123"/>
      <c r="EC232" s="123"/>
      <c r="ED232" s="123"/>
      <c r="EE232" s="123"/>
      <c r="EF232" s="123"/>
      <c r="EG232" s="123"/>
      <c r="EH232" s="123"/>
      <c r="EI232" s="123"/>
      <c r="EJ232" s="123"/>
      <c r="EK232" s="123"/>
      <c r="EL232" s="123"/>
      <c r="EM232" s="123"/>
      <c r="EN232" s="123"/>
      <c r="EO232" s="123"/>
      <c r="EP232" s="123"/>
      <c r="EQ232" s="123"/>
      <c r="ER232" s="123"/>
      <c r="ES232" s="123"/>
      <c r="ET232" s="123"/>
      <c r="EU232" s="123"/>
      <c r="EV232" s="123"/>
      <c r="EW232" s="123"/>
      <c r="EX232" s="123"/>
      <c r="EY232" s="123"/>
      <c r="EZ232" s="123"/>
      <c r="FA232" s="123"/>
      <c r="FB232" s="123"/>
      <c r="FC232" s="123"/>
      <c r="FD232" s="123"/>
      <c r="FE232" s="123"/>
      <c r="FF232" s="123"/>
      <c r="FG232" s="123"/>
    </row>
  </sheetData>
  <mergeCells count="2">
    <mergeCell ref="E3:F3"/>
    <mergeCell ref="I3:J3"/>
  </mergeCells>
  <conditionalFormatting sqref="B48:D54">
    <cfRule type="expression" dxfId="38" priority="8">
      <formula>$A$2=1</formula>
    </cfRule>
  </conditionalFormatting>
  <conditionalFormatting sqref="C6 M49:M65 M68 M71 M73:M77">
    <cfRule type="expression" dxfId="37" priority="6">
      <formula>$B$2=1</formula>
    </cfRule>
  </conditionalFormatting>
  <conditionalFormatting sqref="C44:C47 C8:C9 B9:B47 C11:C14 C16:C42">
    <cfRule type="expression" dxfId="36" priority="19">
      <formula>$B$2=1</formula>
    </cfRule>
  </conditionalFormatting>
  <conditionalFormatting sqref="C47">
    <cfRule type="cellIs" dxfId="35" priority="18" operator="lessThan">
      <formula>$J$74</formula>
    </cfRule>
  </conditionalFormatting>
  <conditionalFormatting sqref="C15:F15">
    <cfRule type="expression" dxfId="34" priority="16">
      <formula>$B$2=1</formula>
    </cfRule>
  </conditionalFormatting>
  <conditionalFormatting sqref="C43:F43">
    <cfRule type="expression" dxfId="33" priority="14">
      <formula>$B$2=1</formula>
    </cfRule>
  </conditionalFormatting>
  <conditionalFormatting sqref="D11:D12">
    <cfRule type="expression" dxfId="32" priority="12">
      <formula>$B$2=1</formula>
    </cfRule>
  </conditionalFormatting>
  <conditionalFormatting sqref="D16">
    <cfRule type="expression" dxfId="31" priority="11">
      <formula>$B$2=1</formula>
    </cfRule>
  </conditionalFormatting>
  <conditionalFormatting sqref="E49:F56 D57:F61">
    <cfRule type="expression" dxfId="30" priority="22">
      <formula>$B$2=1</formula>
    </cfRule>
  </conditionalFormatting>
  <conditionalFormatting sqref="H11:H12">
    <cfRule type="expression" dxfId="29" priority="13">
      <formula>$B$2=1</formula>
    </cfRule>
  </conditionalFormatting>
  <conditionalFormatting sqref="H16">
    <cfRule type="expression" dxfId="28" priority="10">
      <formula>$B$2=1</formula>
    </cfRule>
  </conditionalFormatting>
  <conditionalFormatting sqref="H48:H54">
    <cfRule type="expression" dxfId="27" priority="5">
      <formula>$A$2=1</formula>
    </cfRule>
  </conditionalFormatting>
  <conditionalFormatting sqref="H15:J15">
    <cfRule type="expression" dxfId="26" priority="15">
      <formula>$B$2=1</formula>
    </cfRule>
  </conditionalFormatting>
  <conditionalFormatting sqref="H43:J43">
    <cfRule type="expression" dxfId="25" priority="17">
      <formula>$B$2=1</formula>
    </cfRule>
  </conditionalFormatting>
  <conditionalFormatting sqref="L20 L23:L24">
    <cfRule type="cellIs" dxfId="24" priority="20" operator="lessThan">
      <formula>0</formula>
    </cfRule>
  </conditionalFormatting>
  <conditionalFormatting sqref="M21:M27 M29 M31:M39 M44">
    <cfRule type="expression" dxfId="23" priority="4">
      <formula>$B$2=1</formula>
    </cfRule>
  </conditionalFormatting>
  <conditionalFormatting sqref="M41">
    <cfRule type="expression" dxfId="22" priority="2">
      <formula>$B$2=1</formula>
    </cfRule>
  </conditionalFormatting>
  <conditionalFormatting sqref="M80">
    <cfRule type="expression" dxfId="21" priority="3">
      <formula>$A$2=1</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9F48-F7F0-4572-93E4-C2376DB341EA}">
  <dimension ref="A1:AB232"/>
  <sheetViews>
    <sheetView topLeftCell="G1" zoomScale="90" zoomScaleNormal="90" workbookViewId="0">
      <selection activeCell="C13" sqref="C13"/>
    </sheetView>
  </sheetViews>
  <sheetFormatPr defaultColWidth="9.140625" defaultRowHeight="12.75"/>
  <cols>
    <col min="1" max="1" width="5.42578125" style="108" customWidth="1"/>
    <col min="2" max="2" width="37.140625" style="108" customWidth="1"/>
    <col min="3" max="3" width="17.42578125" style="108" customWidth="1"/>
    <col min="4" max="4" width="21.140625" style="108" customWidth="1"/>
    <col min="5" max="5" width="15.7109375" style="108" customWidth="1"/>
    <col min="6" max="6" width="13.140625" style="108" customWidth="1"/>
    <col min="7" max="7" width="16.42578125" style="108" customWidth="1"/>
    <col min="8" max="8" width="16" style="108" customWidth="1"/>
    <col min="9" max="9" width="16.42578125" style="108" customWidth="1"/>
    <col min="10" max="10" width="17.7109375" style="108" customWidth="1"/>
    <col min="11" max="11" width="27.85546875" style="108" customWidth="1"/>
    <col min="12" max="12" width="6.42578125" style="108" customWidth="1"/>
    <col min="13" max="13" width="30.7109375" style="108" bestFit="1" customWidth="1"/>
    <col min="14" max="14" width="14.140625" style="108" bestFit="1" customWidth="1"/>
    <col min="15" max="15" width="14.42578125" style="108" customWidth="1"/>
    <col min="16" max="16" width="21.85546875" style="108" customWidth="1"/>
    <col min="17" max="17" width="16.140625" style="108" customWidth="1"/>
    <col min="18" max="23" width="12.140625" style="108" bestFit="1" customWidth="1"/>
    <col min="24" max="26" width="13.28515625" style="108" bestFit="1" customWidth="1"/>
    <col min="27" max="27" width="6.28515625" style="108" customWidth="1"/>
    <col min="29" max="16384" width="9.140625" style="108"/>
  </cols>
  <sheetData>
    <row r="1" spans="1:27">
      <c r="A1"/>
      <c r="B1"/>
      <c r="C1"/>
      <c r="D1"/>
      <c r="E1"/>
      <c r="F1"/>
      <c r="G1"/>
      <c r="H1"/>
      <c r="I1"/>
    </row>
    <row r="2" spans="1:27">
      <c r="A2"/>
      <c r="B2" s="193" t="s">
        <v>580</v>
      </c>
      <c r="C2"/>
      <c r="D2"/>
      <c r="E2"/>
      <c r="F2"/>
      <c r="G2"/>
      <c r="H2"/>
      <c r="I2"/>
    </row>
    <row r="3" spans="1:27">
      <c r="A3"/>
      <c r="B3" s="333" t="s">
        <v>362</v>
      </c>
      <c r="C3" s="334" t="s">
        <v>653</v>
      </c>
      <c r="D3" s="334" t="s">
        <v>682</v>
      </c>
      <c r="E3" s="820">
        <f>P3</f>
        <v>1</v>
      </c>
      <c r="F3" s="820">
        <f>Q3</f>
        <v>2</v>
      </c>
      <c r="G3" s="820">
        <f>R3</f>
        <v>3</v>
      </c>
      <c r="H3" s="820">
        <f>S3</f>
        <v>4</v>
      </c>
      <c r="I3" s="820">
        <f>T3</f>
        <v>5</v>
      </c>
      <c r="M3" s="421" t="s">
        <v>363</v>
      </c>
      <c r="N3" s="816" t="s">
        <v>650</v>
      </c>
      <c r="O3" s="179"/>
      <c r="P3" s="179">
        <v>1</v>
      </c>
      <c r="Q3" s="179">
        <v>2</v>
      </c>
      <c r="R3" s="179">
        <v>3</v>
      </c>
      <c r="S3" s="179">
        <v>4</v>
      </c>
      <c r="T3" s="179">
        <v>5</v>
      </c>
      <c r="U3" s="179">
        <v>6</v>
      </c>
      <c r="V3" s="179">
        <v>7</v>
      </c>
      <c r="W3" s="179">
        <v>8</v>
      </c>
      <c r="X3" s="179">
        <v>9</v>
      </c>
      <c r="Y3" s="179">
        <v>10</v>
      </c>
      <c r="Z3" s="180">
        <v>11</v>
      </c>
      <c r="AA3" s="177"/>
    </row>
    <row r="4" spans="1:27">
      <c r="A4"/>
      <c r="B4" s="337" t="s">
        <v>360</v>
      </c>
      <c r="C4" s="338">
        <f>N6</f>
        <v>45809</v>
      </c>
      <c r="D4" s="338">
        <f>'Stab. Appraisal CF'!B4</f>
        <v>47149</v>
      </c>
      <c r="E4" s="338">
        <f>P6</f>
        <v>46173</v>
      </c>
      <c r="F4" s="338">
        <f t="shared" ref="F4:I4" si="0">Q6</f>
        <v>46538</v>
      </c>
      <c r="G4" s="338">
        <f t="shared" si="0"/>
        <v>46904</v>
      </c>
      <c r="H4" s="338">
        <f t="shared" si="0"/>
        <v>47269</v>
      </c>
      <c r="I4" s="338">
        <f t="shared" si="0"/>
        <v>47634</v>
      </c>
      <c r="M4" s="422" t="s">
        <v>364</v>
      </c>
      <c r="N4" s="181">
        <f>N6</f>
        <v>45809</v>
      </c>
      <c r="O4" s="181"/>
      <c r="P4" s="181">
        <f>P6</f>
        <v>46173</v>
      </c>
      <c r="Q4" s="181">
        <f t="shared" ref="Q4:Z4" si="1">Q6</f>
        <v>46538</v>
      </c>
      <c r="R4" s="181">
        <f t="shared" si="1"/>
        <v>46904</v>
      </c>
      <c r="S4" s="181">
        <f t="shared" si="1"/>
        <v>47269</v>
      </c>
      <c r="T4" s="181">
        <f t="shared" si="1"/>
        <v>47634</v>
      </c>
      <c r="U4" s="181">
        <f t="shared" si="1"/>
        <v>47999</v>
      </c>
      <c r="V4" s="181">
        <f t="shared" si="1"/>
        <v>48365</v>
      </c>
      <c r="W4" s="181">
        <f t="shared" si="1"/>
        <v>48730</v>
      </c>
      <c r="X4" s="181">
        <f t="shared" si="1"/>
        <v>49095</v>
      </c>
      <c r="Y4" s="181">
        <f t="shared" si="1"/>
        <v>49460</v>
      </c>
      <c r="Z4" s="181">
        <f t="shared" si="1"/>
        <v>49826</v>
      </c>
      <c r="AA4" s="178"/>
    </row>
    <row r="5" spans="1:27">
      <c r="A5"/>
      <c r="B5" s="341"/>
      <c r="C5" s="341"/>
      <c r="D5" s="341"/>
      <c r="E5" s="341"/>
      <c r="F5" s="341"/>
      <c r="G5" s="341"/>
      <c r="H5" s="341"/>
      <c r="I5" s="341"/>
      <c r="M5" s="644" t="s">
        <v>581</v>
      </c>
      <c r="N5" s="645">
        <v>0</v>
      </c>
      <c r="O5" s="646" t="s">
        <v>583</v>
      </c>
      <c r="P5" s="647">
        <v>1</v>
      </c>
      <c r="Q5" s="647">
        <v>2</v>
      </c>
      <c r="R5" s="647">
        <v>3</v>
      </c>
      <c r="S5" s="647">
        <v>4</v>
      </c>
      <c r="T5" s="647">
        <v>5</v>
      </c>
      <c r="U5" s="647">
        <v>6</v>
      </c>
      <c r="V5" s="647">
        <v>7</v>
      </c>
      <c r="W5" s="647">
        <v>8</v>
      </c>
      <c r="X5" s="647">
        <v>9</v>
      </c>
      <c r="Y5" s="647">
        <v>10</v>
      </c>
      <c r="Z5" s="647">
        <v>11</v>
      </c>
      <c r="AA5" s="648"/>
    </row>
    <row r="6" spans="1:27" ht="13.5" thickBot="1">
      <c r="A6"/>
      <c r="B6" s="72" t="s">
        <v>317</v>
      </c>
      <c r="C6" s="824">
        <v>47211100</v>
      </c>
      <c r="D6" s="363">
        <f>G6</f>
        <v>53475599.999999963</v>
      </c>
      <c r="E6" s="824">
        <v>49923199.783549763</v>
      </c>
      <c r="F6" s="824">
        <v>52018865.584415533</v>
      </c>
      <c r="G6" s="824">
        <v>53475599.999999963</v>
      </c>
      <c r="H6" s="824">
        <v>53475599.999999963</v>
      </c>
      <c r="I6" s="824">
        <v>53475599.999999963</v>
      </c>
      <c r="M6" s="651" t="s">
        <v>585</v>
      </c>
      <c r="N6" s="652">
        <v>45809</v>
      </c>
      <c r="O6" s="653"/>
      <c r="P6" s="654">
        <v>46173</v>
      </c>
      <c r="Q6" s="654">
        <v>46538</v>
      </c>
      <c r="R6" s="654">
        <v>46904</v>
      </c>
      <c r="S6" s="654">
        <v>47269</v>
      </c>
      <c r="T6" s="654">
        <v>47634</v>
      </c>
      <c r="U6" s="654">
        <v>47999</v>
      </c>
      <c r="V6" s="654">
        <v>48365</v>
      </c>
      <c r="W6" s="654">
        <v>48730</v>
      </c>
      <c r="X6" s="654">
        <v>49095</v>
      </c>
      <c r="Y6" s="654">
        <v>49460</v>
      </c>
      <c r="Z6" s="654">
        <v>49826</v>
      </c>
      <c r="AA6" s="648"/>
    </row>
    <row r="7" spans="1:27">
      <c r="A7"/>
      <c r="B7" s="341"/>
      <c r="C7" s="341"/>
      <c r="D7" s="341"/>
      <c r="E7" s="341"/>
      <c r="F7" s="341"/>
      <c r="G7" s="341"/>
      <c r="H7" s="341"/>
      <c r="I7" s="341"/>
      <c r="M7" s="656" t="s">
        <v>587</v>
      </c>
      <c r="N7" s="657">
        <v>1883.2613793103451</v>
      </c>
      <c r="O7" s="658"/>
      <c r="P7" s="619">
        <v>1946.5922518090531</v>
      </c>
      <c r="Q7" s="659">
        <v>2070.3822646762205</v>
      </c>
      <c r="R7" s="659">
        <v>2207.8189521490417</v>
      </c>
      <c r="S7" s="659">
        <v>2295.2978763808637</v>
      </c>
      <c r="T7" s="659">
        <v>2351.3611998944307</v>
      </c>
      <c r="U7" s="659">
        <v>2415.1875169109912</v>
      </c>
      <c r="V7" s="659">
        <v>2487.6431424183234</v>
      </c>
      <c r="W7" s="659">
        <v>2562.2724366908756</v>
      </c>
      <c r="X7" s="659">
        <v>2639.1406097916042</v>
      </c>
      <c r="Y7" s="659">
        <v>2718.3148280853552</v>
      </c>
      <c r="Z7" s="659">
        <v>2799.8642729279195</v>
      </c>
      <c r="AA7" s="648"/>
    </row>
    <row r="8" spans="1:27" ht="13.5" thickBot="1">
      <c r="A8"/>
      <c r="B8" s="72" t="s">
        <v>449</v>
      </c>
      <c r="C8" s="826">
        <v>0.94155844155844159</v>
      </c>
      <c r="D8" s="847">
        <f>100%+(D14/D13)</f>
        <v>0.94449577704391519</v>
      </c>
      <c r="E8" s="826">
        <v>0.90191795293894805</v>
      </c>
      <c r="F8" s="826">
        <v>0.88636363636363635</v>
      </c>
      <c r="G8" s="826">
        <v>0.89855214555635654</v>
      </c>
      <c r="H8" s="826">
        <v>0.95129870129870131</v>
      </c>
      <c r="I8" s="826">
        <v>0.95129870129870131</v>
      </c>
      <c r="M8" s="663" t="s">
        <v>588</v>
      </c>
      <c r="N8" s="664">
        <v>1.9503587874661614</v>
      </c>
      <c r="O8" s="665"/>
      <c r="P8" s="620">
        <v>2.0159460315166857</v>
      </c>
      <c r="Q8" s="666">
        <v>2.1441464725433281</v>
      </c>
      <c r="R8" s="666">
        <v>2.2864797960414278</v>
      </c>
      <c r="S8" s="666">
        <v>2.377075445943249</v>
      </c>
      <c r="T8" s="666">
        <v>2.4351362105670558</v>
      </c>
      <c r="U8" s="666">
        <v>2.5012365509831249</v>
      </c>
      <c r="V8" s="666">
        <v>2.5762736475126213</v>
      </c>
      <c r="W8" s="666">
        <v>2.6535618569380026</v>
      </c>
      <c r="X8" s="666">
        <v>2.7331687126461448</v>
      </c>
      <c r="Y8" s="666">
        <v>2.8151637740255322</v>
      </c>
      <c r="Z8" s="666">
        <v>2.8996186872463019</v>
      </c>
      <c r="AA8" s="648"/>
    </row>
    <row r="9" spans="1:27">
      <c r="A9"/>
      <c r="B9" s="34" t="s">
        <v>21</v>
      </c>
      <c r="C9" s="846"/>
      <c r="D9" s="347"/>
      <c r="E9" s="347"/>
      <c r="F9" s="347"/>
      <c r="G9" s="347"/>
      <c r="H9" s="347"/>
      <c r="I9" s="347"/>
      <c r="M9" s="669"/>
      <c r="N9" s="670"/>
      <c r="O9" s="671"/>
      <c r="P9" s="672"/>
      <c r="Q9" s="672"/>
      <c r="R9" s="672"/>
      <c r="S9" s="672"/>
      <c r="T9" s="672"/>
      <c r="U9" s="672"/>
      <c r="V9" s="672"/>
      <c r="W9" s="673"/>
      <c r="X9" s="674"/>
      <c r="Y9" s="669"/>
      <c r="Z9" s="669"/>
      <c r="AA9" s="662"/>
    </row>
    <row r="10" spans="1:27">
      <c r="A10"/>
      <c r="B10" s="37" t="s">
        <v>22</v>
      </c>
      <c r="C10" s="341"/>
      <c r="D10" s="341"/>
      <c r="E10" s="341"/>
      <c r="F10" s="341"/>
      <c r="G10" s="341"/>
      <c r="H10" s="341"/>
      <c r="I10" s="341"/>
      <c r="M10" s="644" t="s">
        <v>581</v>
      </c>
      <c r="N10" s="677" t="s">
        <v>591</v>
      </c>
      <c r="O10" s="646" t="s">
        <v>583</v>
      </c>
      <c r="P10" s="647">
        <v>1</v>
      </c>
      <c r="Q10" s="647">
        <v>2</v>
      </c>
      <c r="R10" s="647">
        <v>3</v>
      </c>
      <c r="S10" s="647">
        <v>4</v>
      </c>
      <c r="T10" s="647">
        <v>5</v>
      </c>
      <c r="U10" s="647">
        <v>6</v>
      </c>
      <c r="V10" s="647">
        <v>7</v>
      </c>
      <c r="W10" s="647">
        <v>8</v>
      </c>
      <c r="X10" s="647">
        <v>9</v>
      </c>
      <c r="Y10" s="647">
        <v>10</v>
      </c>
      <c r="Z10" s="647">
        <v>11</v>
      </c>
      <c r="AA10" s="662"/>
    </row>
    <row r="11" spans="1:27" ht="13.5" thickBot="1">
      <c r="A11"/>
      <c r="B11" s="37" t="s">
        <v>23</v>
      </c>
      <c r="C11" s="40" t="str">
        <f>N3</f>
        <v>IN PLACE</v>
      </c>
      <c r="D11" s="40" t="str">
        <f>D3</f>
        <v>Year 3 Stab. Appraisal</v>
      </c>
      <c r="E11" s="825">
        <f>P3</f>
        <v>1</v>
      </c>
      <c r="F11" s="825">
        <f t="shared" ref="F11:I11" si="2">Q3</f>
        <v>2</v>
      </c>
      <c r="G11" s="825">
        <f t="shared" si="2"/>
        <v>3</v>
      </c>
      <c r="H11" s="825">
        <f t="shared" si="2"/>
        <v>4</v>
      </c>
      <c r="I11" s="825">
        <f t="shared" si="2"/>
        <v>5</v>
      </c>
      <c r="M11" s="651" t="s">
        <v>593</v>
      </c>
      <c r="N11" s="679">
        <v>45809</v>
      </c>
      <c r="O11" s="653"/>
      <c r="P11" s="654">
        <v>46173</v>
      </c>
      <c r="Q11" s="654">
        <v>46538</v>
      </c>
      <c r="R11" s="654">
        <v>46904</v>
      </c>
      <c r="S11" s="654">
        <v>47269</v>
      </c>
      <c r="T11" s="654">
        <v>47634</v>
      </c>
      <c r="U11" s="654">
        <v>47999</v>
      </c>
      <c r="V11" s="654">
        <v>48365</v>
      </c>
      <c r="W11" s="654">
        <v>48730</v>
      </c>
      <c r="X11" s="654">
        <v>49095</v>
      </c>
      <c r="Y11" s="654">
        <v>49460</v>
      </c>
      <c r="Z11" s="654">
        <v>49826</v>
      </c>
      <c r="AA11" s="662"/>
    </row>
    <row r="12" spans="1:27">
      <c r="A12"/>
      <c r="B12" s="37" t="s">
        <v>17</v>
      </c>
      <c r="C12" s="1120">
        <f>N4</f>
        <v>45809</v>
      </c>
      <c r="D12" s="362">
        <f>'Stab. Appraisal CF'!B12</f>
        <v>47149</v>
      </c>
      <c r="E12" s="362">
        <f>P4</f>
        <v>46173</v>
      </c>
      <c r="F12" s="362">
        <f t="shared" ref="F12:I12" si="3">Q4</f>
        <v>46538</v>
      </c>
      <c r="G12" s="362">
        <f t="shared" si="3"/>
        <v>46904</v>
      </c>
      <c r="H12" s="362">
        <f t="shared" si="3"/>
        <v>47269</v>
      </c>
      <c r="I12" s="362">
        <f t="shared" si="3"/>
        <v>47634</v>
      </c>
      <c r="M12" s="682" t="s">
        <v>595</v>
      </c>
      <c r="N12" s="683">
        <v>6960534.0579310348</v>
      </c>
      <c r="O12" s="622"/>
      <c r="P12" s="619">
        <v>6960534.0579310348</v>
      </c>
      <c r="Q12" s="619">
        <v>6960534.0579310348</v>
      </c>
      <c r="R12" s="619">
        <v>6960534.0579310348</v>
      </c>
      <c r="S12" s="619">
        <v>6960534.0579310348</v>
      </c>
      <c r="T12" s="619">
        <v>6960534.0579310348</v>
      </c>
      <c r="U12" s="619">
        <v>6960534.0579310348</v>
      </c>
      <c r="V12" s="619">
        <v>6960534.0579310348</v>
      </c>
      <c r="W12" s="619">
        <v>6960534.0579310348</v>
      </c>
      <c r="X12" s="619">
        <v>6960534.0579310348</v>
      </c>
      <c r="Y12" s="619">
        <v>6960534.0579310348</v>
      </c>
      <c r="Z12" s="619">
        <v>6960534.0579310348</v>
      </c>
      <c r="AA12" s="662"/>
    </row>
    <row r="13" spans="1:27">
      <c r="A13"/>
      <c r="B13" s="37" t="s">
        <v>26</v>
      </c>
      <c r="C13" s="136">
        <f>SUMIFS(N:N,$K:$K,$B:$B)</f>
        <v>6960534.0579310348</v>
      </c>
      <c r="D13" s="136">
        <f>'Stab. Appraisal CF'!B13</f>
        <v>8351851</v>
      </c>
      <c r="E13" s="136">
        <f t="shared" ref="E13:I14" si="4">SUMIFS(P:P,$K:$K,$B:$B)</f>
        <v>7125090.4005534863</v>
      </c>
      <c r="F13" s="136">
        <f t="shared" si="4"/>
        <v>7547179.0579670602</v>
      </c>
      <c r="G13" s="136">
        <f t="shared" si="4"/>
        <v>8052827.5477147922</v>
      </c>
      <c r="H13" s="136">
        <f t="shared" si="4"/>
        <v>8376400.8439790728</v>
      </c>
      <c r="I13" s="136">
        <f t="shared" si="4"/>
        <v>8587429.7517464496</v>
      </c>
      <c r="M13" s="656" t="s">
        <v>597</v>
      </c>
      <c r="N13" s="686"/>
      <c r="O13" s="623"/>
      <c r="P13" s="619">
        <v>87125.942068964738</v>
      </c>
      <c r="Q13" s="619">
        <v>87125.942068964738</v>
      </c>
      <c r="R13" s="619">
        <v>87125.942068964738</v>
      </c>
      <c r="S13" s="619">
        <v>87125.942068964738</v>
      </c>
      <c r="T13" s="619">
        <v>87125.942068964738</v>
      </c>
      <c r="U13" s="619">
        <v>87125.942068964738</v>
      </c>
      <c r="V13" s="619">
        <v>87125.942068964738</v>
      </c>
      <c r="W13" s="619">
        <v>87125.942068964738</v>
      </c>
      <c r="X13" s="619">
        <v>87125.942068964738</v>
      </c>
      <c r="Y13" s="619">
        <v>87125.942068964738</v>
      </c>
      <c r="Z13" s="619">
        <v>87125.942068964738</v>
      </c>
      <c r="AA13" s="662"/>
    </row>
    <row r="14" spans="1:27">
      <c r="A14"/>
      <c r="B14" s="43" t="s">
        <v>27</v>
      </c>
      <c r="C14" s="408">
        <f>SUMIFS(N:N,$K:$K,$B:$B)</f>
        <v>-406784.45793103427</v>
      </c>
      <c r="D14" s="408">
        <f>'Stab. Appraisal CF'!B14</f>
        <v>-463563</v>
      </c>
      <c r="E14" s="408">
        <f t="shared" si="4"/>
        <v>-698843.45198133623</v>
      </c>
      <c r="F14" s="408">
        <f t="shared" si="4"/>
        <v>-857633.9838598934</v>
      </c>
      <c r="G14" s="408">
        <f t="shared" si="4"/>
        <v>-816942.07692033262</v>
      </c>
      <c r="H14" s="408">
        <f t="shared" si="4"/>
        <v>-407941.59954443539</v>
      </c>
      <c r="I14" s="408">
        <f t="shared" si="4"/>
        <v>-418218.98141622305</v>
      </c>
      <c r="M14" s="656" t="s">
        <v>598</v>
      </c>
      <c r="N14" s="686"/>
      <c r="O14" s="623"/>
      <c r="P14" s="619">
        <v>195710.22342400003</v>
      </c>
      <c r="Q14" s="659">
        <v>497328.42324658006</v>
      </c>
      <c r="R14" s="659">
        <v>775921.84374020365</v>
      </c>
      <c r="S14" s="659">
        <v>775921.84374020365</v>
      </c>
      <c r="T14" s="659">
        <v>775921.84374020365</v>
      </c>
      <c r="U14" s="659">
        <v>775921.84374020365</v>
      </c>
      <c r="V14" s="659">
        <v>775921.84374020365</v>
      </c>
      <c r="W14" s="659">
        <v>775921.84374020365</v>
      </c>
      <c r="X14" s="659">
        <v>775921.84374020365</v>
      </c>
      <c r="Y14" s="659">
        <v>775921.84374020365</v>
      </c>
      <c r="Z14" s="659">
        <v>775921.84374020365</v>
      </c>
      <c r="AA14" s="662"/>
    </row>
    <row r="15" spans="1:27">
      <c r="A15"/>
      <c r="B15" s="44" t="s">
        <v>28</v>
      </c>
      <c r="C15" s="848"/>
      <c r="D15" s="848"/>
      <c r="E15" s="848"/>
      <c r="F15" s="848"/>
      <c r="G15" s="848"/>
      <c r="H15" s="848"/>
      <c r="I15" s="848"/>
      <c r="M15" s="690" t="s">
        <v>599</v>
      </c>
      <c r="N15" s="691"/>
      <c r="O15" s="625"/>
      <c r="P15" s="692">
        <v>-48765.260737739358</v>
      </c>
      <c r="Q15" s="693">
        <v>107144.42699673175</v>
      </c>
      <c r="R15" s="693">
        <v>336517.00340265431</v>
      </c>
      <c r="S15" s="693">
        <v>659839.1073634692</v>
      </c>
      <c r="T15" s="693">
        <v>867049.15106961248</v>
      </c>
      <c r="U15" s="693">
        <v>1102951.2187628199</v>
      </c>
      <c r="V15" s="693">
        <v>1370747.2106379189</v>
      </c>
      <c r="W15" s="693">
        <v>1646577.082269273</v>
      </c>
      <c r="X15" s="693">
        <v>1930681.8500495658</v>
      </c>
      <c r="Y15" s="693">
        <v>2223309.7608632701</v>
      </c>
      <c r="Z15" s="693">
        <v>2524716.5090013868</v>
      </c>
      <c r="AA15" s="662"/>
    </row>
    <row r="16" spans="1:27" ht="13.5" thickBot="1">
      <c r="A16"/>
      <c r="B16" s="37" t="s">
        <v>450</v>
      </c>
      <c r="C16" s="38"/>
      <c r="D16" s="38"/>
      <c r="E16" s="38"/>
      <c r="F16" s="38"/>
      <c r="G16" s="38"/>
      <c r="H16" s="38"/>
      <c r="I16" s="38"/>
      <c r="M16" s="694" t="s">
        <v>600</v>
      </c>
      <c r="N16" s="695">
        <v>6960534.0579310348</v>
      </c>
      <c r="O16" s="696"/>
      <c r="P16" s="697">
        <v>7194604.9626862602</v>
      </c>
      <c r="Q16" s="697">
        <v>7652132.8502433123</v>
      </c>
      <c r="R16" s="697">
        <v>8160098.8471428575</v>
      </c>
      <c r="S16" s="697">
        <v>8483420.9511036724</v>
      </c>
      <c r="T16" s="697">
        <v>8690630.9948098157</v>
      </c>
      <c r="U16" s="697">
        <v>8926533.0625030231</v>
      </c>
      <c r="V16" s="697">
        <v>9194329.0543781221</v>
      </c>
      <c r="W16" s="697">
        <v>9470158.9260094762</v>
      </c>
      <c r="X16" s="697">
        <v>9754263.693789769</v>
      </c>
      <c r="Y16" s="697">
        <v>10046891.604603473</v>
      </c>
      <c r="Z16" s="697">
        <v>10348298.35274159</v>
      </c>
      <c r="AA16" s="662"/>
    </row>
    <row r="17" spans="1:27">
      <c r="A17"/>
      <c r="B17" s="37" t="s">
        <v>61</v>
      </c>
      <c r="C17" s="408">
        <f>SUMIFS(N:N,$K:$K,$B:$B)</f>
        <v>-25478.68</v>
      </c>
      <c r="D17" s="408"/>
      <c r="E17" s="408">
        <f t="shared" ref="E17:I19" si="5">SUMIFS(P:P,$K:$K,$B:$B)</f>
        <v>-16911.176180453025</v>
      </c>
      <c r="F17" s="408">
        <f>SUMIFS(Q:Q,$K:$K,$B:$B)</f>
        <v>-17604.065984492547</v>
      </c>
      <c r="G17" s="408">
        <f t="shared" si="5"/>
        <v>-19041.803870511736</v>
      </c>
      <c r="H17" s="408">
        <f t="shared" si="5"/>
        <v>-20969.629590617471</v>
      </c>
      <c r="I17" s="408">
        <f t="shared" si="5"/>
        <v>-21497.923079816384</v>
      </c>
      <c r="J17" s="121"/>
      <c r="L17" s="121"/>
      <c r="M17" s="699"/>
      <c r="N17" s="626"/>
      <c r="O17" s="624"/>
      <c r="P17" s="627"/>
      <c r="Q17" s="628"/>
      <c r="R17" s="628"/>
      <c r="S17" s="629"/>
      <c r="T17" s="629"/>
      <c r="U17" s="629"/>
      <c r="V17" s="629"/>
      <c r="W17" s="629"/>
      <c r="X17" s="629"/>
      <c r="Y17" s="629"/>
      <c r="Z17" s="629"/>
      <c r="AA17" s="630"/>
    </row>
    <row r="18" spans="1:27">
      <c r="A18"/>
      <c r="B18" s="37" t="s">
        <v>30</v>
      </c>
      <c r="C18" s="408">
        <f>SUMIFS(N:N,$K:$K,$B:$B)</f>
        <v>17787.239999999998</v>
      </c>
      <c r="D18" s="408"/>
      <c r="E18" s="408">
        <f t="shared" si="5"/>
        <v>22176</v>
      </c>
      <c r="F18" s="408">
        <f t="shared" si="5"/>
        <v>22841.279999999999</v>
      </c>
      <c r="G18" s="408">
        <f t="shared" si="5"/>
        <v>23526.518400000001</v>
      </c>
      <c r="H18" s="408">
        <f t="shared" si="5"/>
        <v>24232.313952</v>
      </c>
      <c r="I18" s="408">
        <f t="shared" si="5"/>
        <v>24959.283370560002</v>
      </c>
      <c r="M18" s="702" t="s">
        <v>581</v>
      </c>
      <c r="N18" s="677" t="s">
        <v>591</v>
      </c>
      <c r="O18" s="646" t="s">
        <v>583</v>
      </c>
      <c r="P18" s="647">
        <v>1</v>
      </c>
      <c r="Q18" s="647">
        <v>2</v>
      </c>
      <c r="R18" s="647">
        <v>3</v>
      </c>
      <c r="S18" s="647">
        <v>4</v>
      </c>
      <c r="T18" s="647">
        <v>5</v>
      </c>
      <c r="U18" s="647">
        <v>6</v>
      </c>
      <c r="V18" s="647">
        <v>7</v>
      </c>
      <c r="W18" s="647">
        <v>8</v>
      </c>
      <c r="X18" s="647">
        <v>9</v>
      </c>
      <c r="Y18" s="647">
        <v>10</v>
      </c>
      <c r="Z18" s="647">
        <v>11</v>
      </c>
      <c r="AA18" s="630"/>
    </row>
    <row r="19" spans="1:27" ht="13.5" thickBot="1">
      <c r="A19"/>
      <c r="B19" s="37" t="s">
        <v>31</v>
      </c>
      <c r="C19" s="408">
        <f>SUMIFS(N:N,$K:$K,$B:$B)</f>
        <v>553877.46</v>
      </c>
      <c r="D19" s="408">
        <f>'Stab. Appraisal CF'!B19</f>
        <v>561509</v>
      </c>
      <c r="E19" s="408">
        <f t="shared" si="5"/>
        <v>363880.87069625448</v>
      </c>
      <c r="F19" s="408">
        <f t="shared" si="5"/>
        <v>454679.06725600699</v>
      </c>
      <c r="G19" s="408">
        <f t="shared" si="5"/>
        <v>608925.34842415468</v>
      </c>
      <c r="H19" s="408">
        <f t="shared" si="5"/>
        <v>696329.6228145021</v>
      </c>
      <c r="I19" s="408">
        <f t="shared" si="5"/>
        <v>717813.81164085818</v>
      </c>
      <c r="J19" s="573"/>
      <c r="L19" s="573"/>
      <c r="M19" s="651" t="s">
        <v>602</v>
      </c>
      <c r="N19" s="679">
        <v>45809</v>
      </c>
      <c r="O19" s="653"/>
      <c r="P19" s="654">
        <v>46173</v>
      </c>
      <c r="Q19" s="654">
        <v>46538</v>
      </c>
      <c r="R19" s="654">
        <v>46904</v>
      </c>
      <c r="S19" s="654">
        <v>47269</v>
      </c>
      <c r="T19" s="654">
        <v>47634</v>
      </c>
      <c r="U19" s="654">
        <v>47999</v>
      </c>
      <c r="V19" s="654">
        <v>48365</v>
      </c>
      <c r="W19" s="654">
        <v>48730</v>
      </c>
      <c r="X19" s="654">
        <v>49095</v>
      </c>
      <c r="Y19" s="654">
        <v>49460</v>
      </c>
      <c r="Z19" s="654">
        <v>49826</v>
      </c>
      <c r="AA19" s="631"/>
    </row>
    <row r="20" spans="1:27">
      <c r="A20"/>
      <c r="B20" s="33"/>
      <c r="C20" s="373"/>
      <c r="D20" s="373"/>
      <c r="E20" s="373"/>
      <c r="F20" s="373"/>
      <c r="G20" s="373"/>
      <c r="H20" s="373"/>
      <c r="I20" s="373"/>
      <c r="M20" s="704" t="s">
        <v>603</v>
      </c>
      <c r="N20" s="705"/>
      <c r="O20" s="706"/>
      <c r="P20" s="707"/>
      <c r="Q20" s="707"/>
      <c r="R20" s="707"/>
      <c r="S20" s="632"/>
      <c r="T20" s="707"/>
      <c r="U20" s="707"/>
      <c r="V20" s="707"/>
      <c r="W20" s="707"/>
      <c r="X20" s="707"/>
      <c r="Y20" s="707"/>
      <c r="Z20" s="707"/>
      <c r="AA20" s="708"/>
    </row>
    <row r="21" spans="1:27">
      <c r="A21"/>
      <c r="B21" s="46" t="s">
        <v>32</v>
      </c>
      <c r="C21" s="821">
        <f>SUM(C13:C19)</f>
        <v>7099935.620000001</v>
      </c>
      <c r="D21" s="821">
        <f>SUM(D13:D19)</f>
        <v>8449797</v>
      </c>
      <c r="E21" s="821">
        <f>SUM(E13:E19)</f>
        <v>6795392.6430879515</v>
      </c>
      <c r="F21" s="821">
        <f t="shared" ref="F21:I21" si="6">SUM(F13:F19)</f>
        <v>7149461.3553786818</v>
      </c>
      <c r="G21" s="821">
        <f t="shared" si="6"/>
        <v>7849295.5337481024</v>
      </c>
      <c r="H21" s="821">
        <f t="shared" si="6"/>
        <v>8668051.551610522</v>
      </c>
      <c r="I21" s="821">
        <f t="shared" si="6"/>
        <v>8890485.9422618281</v>
      </c>
      <c r="K21" s="37" t="s">
        <v>26</v>
      </c>
      <c r="M21" s="633" t="s">
        <v>600</v>
      </c>
      <c r="N21" s="634">
        <v>7047660</v>
      </c>
      <c r="O21" s="711" t="s">
        <v>604</v>
      </c>
      <c r="P21" s="635">
        <v>7194604.9626862602</v>
      </c>
      <c r="Q21" s="635">
        <v>7652132.8502433114</v>
      </c>
      <c r="R21" s="635">
        <v>8160098.8471428575</v>
      </c>
      <c r="S21" s="635">
        <v>8483420.9511036724</v>
      </c>
      <c r="T21" s="635">
        <v>8690630.9948098157</v>
      </c>
      <c r="U21" s="635">
        <v>8926533.0625030231</v>
      </c>
      <c r="V21" s="635">
        <v>9194329.0543781221</v>
      </c>
      <c r="W21" s="635">
        <v>9470158.9260094762</v>
      </c>
      <c r="X21" s="635">
        <v>9754263.693789769</v>
      </c>
      <c r="Y21" s="635">
        <v>10046891.604603473</v>
      </c>
      <c r="Z21" s="635">
        <v>10348298.35274159</v>
      </c>
      <c r="AA21" s="712"/>
    </row>
    <row r="22" spans="1:27">
      <c r="A22"/>
      <c r="B22" s="33"/>
      <c r="C22" s="381"/>
      <c r="D22" s="381"/>
      <c r="E22" s="381"/>
      <c r="F22" s="381"/>
      <c r="G22" s="381"/>
      <c r="H22" s="381"/>
      <c r="I22" s="381"/>
      <c r="K22" s="37" t="s">
        <v>26</v>
      </c>
      <c r="M22" s="682" t="s">
        <v>63</v>
      </c>
      <c r="N22" s="634">
        <v>-87125.942068965174</v>
      </c>
      <c r="O22" s="711"/>
      <c r="P22" s="635">
        <v>-69514.562132773979</v>
      </c>
      <c r="Q22" s="635">
        <v>-104953.79227625128</v>
      </c>
      <c r="R22" s="635">
        <v>-107271.29942806548</v>
      </c>
      <c r="S22" s="635">
        <v>-107020.10712459924</v>
      </c>
      <c r="T22" s="635">
        <v>-103201.24306336656</v>
      </c>
      <c r="U22" s="635">
        <v>-133897.99593754535</v>
      </c>
      <c r="V22" s="635">
        <v>-137914.93581567184</v>
      </c>
      <c r="W22" s="635">
        <v>-142052.38389014214</v>
      </c>
      <c r="X22" s="635">
        <v>-146313.95540684654</v>
      </c>
      <c r="Y22" s="635">
        <v>-150703.37406905208</v>
      </c>
      <c r="Z22" s="635">
        <v>-155224.47529112385</v>
      </c>
      <c r="AA22" s="712"/>
    </row>
    <row r="23" spans="1:27">
      <c r="A23"/>
      <c r="B23" s="33"/>
      <c r="C23" s="383"/>
      <c r="D23" s="383"/>
      <c r="E23" s="383"/>
      <c r="F23" s="383"/>
      <c r="G23" s="383"/>
      <c r="H23" s="383"/>
      <c r="I23" s="383"/>
      <c r="K23" s="37"/>
      <c r="M23" s="715" t="s">
        <v>605</v>
      </c>
      <c r="N23" s="716">
        <v>6960534.0579310348</v>
      </c>
      <c r="O23" s="717" t="s">
        <v>606</v>
      </c>
      <c r="P23" s="719">
        <v>7125090.4005534863</v>
      </c>
      <c r="Q23" s="719">
        <v>7547179.0579670602</v>
      </c>
      <c r="R23" s="719">
        <v>8052827.5477147922</v>
      </c>
      <c r="S23" s="719">
        <v>8376400.8439790728</v>
      </c>
      <c r="T23" s="719">
        <v>8587429.7517464496</v>
      </c>
      <c r="U23" s="719">
        <v>8792635.0665654782</v>
      </c>
      <c r="V23" s="719">
        <v>9056414.1185624506</v>
      </c>
      <c r="W23" s="719">
        <v>9328106.5421193335</v>
      </c>
      <c r="X23" s="719">
        <v>9607949.7383829225</v>
      </c>
      <c r="Y23" s="719">
        <v>9896188.2305344213</v>
      </c>
      <c r="Z23" s="719">
        <v>10193073.877450466</v>
      </c>
      <c r="AA23" s="720"/>
    </row>
    <row r="24" spans="1:27">
      <c r="A24"/>
      <c r="B24" s="34" t="s">
        <v>34</v>
      </c>
      <c r="C24" s="384"/>
      <c r="D24" s="384"/>
      <c r="E24" s="384"/>
      <c r="F24" s="384"/>
      <c r="G24" s="384"/>
      <c r="H24" s="384"/>
      <c r="I24" s="384"/>
      <c r="K24" s="43" t="s">
        <v>27</v>
      </c>
      <c r="M24" s="682" t="s">
        <v>607</v>
      </c>
      <c r="N24" s="686">
        <v>-406784.45793103427</v>
      </c>
      <c r="O24" s="723">
        <v>5.8441558441558399E-2</v>
      </c>
      <c r="P24" s="635">
        <v>-698843.45198133623</v>
      </c>
      <c r="Q24" s="635">
        <v>-857633.9838598934</v>
      </c>
      <c r="R24" s="635">
        <v>-816942.07692033262</v>
      </c>
      <c r="S24" s="635">
        <v>-407941.59954443539</v>
      </c>
      <c r="T24" s="635">
        <v>-418218.98141622305</v>
      </c>
      <c r="U24" s="635">
        <v>-428212.74674831866</v>
      </c>
      <c r="V24" s="635">
        <v>-441059.12915076863</v>
      </c>
      <c r="W24" s="635">
        <v>-454290.90302529215</v>
      </c>
      <c r="X24" s="635">
        <v>-467919.63011605135</v>
      </c>
      <c r="Y24" s="635">
        <v>-481957.21901953337</v>
      </c>
      <c r="Z24" s="635">
        <v>-496415.93559011986</v>
      </c>
      <c r="AA24" s="724"/>
    </row>
    <row r="25" spans="1:27">
      <c r="A25"/>
      <c r="B25" s="37" t="s">
        <v>35</v>
      </c>
      <c r="C25" s="136">
        <f t="shared" ref="C25:C35" si="7">SUMIFS(N:N,$K:$K,$B:$B)</f>
        <v>1485043.5769348999</v>
      </c>
      <c r="D25" s="136">
        <f>'Stab. Appraisal CF'!B25</f>
        <v>1646218</v>
      </c>
      <c r="E25" s="136">
        <f t="shared" ref="E25:E35" si="8">SUMIFS(P:P,$K:$K,$B:$B)</f>
        <v>1484035.539681321</v>
      </c>
      <c r="F25" s="136">
        <f t="shared" ref="F25:F35" si="9">SUMIFS(Q:Q,$K:$K,$B:$B)</f>
        <v>1529382.6379477417</v>
      </c>
      <c r="G25" s="136">
        <f t="shared" ref="G25:G35" si="10">SUMIFS(R:R,$K:$K,$B:$B)</f>
        <v>1577209.413236181</v>
      </c>
      <c r="H25" s="136">
        <f t="shared" ref="H25:H35" si="11">SUMIFS(S:S,$K:$K,$B:$B)</f>
        <v>1626456.34300589</v>
      </c>
      <c r="I25" s="136">
        <f t="shared" ref="I25:I35" si="12">SUMIFS(T:T,$K:$K,$B:$B)</f>
        <v>1675125.5536100476</v>
      </c>
      <c r="K25" s="37" t="s">
        <v>61</v>
      </c>
      <c r="M25" s="682" t="s">
        <v>608</v>
      </c>
      <c r="N25" s="686">
        <v>-25478.68</v>
      </c>
      <c r="O25" s="711" t="s">
        <v>609</v>
      </c>
      <c r="P25" s="635">
        <v>-16911.176180453025</v>
      </c>
      <c r="Q25" s="635">
        <v>-17604.065984492547</v>
      </c>
      <c r="R25" s="635">
        <v>-19041.803870511736</v>
      </c>
      <c r="S25" s="635">
        <v>-20969.629590617471</v>
      </c>
      <c r="T25" s="635">
        <v>-21497.923079816384</v>
      </c>
      <c r="U25" s="635">
        <v>-22011.637683729372</v>
      </c>
      <c r="V25" s="635">
        <v>-22671.986814241271</v>
      </c>
      <c r="W25" s="635">
        <v>-23352.146418668533</v>
      </c>
      <c r="X25" s="635">
        <v>-24052.710811228608</v>
      </c>
      <c r="Y25" s="635">
        <v>-24774.292135565494</v>
      </c>
      <c r="Z25" s="635">
        <v>-25517.520899632491</v>
      </c>
      <c r="AA25" s="712"/>
    </row>
    <row r="26" spans="1:27">
      <c r="A26"/>
      <c r="B26" s="37" t="s">
        <v>36</v>
      </c>
      <c r="C26" s="408">
        <f t="shared" si="7"/>
        <v>215600</v>
      </c>
      <c r="D26" s="408">
        <f>'Stab. Appraisal CF'!B26</f>
        <v>342496</v>
      </c>
      <c r="E26" s="408">
        <f t="shared" si="8"/>
        <v>215600</v>
      </c>
      <c r="F26" s="408">
        <f t="shared" si="9"/>
        <v>226380</v>
      </c>
      <c r="G26" s="408">
        <f t="shared" si="10"/>
        <v>233171.4</v>
      </c>
      <c r="H26" s="408">
        <f t="shared" si="11"/>
        <v>240166.54199999999</v>
      </c>
      <c r="I26" s="408">
        <f t="shared" si="12"/>
        <v>247371.53826</v>
      </c>
      <c r="K26" s="37" t="s">
        <v>31</v>
      </c>
      <c r="M26" s="682" t="s">
        <v>610</v>
      </c>
      <c r="N26" s="686">
        <v>-74991.200000000012</v>
      </c>
      <c r="O26" s="711" t="s">
        <v>609</v>
      </c>
      <c r="P26" s="725">
        <v>-87850.265872483273</v>
      </c>
      <c r="Q26" s="725">
        <v>-91449.693425935315</v>
      </c>
      <c r="R26" s="725">
        <v>-74188.846248747024</v>
      </c>
      <c r="S26" s="725">
        <v>-81699.855547860265</v>
      </c>
      <c r="T26" s="725">
        <v>-83758.141869414481</v>
      </c>
      <c r="U26" s="725">
        <v>-85759.627339205341</v>
      </c>
      <c r="V26" s="725">
        <v>-88332.416159381581</v>
      </c>
      <c r="W26" s="725">
        <v>-90982.388644163104</v>
      </c>
      <c r="X26" s="725">
        <v>-93711.860303488094</v>
      </c>
      <c r="Y26" s="725">
        <v>-96523.216112592854</v>
      </c>
      <c r="Z26" s="725">
        <v>-99418.912595970745</v>
      </c>
      <c r="AA26" s="726"/>
    </row>
    <row r="27" spans="1:27">
      <c r="A27"/>
      <c r="B27" s="41" t="s">
        <v>37</v>
      </c>
      <c r="C27" s="408">
        <f t="shared" si="7"/>
        <v>378063.92</v>
      </c>
      <c r="D27" s="408">
        <f>'Stab. Appraisal CF'!B27</f>
        <v>350812</v>
      </c>
      <c r="E27" s="408">
        <f t="shared" si="8"/>
        <v>369600</v>
      </c>
      <c r="F27" s="408">
        <f t="shared" si="9"/>
        <v>388080</v>
      </c>
      <c r="G27" s="408">
        <f t="shared" si="10"/>
        <v>399722.4</v>
      </c>
      <c r="H27" s="408">
        <f t="shared" si="11"/>
        <v>411714.07200000004</v>
      </c>
      <c r="I27" s="408">
        <f t="shared" si="12"/>
        <v>424065.49416000006</v>
      </c>
      <c r="K27" s="37" t="s">
        <v>31</v>
      </c>
      <c r="M27" s="682" t="s">
        <v>611</v>
      </c>
      <c r="N27" s="686">
        <v>-22926</v>
      </c>
      <c r="O27" s="711" t="s">
        <v>609</v>
      </c>
      <c r="P27" s="635">
        <v>-202934.1141654363</v>
      </c>
      <c r="Q27" s="635">
        <v>-176040.65984492545</v>
      </c>
      <c r="R27" s="635">
        <v>-76167.215482046944</v>
      </c>
      <c r="S27" s="635">
        <v>-41939.259181234942</v>
      </c>
      <c r="T27" s="635">
        <v>-42995.846159632769</v>
      </c>
      <c r="U27" s="635">
        <v>-44023.275367458744</v>
      </c>
      <c r="V27" s="635">
        <v>-45343.973628482541</v>
      </c>
      <c r="W27" s="635">
        <v>-46704.292837337067</v>
      </c>
      <c r="X27" s="635">
        <v>-48105.421622457216</v>
      </c>
      <c r="Y27" s="635">
        <v>-49548.584271130989</v>
      </c>
      <c r="Z27" s="635">
        <v>-51035.041799264982</v>
      </c>
      <c r="AA27" s="712"/>
    </row>
    <row r="28" spans="1:27">
      <c r="A28"/>
      <c r="B28" s="41" t="s">
        <v>38</v>
      </c>
      <c r="C28" s="408">
        <f t="shared" si="7"/>
        <v>358377.1</v>
      </c>
      <c r="D28" s="408">
        <f>'Stab. Appraisal CF'!B28</f>
        <v>334180</v>
      </c>
      <c r="E28" s="408">
        <f t="shared" si="8"/>
        <v>377300</v>
      </c>
      <c r="F28" s="408">
        <f t="shared" si="9"/>
        <v>396165</v>
      </c>
      <c r="G28" s="408">
        <f t="shared" si="10"/>
        <v>408049.95</v>
      </c>
      <c r="H28" s="408">
        <f t="shared" si="11"/>
        <v>420291.44850000006</v>
      </c>
      <c r="I28" s="408">
        <f t="shared" si="12"/>
        <v>432900.19195500005</v>
      </c>
      <c r="M28" s="715" t="s">
        <v>612</v>
      </c>
      <c r="N28" s="716">
        <v>6430353.7200000007</v>
      </c>
      <c r="O28" s="718"/>
      <c r="P28" s="719">
        <v>6118551.3923537778</v>
      </c>
      <c r="Q28" s="719">
        <v>6404450.6548518129</v>
      </c>
      <c r="R28" s="719">
        <v>7066487.605193154</v>
      </c>
      <c r="S28" s="719">
        <v>7823850.5001149243</v>
      </c>
      <c r="T28" s="719">
        <v>8020958.8592213634</v>
      </c>
      <c r="U28" s="719">
        <v>8212627.7794267656</v>
      </c>
      <c r="V28" s="719">
        <v>8459006.6128095761</v>
      </c>
      <c r="W28" s="719">
        <v>8712776.8111938741</v>
      </c>
      <c r="X28" s="719">
        <v>8974160.1155296974</v>
      </c>
      <c r="Y28" s="719">
        <v>9243384.9189955983</v>
      </c>
      <c r="Z28" s="719">
        <v>9520686.4665654767</v>
      </c>
      <c r="AA28" s="727"/>
    </row>
    <row r="29" spans="1:27">
      <c r="A29"/>
      <c r="B29" s="37" t="s">
        <v>39</v>
      </c>
      <c r="C29" s="408">
        <f t="shared" si="7"/>
        <v>177498.39050000004</v>
      </c>
      <c r="D29" s="408">
        <f>'Stab. Appraisal CF'!B29</f>
        <v>211245</v>
      </c>
      <c r="E29" s="408">
        <f t="shared" si="8"/>
        <v>169884.8160771988</v>
      </c>
      <c r="F29" s="408">
        <f t="shared" si="9"/>
        <v>178736.53388446703</v>
      </c>
      <c r="G29" s="408">
        <f t="shared" si="10"/>
        <v>196232.38834370257</v>
      </c>
      <c r="H29" s="408">
        <f t="shared" si="11"/>
        <v>216701.28879026312</v>
      </c>
      <c r="I29" s="408">
        <f t="shared" si="12"/>
        <v>222262.1485565457</v>
      </c>
      <c r="K29" s="33"/>
      <c r="M29" s="682" t="s">
        <v>613</v>
      </c>
      <c r="N29" s="728">
        <v>1739.8143181818184</v>
      </c>
      <c r="O29" s="711"/>
      <c r="P29" s="725">
        <v>1655.4522165459355</v>
      </c>
      <c r="Q29" s="725">
        <v>1732.8059131092568</v>
      </c>
      <c r="R29" s="725">
        <v>1911.9284646085373</v>
      </c>
      <c r="S29" s="725">
        <v>2116.8426677800121</v>
      </c>
      <c r="T29" s="725">
        <v>2170.1728515209315</v>
      </c>
      <c r="U29" s="725">
        <v>2222.0313256024797</v>
      </c>
      <c r="V29" s="725">
        <v>2288.6922653705565</v>
      </c>
      <c r="W29" s="725">
        <v>2357.3530333316758</v>
      </c>
      <c r="X29" s="725">
        <v>2428.0736243316283</v>
      </c>
      <c r="Y29" s="725">
        <v>2500.9158330615796</v>
      </c>
      <c r="Z29" s="725">
        <v>2575.94330805343</v>
      </c>
      <c r="AA29" s="729"/>
    </row>
    <row r="30" spans="1:27">
      <c r="A30"/>
      <c r="B30" s="37" t="s">
        <v>40</v>
      </c>
      <c r="C30" s="408">
        <f t="shared" si="7"/>
        <v>688888.3899999999</v>
      </c>
      <c r="D30" s="408">
        <f>'Stab. Appraisal CF'!B30</f>
        <v>601216</v>
      </c>
      <c r="E30" s="408">
        <f t="shared" si="8"/>
        <v>646800</v>
      </c>
      <c r="F30" s="408">
        <f t="shared" si="9"/>
        <v>679140</v>
      </c>
      <c r="G30" s="408">
        <f t="shared" si="10"/>
        <v>699514.20000000007</v>
      </c>
      <c r="H30" s="408">
        <f t="shared" si="11"/>
        <v>720499.62600000005</v>
      </c>
      <c r="I30" s="408">
        <f t="shared" si="12"/>
        <v>742114.61478000006</v>
      </c>
      <c r="M30" s="682"/>
      <c r="N30" s="730"/>
      <c r="O30" s="731"/>
      <c r="P30" s="725"/>
      <c r="Q30" s="725"/>
      <c r="R30" s="732"/>
      <c r="S30" s="732"/>
      <c r="T30" s="732"/>
      <c r="U30" s="725"/>
      <c r="V30" s="725"/>
      <c r="W30" s="725"/>
      <c r="X30" s="725"/>
      <c r="Y30" s="725"/>
      <c r="Z30" s="725"/>
      <c r="AA30" s="733"/>
    </row>
    <row r="31" spans="1:27">
      <c r="A31"/>
      <c r="B31" s="41" t="s">
        <v>41</v>
      </c>
      <c r="C31" s="408">
        <f t="shared" si="7"/>
        <v>265543.05999999994</v>
      </c>
      <c r="D31" s="408">
        <f>'Stab. Appraisal CF'!B31</f>
        <v>141988</v>
      </c>
      <c r="E31" s="408">
        <f t="shared" si="8"/>
        <v>261800</v>
      </c>
      <c r="F31" s="408">
        <f t="shared" si="9"/>
        <v>154000</v>
      </c>
      <c r="G31" s="408">
        <f t="shared" si="10"/>
        <v>158620</v>
      </c>
      <c r="H31" s="408">
        <f t="shared" si="11"/>
        <v>163378.6</v>
      </c>
      <c r="I31" s="408">
        <f t="shared" si="12"/>
        <v>168279.95800000001</v>
      </c>
      <c r="K31" s="37" t="s">
        <v>31</v>
      </c>
      <c r="M31" s="682" t="s">
        <v>634</v>
      </c>
      <c r="N31" s="686">
        <v>343715.6</v>
      </c>
      <c r="O31" s="711" t="s">
        <v>609</v>
      </c>
      <c r="P31" s="725">
        <v>369600</v>
      </c>
      <c r="Q31" s="725">
        <v>380688</v>
      </c>
      <c r="R31" s="725">
        <v>392108.64</v>
      </c>
      <c r="S31" s="725">
        <v>403871.89920000004</v>
      </c>
      <c r="T31" s="725">
        <v>415988.05617600004</v>
      </c>
      <c r="U31" s="725">
        <v>428467.69786128006</v>
      </c>
      <c r="V31" s="725">
        <v>441321.72879711847</v>
      </c>
      <c r="W31" s="725">
        <v>454561.38066103205</v>
      </c>
      <c r="X31" s="725">
        <v>468198.22208086302</v>
      </c>
      <c r="Y31" s="725">
        <v>482244.1687432889</v>
      </c>
      <c r="Z31" s="725">
        <v>496711.49380558758</v>
      </c>
      <c r="AA31" s="727"/>
    </row>
    <row r="32" spans="1:27">
      <c r="A32"/>
      <c r="B32" s="37" t="s">
        <v>42</v>
      </c>
      <c r="C32" s="408">
        <f t="shared" si="7"/>
        <v>0</v>
      </c>
      <c r="D32" s="408">
        <f>'Stab. Appraisal CF'!B32</f>
        <v>0</v>
      </c>
      <c r="E32" s="408">
        <f t="shared" si="8"/>
        <v>0</v>
      </c>
      <c r="F32" s="408">
        <f t="shared" si="9"/>
        <v>0</v>
      </c>
      <c r="G32" s="408">
        <f t="shared" si="10"/>
        <v>0</v>
      </c>
      <c r="H32" s="408">
        <f t="shared" si="11"/>
        <v>0</v>
      </c>
      <c r="I32" s="408">
        <f t="shared" si="12"/>
        <v>0</v>
      </c>
      <c r="K32" s="37" t="s">
        <v>31</v>
      </c>
      <c r="M32" s="682" t="s">
        <v>635</v>
      </c>
      <c r="N32" s="686">
        <v>0</v>
      </c>
      <c r="O32" s="711" t="s">
        <v>609</v>
      </c>
      <c r="P32" s="725">
        <v>47024.474112290263</v>
      </c>
      <c r="Q32" s="725">
        <v>126089.97394716014</v>
      </c>
      <c r="R32" s="725">
        <v>139458.07098557995</v>
      </c>
      <c r="S32" s="725">
        <v>143641.81311514747</v>
      </c>
      <c r="T32" s="725">
        <v>147951.06750860211</v>
      </c>
      <c r="U32" s="725">
        <v>152389.59953386037</v>
      </c>
      <c r="V32" s="725">
        <v>156961.28751987635</v>
      </c>
      <c r="W32" s="725">
        <v>161670.12614547275</v>
      </c>
      <c r="X32" s="725">
        <v>166520.22992983708</v>
      </c>
      <c r="Y32" s="725">
        <v>171515.83682773236</v>
      </c>
      <c r="Z32" s="725">
        <v>176661.31193256433</v>
      </c>
      <c r="AA32" s="727"/>
    </row>
    <row r="33" spans="1:27">
      <c r="A33"/>
      <c r="B33" s="37" t="s">
        <v>43</v>
      </c>
      <c r="C33" s="408">
        <f t="shared" si="7"/>
        <v>122141.05999999998</v>
      </c>
      <c r="D33" s="408">
        <f>'Stab. Appraisal CF'!B33</f>
        <v>166936</v>
      </c>
      <c r="E33" s="408">
        <f t="shared" si="8"/>
        <v>123200</v>
      </c>
      <c r="F33" s="408">
        <f t="shared" si="9"/>
        <v>129360</v>
      </c>
      <c r="G33" s="408">
        <f t="shared" si="10"/>
        <v>133240.80000000002</v>
      </c>
      <c r="H33" s="408">
        <f t="shared" si="11"/>
        <v>137238.02400000003</v>
      </c>
      <c r="I33" s="408">
        <f t="shared" si="12"/>
        <v>141355.16472000003</v>
      </c>
      <c r="K33" s="37" t="s">
        <v>31</v>
      </c>
      <c r="M33" s="682" t="s">
        <v>636</v>
      </c>
      <c r="N33" s="686">
        <v>71785.88</v>
      </c>
      <c r="O33" s="711" t="s">
        <v>609</v>
      </c>
      <c r="P33" s="725">
        <v>73920</v>
      </c>
      <c r="Q33" s="725">
        <v>76137.600000000006</v>
      </c>
      <c r="R33" s="725">
        <v>78421.728000000003</v>
      </c>
      <c r="S33" s="725">
        <v>80774.379840000009</v>
      </c>
      <c r="T33" s="725">
        <v>83197.611235200005</v>
      </c>
      <c r="U33" s="725">
        <v>85693.539572256006</v>
      </c>
      <c r="V33" s="725">
        <v>88264.345759423682</v>
      </c>
      <c r="W33" s="725">
        <v>90912.276132206389</v>
      </c>
      <c r="X33" s="725">
        <v>93639.644416172581</v>
      </c>
      <c r="Y33" s="725">
        <v>96448.833748657766</v>
      </c>
      <c r="Z33" s="725">
        <v>99342.298761117505</v>
      </c>
      <c r="AA33" s="727"/>
    </row>
    <row r="34" spans="1:27">
      <c r="A34"/>
      <c r="B34" s="37" t="s">
        <v>44</v>
      </c>
      <c r="C34" s="408">
        <f t="shared" si="7"/>
        <v>59939.109999999986</v>
      </c>
      <c r="D34" s="408">
        <f>'Stab. Appraisal CF'!B34</f>
        <v>27969</v>
      </c>
      <c r="E34" s="408">
        <f t="shared" si="8"/>
        <v>0</v>
      </c>
      <c r="F34" s="408">
        <f t="shared" si="9"/>
        <v>0</v>
      </c>
      <c r="G34" s="408">
        <f t="shared" si="10"/>
        <v>0</v>
      </c>
      <c r="H34" s="408">
        <f t="shared" si="11"/>
        <v>0</v>
      </c>
      <c r="I34" s="408">
        <f t="shared" si="12"/>
        <v>0</v>
      </c>
      <c r="K34" s="37" t="s">
        <v>30</v>
      </c>
      <c r="M34" s="682" t="s">
        <v>637</v>
      </c>
      <c r="N34" s="686">
        <v>17787.239999999998</v>
      </c>
      <c r="O34" s="711" t="s">
        <v>609</v>
      </c>
      <c r="P34" s="725">
        <v>22176</v>
      </c>
      <c r="Q34" s="725">
        <v>22841.279999999999</v>
      </c>
      <c r="R34" s="725">
        <v>23526.518400000001</v>
      </c>
      <c r="S34" s="725">
        <v>24232.313952</v>
      </c>
      <c r="T34" s="725">
        <v>24959.283370560002</v>
      </c>
      <c r="U34" s="725">
        <v>25708.061871676804</v>
      </c>
      <c r="V34" s="725">
        <v>26479.303727827108</v>
      </c>
      <c r="W34" s="725">
        <v>27273.68283966192</v>
      </c>
      <c r="X34" s="725">
        <v>28091.893324851779</v>
      </c>
      <c r="Y34" s="725">
        <v>28934.650124597334</v>
      </c>
      <c r="Z34" s="725">
        <v>29802.689628335254</v>
      </c>
      <c r="AA34" s="727"/>
    </row>
    <row r="35" spans="1:27">
      <c r="A35"/>
      <c r="B35" s="37" t="s">
        <v>45</v>
      </c>
      <c r="C35" s="408">
        <f t="shared" si="7"/>
        <v>0</v>
      </c>
      <c r="D35" s="408">
        <f>'Stab. Appraisal CF'!B35</f>
        <v>0</v>
      </c>
      <c r="E35" s="408">
        <f t="shared" si="8"/>
        <v>0</v>
      </c>
      <c r="F35" s="408">
        <f t="shared" si="9"/>
        <v>0</v>
      </c>
      <c r="G35" s="408">
        <f t="shared" si="10"/>
        <v>0</v>
      </c>
      <c r="H35" s="408">
        <f t="shared" si="11"/>
        <v>0</v>
      </c>
      <c r="I35" s="408">
        <f t="shared" si="12"/>
        <v>0</v>
      </c>
      <c r="K35" s="37" t="s">
        <v>31</v>
      </c>
      <c r="M35" s="682" t="s">
        <v>638</v>
      </c>
      <c r="N35" s="686">
        <v>56811.7</v>
      </c>
      <c r="O35" s="711" t="s">
        <v>615</v>
      </c>
      <c r="P35" s="725">
        <v>62832</v>
      </c>
      <c r="Q35" s="725">
        <v>64716.959999999999</v>
      </c>
      <c r="R35" s="725">
        <v>66658.468800000002</v>
      </c>
      <c r="S35" s="725">
        <v>68658.22286400001</v>
      </c>
      <c r="T35" s="725">
        <v>70717.969549920017</v>
      </c>
      <c r="U35" s="725">
        <v>72839.508636417624</v>
      </c>
      <c r="V35" s="725">
        <v>75024.69389551015</v>
      </c>
      <c r="W35" s="725">
        <v>77275.434712375456</v>
      </c>
      <c r="X35" s="725">
        <v>79593.697753746717</v>
      </c>
      <c r="Y35" s="725">
        <v>81981.508686359128</v>
      </c>
      <c r="Z35" s="725">
        <v>84440.9539469499</v>
      </c>
      <c r="AA35" s="727"/>
    </row>
    <row r="36" spans="1:27">
      <c r="A36"/>
      <c r="B36" s="46" t="s">
        <v>46</v>
      </c>
      <c r="C36" s="821">
        <f>SUM(C25:C35)</f>
        <v>3751094.6074349</v>
      </c>
      <c r="D36" s="821">
        <f>SUM(D25:D35)</f>
        <v>3823060</v>
      </c>
      <c r="E36" s="821">
        <f>SUM(E25:E35)</f>
        <v>3648220.3557585198</v>
      </c>
      <c r="F36" s="821">
        <f t="shared" ref="F36:I36" si="13">SUM(F25:F35)</f>
        <v>3681244.171832209</v>
      </c>
      <c r="G36" s="821">
        <f t="shared" si="13"/>
        <v>3805760.5515798838</v>
      </c>
      <c r="H36" s="821">
        <f t="shared" si="13"/>
        <v>3936445.9442961537</v>
      </c>
      <c r="I36" s="821">
        <f t="shared" si="13"/>
        <v>4053474.6640415941</v>
      </c>
      <c r="K36" s="37" t="s">
        <v>31</v>
      </c>
      <c r="M36" s="682" t="s">
        <v>65</v>
      </c>
      <c r="N36" s="686">
        <v>19999</v>
      </c>
      <c r="O36" s="711" t="s">
        <v>609</v>
      </c>
      <c r="P36" s="725">
        <v>33264</v>
      </c>
      <c r="Q36" s="725">
        <v>34261.919999999998</v>
      </c>
      <c r="R36" s="725">
        <v>35289.777600000001</v>
      </c>
      <c r="S36" s="725">
        <v>36348.470928000002</v>
      </c>
      <c r="T36" s="725">
        <v>37438.925055840002</v>
      </c>
      <c r="U36" s="725">
        <v>38562.092807515204</v>
      </c>
      <c r="V36" s="725">
        <v>39718.955591740661</v>
      </c>
      <c r="W36" s="725">
        <v>40910.524259492886</v>
      </c>
      <c r="X36" s="725">
        <v>42137.839987277672</v>
      </c>
      <c r="Y36" s="725">
        <v>43401.975186896001</v>
      </c>
      <c r="Z36" s="725">
        <v>44704.034442502882</v>
      </c>
      <c r="AA36" s="727"/>
    </row>
    <row r="37" spans="1:27">
      <c r="A37"/>
      <c r="B37" s="41"/>
      <c r="C37" s="394"/>
      <c r="D37" s="394"/>
      <c r="E37" s="394"/>
      <c r="F37" s="394"/>
      <c r="G37" s="394"/>
      <c r="H37" s="394"/>
      <c r="I37" s="394"/>
      <c r="K37" s="37" t="s">
        <v>31</v>
      </c>
      <c r="M37" s="682" t="s">
        <v>639</v>
      </c>
      <c r="N37" s="686">
        <v>94629.72</v>
      </c>
      <c r="O37" s="711" t="s">
        <v>609</v>
      </c>
      <c r="P37" s="725">
        <v>92400</v>
      </c>
      <c r="Q37" s="725">
        <v>95172</v>
      </c>
      <c r="R37" s="725">
        <v>98027.16</v>
      </c>
      <c r="S37" s="725">
        <v>100967.97480000001</v>
      </c>
      <c r="T37" s="725">
        <v>103997.01404400001</v>
      </c>
      <c r="U37" s="725">
        <v>107116.92446532001</v>
      </c>
      <c r="V37" s="725">
        <v>110330.43219927962</v>
      </c>
      <c r="W37" s="725">
        <v>113640.34516525801</v>
      </c>
      <c r="X37" s="725">
        <v>117049.55552021576</v>
      </c>
      <c r="Y37" s="725">
        <v>120561.04218582223</v>
      </c>
      <c r="Z37" s="725">
        <v>124177.8734513969</v>
      </c>
      <c r="AA37" s="727"/>
    </row>
    <row r="38" spans="1:27">
      <c r="A38"/>
      <c r="B38" s="34" t="s">
        <v>47</v>
      </c>
      <c r="C38" s="822">
        <f>C36/C21</f>
        <v>0.52832797481548144</v>
      </c>
      <c r="D38" s="822">
        <f>D36/D21</f>
        <v>0.45244400545953944</v>
      </c>
      <c r="E38" s="822">
        <f>E36/E21</f>
        <v>0.53686674889483665</v>
      </c>
      <c r="F38" s="822">
        <f t="shared" ref="F38:I38" si="14">F36/F21</f>
        <v>0.51489811453596235</v>
      </c>
      <c r="G38" s="822">
        <f t="shared" si="14"/>
        <v>0.48485377257321871</v>
      </c>
      <c r="H38" s="822">
        <f t="shared" si="14"/>
        <v>0.45413273338975041</v>
      </c>
      <c r="I38" s="822">
        <f t="shared" si="14"/>
        <v>0.45593398272787211</v>
      </c>
      <c r="K38" s="37" t="s">
        <v>31</v>
      </c>
      <c r="M38" s="682" t="s">
        <v>640</v>
      </c>
      <c r="N38" s="686">
        <v>0</v>
      </c>
      <c r="O38" s="711" t="s">
        <v>609</v>
      </c>
      <c r="P38" s="725">
        <v>0</v>
      </c>
      <c r="Q38" s="725">
        <v>0</v>
      </c>
      <c r="R38" s="725">
        <v>0</v>
      </c>
      <c r="S38" s="725">
        <v>0</v>
      </c>
      <c r="T38" s="725">
        <v>0</v>
      </c>
      <c r="U38" s="725">
        <v>0</v>
      </c>
      <c r="V38" s="725">
        <v>0</v>
      </c>
      <c r="W38" s="725">
        <v>0</v>
      </c>
      <c r="X38" s="725">
        <v>0</v>
      </c>
      <c r="Y38" s="725">
        <v>0</v>
      </c>
      <c r="Z38" s="725">
        <v>0</v>
      </c>
      <c r="AA38" s="727"/>
    </row>
    <row r="39" spans="1:27">
      <c r="A39"/>
      <c r="B39" s="41"/>
      <c r="C39" s="399"/>
      <c r="D39" s="399"/>
      <c r="E39" s="399"/>
      <c r="F39" s="399"/>
      <c r="G39" s="399"/>
      <c r="H39" s="399"/>
      <c r="I39" s="399"/>
      <c r="K39" s="37" t="s">
        <v>31</v>
      </c>
      <c r="M39" s="735" t="s">
        <v>641</v>
      </c>
      <c r="N39" s="736">
        <v>64852.760000000009</v>
      </c>
      <c r="O39" s="737" t="s">
        <v>609</v>
      </c>
      <c r="P39" s="738">
        <v>39610.276621883779</v>
      </c>
      <c r="Q39" s="738">
        <v>21673.166579707638</v>
      </c>
      <c r="R39" s="738">
        <v>19922.581569368565</v>
      </c>
      <c r="S39" s="738">
        <v>20520.25901644964</v>
      </c>
      <c r="T39" s="738">
        <v>21135.866786943152</v>
      </c>
      <c r="U39" s="738">
        <v>21769.942790551475</v>
      </c>
      <c r="V39" s="738">
        <v>22423.041074268047</v>
      </c>
      <c r="W39" s="738">
        <v>23095.732306496113</v>
      </c>
      <c r="X39" s="738">
        <v>23788.60427569101</v>
      </c>
      <c r="Y39" s="738">
        <v>24502.262403961762</v>
      </c>
      <c r="Z39" s="738">
        <v>25237.330276080615</v>
      </c>
      <c r="AA39" s="727"/>
    </row>
    <row r="40" spans="1:27">
      <c r="A40"/>
      <c r="B40" s="46" t="s">
        <v>48</v>
      </c>
      <c r="C40" s="821">
        <f>C21-C36</f>
        <v>3348841.012565101</v>
      </c>
      <c r="D40" s="821">
        <f>D21-D36</f>
        <v>4626737</v>
      </c>
      <c r="E40" s="821">
        <f>E21-E36</f>
        <v>3147172.2873294316</v>
      </c>
      <c r="F40" s="821">
        <f t="shared" ref="F40:I40" si="15">F21-F36</f>
        <v>3468217.1835464728</v>
      </c>
      <c r="G40" s="821">
        <f t="shared" si="15"/>
        <v>4043534.9821682186</v>
      </c>
      <c r="H40" s="821">
        <f t="shared" si="15"/>
        <v>4731605.6073143687</v>
      </c>
      <c r="I40" s="821">
        <f t="shared" si="15"/>
        <v>4837011.2782202344</v>
      </c>
      <c r="M40" s="715" t="s">
        <v>616</v>
      </c>
      <c r="N40" s="716">
        <v>669581.9</v>
      </c>
      <c r="O40" s="717"/>
      <c r="P40" s="719">
        <v>740826.75073417393</v>
      </c>
      <c r="Q40" s="719">
        <v>821580.90052686783</v>
      </c>
      <c r="R40" s="719">
        <v>853412.94535494875</v>
      </c>
      <c r="S40" s="719">
        <v>879015.33371559728</v>
      </c>
      <c r="T40" s="719">
        <v>905385.79372706532</v>
      </c>
      <c r="U40" s="719">
        <v>932547.36753887741</v>
      </c>
      <c r="V40" s="719">
        <v>960523.78856504417</v>
      </c>
      <c r="W40" s="719">
        <v>989339.50222199573</v>
      </c>
      <c r="X40" s="719">
        <v>1019019.6872886557</v>
      </c>
      <c r="Y40" s="719">
        <v>1049590.2779073156</v>
      </c>
      <c r="Z40" s="719">
        <v>1081077.9862445351</v>
      </c>
      <c r="AA40" s="729"/>
    </row>
    <row r="41" spans="1:27">
      <c r="A41"/>
      <c r="B41" s="46"/>
      <c r="C41" s="373"/>
      <c r="D41" s="373"/>
      <c r="E41" s="373"/>
      <c r="F41" s="373"/>
      <c r="G41" s="373"/>
      <c r="H41" s="373"/>
      <c r="I41" s="373"/>
      <c r="K41" s="37" t="s">
        <v>31</v>
      </c>
      <c r="M41" s="636" t="s">
        <v>617</v>
      </c>
      <c r="N41" s="637"/>
      <c r="O41" s="711"/>
      <c r="P41" s="725">
        <v>-63985.500000000007</v>
      </c>
      <c r="Q41" s="725">
        <v>-76570.200000000041</v>
      </c>
      <c r="R41" s="725">
        <v>-70605.016800000012</v>
      </c>
      <c r="S41" s="725">
        <v>-34814.282219999994</v>
      </c>
      <c r="T41" s="725">
        <v>-35858.710686599989</v>
      </c>
      <c r="U41" s="725">
        <v>-36934.472007198005</v>
      </c>
      <c r="V41" s="725">
        <v>-38042.506167413936</v>
      </c>
      <c r="W41" s="725">
        <v>-39183.781352436345</v>
      </c>
      <c r="X41" s="725">
        <v>-40359.294793009438</v>
      </c>
      <c r="Y41" s="725">
        <v>-41570.073636799709</v>
      </c>
      <c r="Z41" s="725">
        <v>-42817.175845903723</v>
      </c>
      <c r="AA41" s="727"/>
    </row>
    <row r="42" spans="1:27">
      <c r="A42"/>
      <c r="B42" s="55" t="s">
        <v>49</v>
      </c>
      <c r="C42" s="136">
        <f>SUMIFS(N:N,$K:$K,$B:$B)</f>
        <v>61600</v>
      </c>
      <c r="D42" s="136">
        <f>'Stab. Appraisal CF'!B42</f>
        <v>83468</v>
      </c>
      <c r="E42" s="136">
        <f>SUMIFS(P:P,$K:$K,$B:$B)</f>
        <v>61600</v>
      </c>
      <c r="F42" s="136">
        <f>SUMIFS(Q:Q,$K:$K,$B:$B)</f>
        <v>61600</v>
      </c>
      <c r="G42" s="136">
        <f>SUMIFS(R:R,$K:$K,$B:$B)</f>
        <v>61600</v>
      </c>
      <c r="H42" s="136">
        <f>SUMIFS(S:S,$K:$K,$B:$B)</f>
        <v>61600</v>
      </c>
      <c r="I42" s="136">
        <f>SUMIFS(T:T,$K:$K,$B:$B)</f>
        <v>61600</v>
      </c>
      <c r="M42" s="715" t="s">
        <v>618</v>
      </c>
      <c r="N42" s="716">
        <v>669581.9</v>
      </c>
      <c r="O42" s="742"/>
      <c r="P42" s="719">
        <v>676841.25073417393</v>
      </c>
      <c r="Q42" s="719">
        <v>745010.70052686776</v>
      </c>
      <c r="R42" s="719">
        <v>782807.92855494877</v>
      </c>
      <c r="S42" s="719">
        <v>844201.05149559723</v>
      </c>
      <c r="T42" s="719">
        <v>869527.08304046537</v>
      </c>
      <c r="U42" s="719">
        <v>895612.89553167939</v>
      </c>
      <c r="V42" s="719">
        <v>922481.28239763028</v>
      </c>
      <c r="W42" s="719">
        <v>950155.72086955933</v>
      </c>
      <c r="X42" s="719">
        <v>978660.39249564626</v>
      </c>
      <c r="Y42" s="719">
        <v>1008020.2042705159</v>
      </c>
      <c r="Z42" s="719">
        <v>1038260.8103986314</v>
      </c>
      <c r="AA42" s="727"/>
    </row>
    <row r="43" spans="1:27" ht="13.5" thickBot="1">
      <c r="A43"/>
      <c r="B43" s="55" t="s">
        <v>50</v>
      </c>
      <c r="C43" s="367"/>
      <c r="D43" s="367"/>
      <c r="E43" s="367"/>
      <c r="F43" s="367"/>
      <c r="G43" s="367"/>
      <c r="H43" s="367"/>
      <c r="I43" s="367"/>
      <c r="M43" s="743"/>
      <c r="N43" s="744"/>
      <c r="O43" s="745"/>
      <c r="P43" s="746"/>
      <c r="Q43" s="746"/>
      <c r="R43" s="746"/>
      <c r="S43" s="746"/>
      <c r="T43" s="746"/>
      <c r="U43" s="746"/>
      <c r="V43" s="746"/>
      <c r="W43" s="746"/>
      <c r="X43" s="746"/>
      <c r="Y43" s="746"/>
      <c r="Z43" s="746"/>
      <c r="AA43" s="747"/>
    </row>
    <row r="44" spans="1:27" ht="13.5" thickBot="1">
      <c r="A44"/>
      <c r="B44" s="56" t="s">
        <v>51</v>
      </c>
      <c r="C44" s="821">
        <f>SUM(C42)</f>
        <v>61600</v>
      </c>
      <c r="D44" s="821">
        <f>SUM(D42)</f>
        <v>83468</v>
      </c>
      <c r="E44" s="821">
        <f>SUM(E42)</f>
        <v>61600</v>
      </c>
      <c r="F44" s="821">
        <f t="shared" ref="F44:I44" si="16">SUM(F42)</f>
        <v>61600</v>
      </c>
      <c r="G44" s="821">
        <f t="shared" si="16"/>
        <v>61600</v>
      </c>
      <c r="H44" s="821">
        <f t="shared" si="16"/>
        <v>61600</v>
      </c>
      <c r="I44" s="821">
        <f t="shared" si="16"/>
        <v>61600</v>
      </c>
      <c r="K44" s="46" t="s">
        <v>32</v>
      </c>
      <c r="M44" s="750" t="s">
        <v>359</v>
      </c>
      <c r="N44" s="751">
        <v>7099935.620000001</v>
      </c>
      <c r="O44" s="752"/>
      <c r="P44" s="753">
        <v>6795392.6430879515</v>
      </c>
      <c r="Q44" s="753">
        <v>7149461.3553786809</v>
      </c>
      <c r="R44" s="753">
        <v>7849295.5337481024</v>
      </c>
      <c r="S44" s="753">
        <v>8668051.551610522</v>
      </c>
      <c r="T44" s="753">
        <v>8890485.9422618281</v>
      </c>
      <c r="U44" s="753">
        <v>9108240.6749584451</v>
      </c>
      <c r="V44" s="753">
        <v>9381487.8952072058</v>
      </c>
      <c r="W44" s="753">
        <v>9662932.5320634339</v>
      </c>
      <c r="X44" s="753">
        <v>9952820.5080253445</v>
      </c>
      <c r="Y44" s="753">
        <v>10251405.123266114</v>
      </c>
      <c r="Z44" s="753">
        <v>10558947.276964108</v>
      </c>
      <c r="AA44" s="727"/>
    </row>
    <row r="45" spans="1:27">
      <c r="A45"/>
      <c r="B45" s="46"/>
      <c r="C45" s="404"/>
      <c r="D45" s="404"/>
      <c r="E45" s="404"/>
      <c r="F45" s="404"/>
      <c r="G45" s="404"/>
      <c r="H45" s="404"/>
      <c r="I45" s="404"/>
      <c r="M45" s="682" t="s">
        <v>613</v>
      </c>
      <c r="N45" s="756">
        <v>1920.9782521645022</v>
      </c>
      <c r="O45" s="711"/>
      <c r="P45" s="725">
        <v>1838.5802605757444</v>
      </c>
      <c r="Q45" s="725">
        <v>1934.3780723427169</v>
      </c>
      <c r="R45" s="725">
        <v>2123.7271465768677</v>
      </c>
      <c r="S45" s="725">
        <v>2345.2520431846651</v>
      </c>
      <c r="T45" s="725">
        <v>2405.4345081877241</v>
      </c>
      <c r="U45" s="725">
        <v>2464.350831969276</v>
      </c>
      <c r="V45" s="725">
        <v>2538.2813569283567</v>
      </c>
      <c r="W45" s="725">
        <v>2614.4297976362104</v>
      </c>
      <c r="X45" s="725">
        <v>2692.862691565299</v>
      </c>
      <c r="Y45" s="725">
        <v>2773.6485723122605</v>
      </c>
      <c r="Z45" s="725">
        <v>2856.8580294816311</v>
      </c>
      <c r="AA45" s="747"/>
    </row>
    <row r="46" spans="1:27">
      <c r="B46" s="56" t="s">
        <v>52</v>
      </c>
      <c r="C46" s="821">
        <f>C40-C44</f>
        <v>3287241.012565101</v>
      </c>
      <c r="D46" s="821">
        <f>D40-D44</f>
        <v>4543269</v>
      </c>
      <c r="E46" s="821">
        <f>E40-E44</f>
        <v>3085572.2873294316</v>
      </c>
      <c r="F46" s="821">
        <f t="shared" ref="F46:I46" si="17">F40-F44</f>
        <v>3406617.1835464728</v>
      </c>
      <c r="G46" s="821">
        <f t="shared" si="17"/>
        <v>3981934.9821682186</v>
      </c>
      <c r="H46" s="821">
        <f t="shared" si="17"/>
        <v>4670005.6073143687</v>
      </c>
      <c r="I46" s="821">
        <f t="shared" si="17"/>
        <v>4775411.2782202344</v>
      </c>
      <c r="M46" s="682" t="s">
        <v>619</v>
      </c>
      <c r="N46" s="757" t="s">
        <v>482</v>
      </c>
      <c r="O46" s="711"/>
      <c r="P46" s="758">
        <v>-4.2893765973620157E-2</v>
      </c>
      <c r="Q46" s="758">
        <v>5.2104231629775954E-2</v>
      </c>
      <c r="R46" s="758">
        <v>9.7886280319974484E-2</v>
      </c>
      <c r="S46" s="758">
        <v>0.10430949049404137</v>
      </c>
      <c r="T46" s="758">
        <v>2.5661406064201087E-2</v>
      </c>
      <c r="U46" s="758">
        <v>2.4493006806466822E-2</v>
      </c>
      <c r="V46" s="758">
        <v>3.0000000000000693E-2</v>
      </c>
      <c r="W46" s="758">
        <v>3.0000000000001359E-2</v>
      </c>
      <c r="X46" s="758">
        <v>3.0000000000000693E-2</v>
      </c>
      <c r="Y46" s="758">
        <v>3.0000000000000915E-2</v>
      </c>
      <c r="Z46" s="758">
        <v>3.0000000000000915E-2</v>
      </c>
      <c r="AA46" s="747"/>
    </row>
    <row r="47" spans="1:27">
      <c r="B47" s="46"/>
      <c r="C47" s="405"/>
      <c r="D47" s="405"/>
      <c r="E47" s="405"/>
      <c r="F47" s="405"/>
      <c r="G47" s="405"/>
      <c r="H47" s="405"/>
      <c r="I47" s="405"/>
      <c r="M47" s="735" t="s">
        <v>620</v>
      </c>
      <c r="N47" s="760">
        <v>7.6169491237088535E-2</v>
      </c>
      <c r="O47" s="737"/>
      <c r="P47" s="761">
        <v>0.14126684036479306</v>
      </c>
      <c r="Q47" s="761">
        <v>0.15141132790654324</v>
      </c>
      <c r="R47" s="761">
        <v>0.12248367876716036</v>
      </c>
      <c r="S47" s="761">
        <v>6.5965126807573854E-2</v>
      </c>
      <c r="T47" s="761">
        <v>6.5965126807573812E-2</v>
      </c>
      <c r="U47" s="761">
        <v>6.5965126807573812E-2</v>
      </c>
      <c r="V47" s="761">
        <v>6.596512680757384E-2</v>
      </c>
      <c r="W47" s="761">
        <v>6.5965126807573826E-2</v>
      </c>
      <c r="X47" s="761">
        <v>6.596512680757384E-2</v>
      </c>
      <c r="Y47" s="761">
        <v>6.5965126807573826E-2</v>
      </c>
      <c r="Z47" s="761">
        <v>6.5965126807573812E-2</v>
      </c>
      <c r="AA47" s="762"/>
    </row>
    <row r="48" spans="1:27">
      <c r="B48" s="34" t="s">
        <v>651</v>
      </c>
      <c r="C48" s="238">
        <v>3102916.4997299998</v>
      </c>
      <c r="D48" s="821">
        <f>H48</f>
        <v>3101370.451969998</v>
      </c>
      <c r="E48" s="238">
        <v>2962470.6125462544</v>
      </c>
      <c r="F48" s="238">
        <v>2818742.7098348504</v>
      </c>
      <c r="G48" s="238">
        <v>2982135.3411511644</v>
      </c>
      <c r="H48" s="238">
        <v>3101370.451969998</v>
      </c>
      <c r="I48" s="238">
        <v>3185623.0422899984</v>
      </c>
      <c r="M48" s="682"/>
      <c r="N48" s="764"/>
      <c r="O48" s="765"/>
      <c r="P48" s="766"/>
      <c r="Q48" s="766"/>
      <c r="R48" s="766"/>
      <c r="S48" s="766"/>
      <c r="T48" s="766"/>
      <c r="U48" s="766"/>
      <c r="V48" s="766"/>
      <c r="W48" s="767"/>
      <c r="X48" s="767"/>
      <c r="Y48" s="767"/>
      <c r="Z48" s="767"/>
      <c r="AA48" s="656"/>
    </row>
    <row r="49" spans="2:27">
      <c r="B49" s="34"/>
      <c r="C49" s="417"/>
      <c r="D49" s="417"/>
      <c r="E49" s="417"/>
      <c r="F49" s="417"/>
      <c r="G49" s="417"/>
      <c r="H49" s="417"/>
      <c r="I49" s="417"/>
      <c r="K49" s="34" t="s">
        <v>34</v>
      </c>
      <c r="M49" s="770" t="s">
        <v>72</v>
      </c>
      <c r="N49" s="771"/>
      <c r="O49" s="731"/>
      <c r="P49" s="772"/>
      <c r="Q49" s="772"/>
      <c r="R49" s="772"/>
      <c r="S49" s="772"/>
      <c r="T49" s="773"/>
      <c r="U49" s="773"/>
      <c r="V49" s="767"/>
      <c r="W49" s="682"/>
      <c r="X49" s="682"/>
      <c r="Y49" s="682"/>
      <c r="Z49" s="682"/>
      <c r="AA49" s="656"/>
    </row>
    <row r="50" spans="2:27">
      <c r="B50" s="34" t="s">
        <v>652</v>
      </c>
      <c r="C50" s="238">
        <v>2629792.810052081</v>
      </c>
      <c r="D50" s="821">
        <f>H50</f>
        <v>3736004.4858514951</v>
      </c>
      <c r="E50" s="238">
        <v>2468457.8298635455</v>
      </c>
      <c r="F50" s="238">
        <v>2725293.7468371773</v>
      </c>
      <c r="G50" s="238">
        <v>3185547.9857345754</v>
      </c>
      <c r="H50" s="238">
        <v>3736004.4858514951</v>
      </c>
      <c r="I50" s="238">
        <v>3820329.0225761877</v>
      </c>
      <c r="K50" s="34"/>
      <c r="M50" s="770"/>
      <c r="N50" s="771"/>
      <c r="O50" s="731"/>
      <c r="P50" s="772"/>
      <c r="Q50" s="772"/>
      <c r="R50" s="772"/>
      <c r="S50" s="772"/>
      <c r="T50" s="773"/>
      <c r="U50" s="773"/>
      <c r="V50" s="767"/>
      <c r="W50" s="682"/>
      <c r="X50" s="682"/>
      <c r="Y50" s="682"/>
      <c r="Z50" s="682"/>
      <c r="AA50" s="656"/>
    </row>
    <row r="51" spans="2:27">
      <c r="B51" s="34"/>
      <c r="C51" s="417"/>
      <c r="D51" s="417"/>
      <c r="E51" s="417"/>
      <c r="F51" s="417"/>
      <c r="G51" s="417"/>
      <c r="H51" s="417"/>
      <c r="I51" s="417"/>
      <c r="K51" s="34"/>
      <c r="M51" s="770"/>
      <c r="N51" s="771"/>
      <c r="O51" s="731"/>
      <c r="P51" s="772"/>
      <c r="Q51" s="772"/>
      <c r="R51" s="772"/>
      <c r="S51" s="772"/>
      <c r="T51" s="773"/>
      <c r="U51" s="773"/>
      <c r="V51" s="767"/>
      <c r="W51" s="682"/>
      <c r="X51" s="682"/>
      <c r="Y51" s="682"/>
      <c r="Z51" s="682"/>
      <c r="AA51" s="656"/>
    </row>
    <row r="52" spans="2:27">
      <c r="B52" s="34" t="s">
        <v>54</v>
      </c>
      <c r="C52" s="821">
        <f>C46-C48</f>
        <v>184324.51283510122</v>
      </c>
      <c r="D52" s="821">
        <f>D46-D48</f>
        <v>1441898.548030002</v>
      </c>
      <c r="E52" s="821">
        <f>E46-E48</f>
        <v>123101.67478317721</v>
      </c>
      <c r="F52" s="821">
        <f t="shared" ref="F52:I52" si="18">F46-F48</f>
        <v>587874.47371162241</v>
      </c>
      <c r="G52" s="821">
        <f t="shared" si="18"/>
        <v>999799.64101705421</v>
      </c>
      <c r="H52" s="821">
        <f t="shared" si="18"/>
        <v>1568635.1553443708</v>
      </c>
      <c r="I52" s="821">
        <f t="shared" si="18"/>
        <v>1589788.2359302361</v>
      </c>
      <c r="K52" s="37" t="s">
        <v>40</v>
      </c>
      <c r="M52" s="682" t="s">
        <v>358</v>
      </c>
      <c r="N52" s="686">
        <v>688888.3899999999</v>
      </c>
      <c r="O52" s="711" t="s">
        <v>615</v>
      </c>
      <c r="P52" s="635">
        <v>646800</v>
      </c>
      <c r="Q52" s="638">
        <v>679140</v>
      </c>
      <c r="R52" s="635">
        <v>699514.20000000007</v>
      </c>
      <c r="S52" s="635">
        <v>720499.62600000005</v>
      </c>
      <c r="T52" s="635">
        <v>742114.61478000006</v>
      </c>
      <c r="U52" s="635">
        <v>764378.05322340003</v>
      </c>
      <c r="V52" s="635">
        <v>787309.39482010202</v>
      </c>
      <c r="W52" s="635">
        <v>810928.67666470516</v>
      </c>
      <c r="X52" s="635">
        <v>835256.53696464631</v>
      </c>
      <c r="Y52" s="635">
        <v>860314.23307358567</v>
      </c>
      <c r="Z52" s="635">
        <v>886123.66006579332</v>
      </c>
      <c r="AA52" s="775"/>
    </row>
    <row r="53" spans="2:27">
      <c r="B53" s="34"/>
      <c r="C53" s="414"/>
      <c r="D53" s="414"/>
      <c r="E53" s="414"/>
      <c r="F53" s="414"/>
      <c r="G53" s="414"/>
      <c r="H53" s="414"/>
      <c r="I53" s="414"/>
      <c r="K53" s="41" t="s">
        <v>37</v>
      </c>
      <c r="M53" s="682" t="s">
        <v>366</v>
      </c>
      <c r="N53" s="686">
        <v>378063.92</v>
      </c>
      <c r="O53" s="711" t="s">
        <v>615</v>
      </c>
      <c r="P53" s="635">
        <v>369600</v>
      </c>
      <c r="Q53" s="638">
        <v>388080</v>
      </c>
      <c r="R53" s="638">
        <v>399722.4</v>
      </c>
      <c r="S53" s="638">
        <v>411714.07200000004</v>
      </c>
      <c r="T53" s="638">
        <v>424065.49416000006</v>
      </c>
      <c r="U53" s="638">
        <v>436787.45898480009</v>
      </c>
      <c r="V53" s="638">
        <v>449891.0827543441</v>
      </c>
      <c r="W53" s="638">
        <v>463387.81523697445</v>
      </c>
      <c r="X53" s="638">
        <v>477289.44969408371</v>
      </c>
      <c r="Y53" s="638">
        <v>491608.13318490621</v>
      </c>
      <c r="Z53" s="638">
        <v>506356.37718045339</v>
      </c>
      <c r="AA53" s="776"/>
    </row>
    <row r="54" spans="2:27">
      <c r="B54" s="46" t="s">
        <v>451</v>
      </c>
      <c r="C54" s="426">
        <f>C46/C48</f>
        <v>1.0594036329534295</v>
      </c>
      <c r="D54" s="426">
        <f>D46/D48</f>
        <v>1.4649230301120928</v>
      </c>
      <c r="E54" s="426">
        <f t="shared" ref="E54:I54" si="19">E46/E48</f>
        <v>1.0415537201489302</v>
      </c>
      <c r="F54" s="426">
        <f t="shared" si="19"/>
        <v>1.2085591110038085</v>
      </c>
      <c r="G54" s="426">
        <f t="shared" si="19"/>
        <v>1.3352630000458368</v>
      </c>
      <c r="H54" s="426">
        <f t="shared" si="19"/>
        <v>1.5057877411413298</v>
      </c>
      <c r="I54" s="426">
        <f t="shared" si="19"/>
        <v>1.4990509595220061</v>
      </c>
      <c r="K54" s="41" t="s">
        <v>38</v>
      </c>
      <c r="M54" s="682" t="s">
        <v>642</v>
      </c>
      <c r="N54" s="686">
        <v>124683.2</v>
      </c>
      <c r="O54" s="711" t="s">
        <v>615</v>
      </c>
      <c r="P54" s="635">
        <v>123200</v>
      </c>
      <c r="Q54" s="638">
        <v>129360</v>
      </c>
      <c r="R54" s="638">
        <v>133240.80000000002</v>
      </c>
      <c r="S54" s="638">
        <v>137238.02400000003</v>
      </c>
      <c r="T54" s="638">
        <v>141355.16472000003</v>
      </c>
      <c r="U54" s="638">
        <v>145595.81966160002</v>
      </c>
      <c r="V54" s="638">
        <v>149963.69425144803</v>
      </c>
      <c r="W54" s="638">
        <v>154462.60507899147</v>
      </c>
      <c r="X54" s="638">
        <v>159096.48323136123</v>
      </c>
      <c r="Y54" s="638">
        <v>163869.37772830206</v>
      </c>
      <c r="Z54" s="638">
        <v>168785.45906015113</v>
      </c>
      <c r="AA54" s="776"/>
    </row>
    <row r="55" spans="2:27">
      <c r="B55" s="46"/>
      <c r="C55" s="419"/>
      <c r="D55" s="419"/>
      <c r="E55" s="419"/>
      <c r="F55" s="419"/>
      <c r="G55" s="419"/>
      <c r="H55" s="419"/>
      <c r="I55" s="419"/>
      <c r="K55" s="41" t="s">
        <v>38</v>
      </c>
      <c r="M55" s="682" t="s">
        <v>643</v>
      </c>
      <c r="N55" s="686">
        <v>40277.85</v>
      </c>
      <c r="O55" s="711" t="s">
        <v>615</v>
      </c>
      <c r="P55" s="635">
        <v>77000</v>
      </c>
      <c r="Q55" s="638">
        <v>80850</v>
      </c>
      <c r="R55" s="638">
        <v>83275.5</v>
      </c>
      <c r="S55" s="638">
        <v>85773.764999999999</v>
      </c>
      <c r="T55" s="638">
        <v>88346.97795</v>
      </c>
      <c r="U55" s="638">
        <v>90997.387288500002</v>
      </c>
      <c r="V55" s="638">
        <v>93727.308907155006</v>
      </c>
      <c r="W55" s="638">
        <v>96539.12817436966</v>
      </c>
      <c r="X55" s="638">
        <v>99435.302019600756</v>
      </c>
      <c r="Y55" s="638">
        <v>102418.36108018878</v>
      </c>
      <c r="Z55" s="638">
        <v>105490.91191259446</v>
      </c>
      <c r="AA55" s="776"/>
    </row>
    <row r="56" spans="2:27">
      <c r="B56" s="46" t="s">
        <v>452</v>
      </c>
      <c r="C56" s="426">
        <f>C46/C50</f>
        <v>1.25</v>
      </c>
      <c r="D56" s="426">
        <f>D46/D50</f>
        <v>1.2160769659687698</v>
      </c>
      <c r="E56" s="426">
        <f t="shared" ref="E56:I56" si="20">E46/E50</f>
        <v>1.25</v>
      </c>
      <c r="F56" s="426">
        <f t="shared" si="20"/>
        <v>1.2500000000000004</v>
      </c>
      <c r="G56" s="426">
        <f t="shared" si="20"/>
        <v>1.2499999999999998</v>
      </c>
      <c r="H56" s="426">
        <f t="shared" si="20"/>
        <v>1.25</v>
      </c>
      <c r="I56" s="426">
        <f t="shared" si="20"/>
        <v>1.25</v>
      </c>
      <c r="K56" s="41" t="s">
        <v>38</v>
      </c>
      <c r="M56" s="682" t="s">
        <v>644</v>
      </c>
      <c r="N56" s="686">
        <v>193416.05</v>
      </c>
      <c r="O56" s="711" t="s">
        <v>615</v>
      </c>
      <c r="P56" s="635">
        <v>177100</v>
      </c>
      <c r="Q56" s="638">
        <v>185955</v>
      </c>
      <c r="R56" s="638">
        <v>191533.65</v>
      </c>
      <c r="S56" s="638">
        <v>197279.65950000001</v>
      </c>
      <c r="T56" s="638">
        <v>203198.04928500002</v>
      </c>
      <c r="U56" s="638">
        <v>209293.99076355001</v>
      </c>
      <c r="V56" s="638">
        <v>215572.81048645652</v>
      </c>
      <c r="W56" s="638">
        <v>222039.99480105023</v>
      </c>
      <c r="X56" s="638">
        <v>228701.19464508173</v>
      </c>
      <c r="Y56" s="638">
        <v>235562.2304844342</v>
      </c>
      <c r="Z56" s="638">
        <v>242629.09739896722</v>
      </c>
      <c r="AA56" s="776"/>
    </row>
    <row r="57" spans="2:27">
      <c r="B57" s="46"/>
      <c r="C57" s="415"/>
      <c r="D57" s="415"/>
      <c r="E57" s="415"/>
      <c r="F57" s="415"/>
      <c r="G57" s="415"/>
      <c r="H57" s="415"/>
      <c r="I57" s="415"/>
      <c r="K57" s="41" t="s">
        <v>41</v>
      </c>
      <c r="M57" s="682" t="s">
        <v>365</v>
      </c>
      <c r="N57" s="686">
        <v>265543.05999999994</v>
      </c>
      <c r="O57" s="711" t="s">
        <v>615</v>
      </c>
      <c r="P57" s="635">
        <v>261800</v>
      </c>
      <c r="Q57" s="638">
        <v>154000</v>
      </c>
      <c r="R57" s="638">
        <v>158620</v>
      </c>
      <c r="S57" s="638">
        <v>163378.6</v>
      </c>
      <c r="T57" s="638">
        <v>168279.95800000001</v>
      </c>
      <c r="U57" s="638">
        <v>173328.35674000002</v>
      </c>
      <c r="V57" s="638">
        <v>178528.20744220002</v>
      </c>
      <c r="W57" s="638">
        <v>183884.05366546602</v>
      </c>
      <c r="X57" s="638">
        <v>189400.57527543002</v>
      </c>
      <c r="Y57" s="638">
        <v>195082.59253369292</v>
      </c>
      <c r="Z57" s="638">
        <v>200935.0703097037</v>
      </c>
      <c r="AA57" s="776"/>
    </row>
    <row r="58" spans="2:27">
      <c r="B58" s="46" t="s">
        <v>454</v>
      </c>
      <c r="C58" s="823">
        <f>C46/C6</f>
        <v>6.9628562193321086E-2</v>
      </c>
      <c r="D58" s="823">
        <f>D46/D6</f>
        <v>8.4959663846689015E-2</v>
      </c>
      <c r="E58" s="823">
        <f>E46/E6</f>
        <v>6.1806380614773039E-2</v>
      </c>
      <c r="F58" s="823">
        <f t="shared" ref="F58:I58" si="21">F46/F6</f>
        <v>6.5488109847729362E-2</v>
      </c>
      <c r="G58" s="823">
        <f t="shared" si="21"/>
        <v>7.4462651791998999E-2</v>
      </c>
      <c r="H58" s="823">
        <f t="shared" si="21"/>
        <v>8.7329653287001402E-2</v>
      </c>
      <c r="I58" s="823">
        <f t="shared" si="21"/>
        <v>8.9300751711439197E-2</v>
      </c>
      <c r="K58" s="37" t="s">
        <v>43</v>
      </c>
      <c r="M58" s="682" t="s">
        <v>645</v>
      </c>
      <c r="N58" s="686">
        <v>122141.05999999998</v>
      </c>
      <c r="O58" s="711" t="s">
        <v>615</v>
      </c>
      <c r="P58" s="635">
        <v>123200</v>
      </c>
      <c r="Q58" s="638">
        <v>129360</v>
      </c>
      <c r="R58" s="638">
        <v>133240.80000000002</v>
      </c>
      <c r="S58" s="638">
        <v>137238.02400000003</v>
      </c>
      <c r="T58" s="638">
        <v>141355.16472000003</v>
      </c>
      <c r="U58" s="638">
        <v>145595.81966160002</v>
      </c>
      <c r="V58" s="638">
        <v>149963.69425144803</v>
      </c>
      <c r="W58" s="638">
        <v>154462.60507899147</v>
      </c>
      <c r="X58" s="638">
        <v>159096.48323136123</v>
      </c>
      <c r="Y58" s="638">
        <v>163869.37772830206</v>
      </c>
      <c r="Z58" s="638">
        <v>168785.45906015113</v>
      </c>
      <c r="AA58" s="776"/>
    </row>
    <row r="59" spans="2:27">
      <c r="E59" s="126"/>
      <c r="F59" s="126"/>
      <c r="G59" s="126"/>
      <c r="K59" s="41" t="s">
        <v>38</v>
      </c>
      <c r="M59" s="682" t="s">
        <v>646</v>
      </c>
      <c r="N59" s="686">
        <v>0</v>
      </c>
      <c r="O59" s="711" t="s">
        <v>615</v>
      </c>
      <c r="P59" s="635">
        <v>0</v>
      </c>
      <c r="Q59" s="638">
        <v>0</v>
      </c>
      <c r="R59" s="638">
        <v>0</v>
      </c>
      <c r="S59" s="638">
        <v>0</v>
      </c>
      <c r="T59" s="638">
        <v>0</v>
      </c>
      <c r="U59" s="638">
        <v>0</v>
      </c>
      <c r="V59" s="638">
        <v>0</v>
      </c>
      <c r="W59" s="638">
        <v>0</v>
      </c>
      <c r="X59" s="638">
        <v>0</v>
      </c>
      <c r="Y59" s="638">
        <v>0</v>
      </c>
      <c r="Z59" s="638">
        <v>0</v>
      </c>
      <c r="AA59" s="776"/>
    </row>
    <row r="60" spans="2:27">
      <c r="E60" s="126"/>
      <c r="F60" s="126"/>
      <c r="G60" s="126"/>
      <c r="K60" s="37" t="s">
        <v>44</v>
      </c>
      <c r="M60" s="682" t="s">
        <v>647</v>
      </c>
      <c r="N60" s="686">
        <v>59939.109999999986</v>
      </c>
      <c r="O60" s="711" t="s">
        <v>615</v>
      </c>
      <c r="P60" s="635">
        <v>0</v>
      </c>
      <c r="Q60" s="638">
        <v>0</v>
      </c>
      <c r="R60" s="638">
        <v>0</v>
      </c>
      <c r="S60" s="638">
        <v>0</v>
      </c>
      <c r="T60" s="638">
        <v>0</v>
      </c>
      <c r="U60" s="638">
        <v>0</v>
      </c>
      <c r="V60" s="638">
        <v>0</v>
      </c>
      <c r="W60" s="638">
        <v>0</v>
      </c>
      <c r="X60" s="638">
        <v>0</v>
      </c>
      <c r="Y60" s="638">
        <v>0</v>
      </c>
      <c r="Z60" s="638">
        <v>0</v>
      </c>
      <c r="AA60" s="776"/>
    </row>
    <row r="61" spans="2:27">
      <c r="E61" s="126"/>
      <c r="F61" s="126"/>
      <c r="G61" s="126"/>
      <c r="K61" s="55" t="s">
        <v>49</v>
      </c>
      <c r="M61" s="682" t="s">
        <v>179</v>
      </c>
      <c r="N61" s="686">
        <v>61600</v>
      </c>
      <c r="O61" s="711" t="s">
        <v>614</v>
      </c>
      <c r="P61" s="635">
        <v>61600</v>
      </c>
      <c r="Q61" s="638">
        <v>61600</v>
      </c>
      <c r="R61" s="638">
        <v>61600</v>
      </c>
      <c r="S61" s="638">
        <v>61600</v>
      </c>
      <c r="T61" s="638">
        <v>61600</v>
      </c>
      <c r="U61" s="638">
        <v>61600</v>
      </c>
      <c r="V61" s="638">
        <v>61600</v>
      </c>
      <c r="W61" s="638">
        <v>61600</v>
      </c>
      <c r="X61" s="638">
        <v>61600</v>
      </c>
      <c r="Y61" s="638">
        <v>61600</v>
      </c>
      <c r="Z61" s="638">
        <v>61600</v>
      </c>
      <c r="AA61" s="776"/>
    </row>
    <row r="62" spans="2:27">
      <c r="E62" s="126"/>
      <c r="F62" s="126"/>
      <c r="G62" s="126"/>
      <c r="K62" s="37" t="s">
        <v>35</v>
      </c>
      <c r="M62" s="682" t="s">
        <v>648</v>
      </c>
      <c r="N62" s="686">
        <v>23500.786902200005</v>
      </c>
      <c r="O62" s="777">
        <v>3.31E-3</v>
      </c>
      <c r="P62" s="635">
        <v>22492.74964862112</v>
      </c>
      <c r="Q62" s="638">
        <v>23664.717086303441</v>
      </c>
      <c r="R62" s="638">
        <v>25981.168216706224</v>
      </c>
      <c r="S62" s="638">
        <v>28691.250635830835</v>
      </c>
      <c r="T62" s="638">
        <v>29427.508468886648</v>
      </c>
      <c r="U62" s="638">
        <v>30148.276634112448</v>
      </c>
      <c r="V62" s="638">
        <v>31052.724933135851</v>
      </c>
      <c r="W62" s="638">
        <v>31984.306681129961</v>
      </c>
      <c r="X62" s="638">
        <v>32943.835881563886</v>
      </c>
      <c r="Y62" s="638">
        <v>33932.150958010847</v>
      </c>
      <c r="Z62" s="638">
        <v>34950.115486751194</v>
      </c>
      <c r="AA62" s="778"/>
    </row>
    <row r="63" spans="2:27">
      <c r="E63" s="51"/>
      <c r="F63" s="124"/>
      <c r="G63" s="51"/>
      <c r="K63" s="37" t="s">
        <v>35</v>
      </c>
      <c r="M63" s="682" t="s">
        <v>649</v>
      </c>
      <c r="N63" s="686">
        <v>1461542.7900326999</v>
      </c>
      <c r="O63" s="711" t="s">
        <v>614</v>
      </c>
      <c r="P63" s="635">
        <v>1461542.7900326999</v>
      </c>
      <c r="Q63" s="638">
        <v>1505717.9208614381</v>
      </c>
      <c r="R63" s="638">
        <v>1551228.2450194748</v>
      </c>
      <c r="S63" s="638">
        <v>1597765.0923700591</v>
      </c>
      <c r="T63" s="638">
        <v>1645698.045141161</v>
      </c>
      <c r="U63" s="638">
        <v>1695068.9864953959</v>
      </c>
      <c r="V63" s="638">
        <v>1745921.0560902578</v>
      </c>
      <c r="W63" s="638">
        <v>1798298.6877729655</v>
      </c>
      <c r="X63" s="638">
        <v>1852247.6484061545</v>
      </c>
      <c r="Y63" s="638">
        <v>1907815.0778583391</v>
      </c>
      <c r="Z63" s="638">
        <v>1965049.5301940893</v>
      </c>
      <c r="AA63" s="778"/>
    </row>
    <row r="64" spans="2:27">
      <c r="K64" s="37" t="s">
        <v>35</v>
      </c>
      <c r="M64" s="779" t="s">
        <v>621</v>
      </c>
      <c r="N64" s="780">
        <v>0</v>
      </c>
      <c r="O64" s="717"/>
      <c r="P64" s="781">
        <v>0</v>
      </c>
      <c r="Q64" s="782">
        <v>0</v>
      </c>
      <c r="R64" s="782">
        <v>0</v>
      </c>
      <c r="S64" s="782">
        <v>0</v>
      </c>
      <c r="T64" s="782">
        <v>0</v>
      </c>
      <c r="U64" s="639">
        <v>0</v>
      </c>
      <c r="V64" s="639">
        <v>0</v>
      </c>
      <c r="W64" s="639">
        <v>0</v>
      </c>
      <c r="X64" s="639">
        <v>0</v>
      </c>
      <c r="Y64" s="639">
        <v>0</v>
      </c>
      <c r="Z64" s="639">
        <v>0</v>
      </c>
      <c r="AA64" s="778"/>
    </row>
    <row r="65" spans="11:27">
      <c r="K65" s="37" t="s">
        <v>39</v>
      </c>
      <c r="M65" s="682" t="s">
        <v>215</v>
      </c>
      <c r="N65" s="686">
        <v>177498.39050000004</v>
      </c>
      <c r="O65" s="784">
        <v>2.5000000000000001E-2</v>
      </c>
      <c r="P65" s="635">
        <v>169884.8160771988</v>
      </c>
      <c r="Q65" s="635">
        <v>178736.53388446703</v>
      </c>
      <c r="R65" s="635">
        <v>196232.38834370257</v>
      </c>
      <c r="S65" s="635">
        <v>216701.28879026312</v>
      </c>
      <c r="T65" s="635">
        <v>222262.1485565457</v>
      </c>
      <c r="U65" s="635">
        <v>227706.01687396105</v>
      </c>
      <c r="V65" s="635">
        <v>234537.19738018015</v>
      </c>
      <c r="W65" s="635">
        <v>241573.31330158585</v>
      </c>
      <c r="X65" s="635">
        <v>248820.51270063364</v>
      </c>
      <c r="Y65" s="635">
        <v>256285.12808165289</v>
      </c>
      <c r="Z65" s="635">
        <v>263973.68192410271</v>
      </c>
      <c r="AA65" s="778"/>
    </row>
    <row r="66" spans="11:27">
      <c r="K66" s="37" t="s">
        <v>36</v>
      </c>
      <c r="M66" s="682" t="s">
        <v>99</v>
      </c>
      <c r="N66" s="686">
        <v>215600</v>
      </c>
      <c r="O66" s="711" t="s">
        <v>614</v>
      </c>
      <c r="P66" s="635">
        <v>215600</v>
      </c>
      <c r="Q66" s="635">
        <v>226380</v>
      </c>
      <c r="R66" s="635">
        <v>233171.4</v>
      </c>
      <c r="S66" s="635">
        <v>240166.54199999999</v>
      </c>
      <c r="T66" s="635">
        <v>247371.53826</v>
      </c>
      <c r="U66" s="635">
        <v>254792.6844078</v>
      </c>
      <c r="V66" s="635">
        <v>262436.46494003403</v>
      </c>
      <c r="W66" s="635">
        <v>270309.55888823507</v>
      </c>
      <c r="X66" s="635">
        <v>278418.84565488214</v>
      </c>
      <c r="Y66" s="635">
        <v>286771.41102452861</v>
      </c>
      <c r="Z66" s="635">
        <v>295374.55335526448</v>
      </c>
      <c r="AA66" s="747"/>
    </row>
    <row r="67" spans="11:27">
      <c r="K67" s="46" t="s">
        <v>46</v>
      </c>
      <c r="M67" s="715" t="s">
        <v>356</v>
      </c>
      <c r="N67" s="716">
        <v>3812694.6074349</v>
      </c>
      <c r="O67" s="718"/>
      <c r="P67" s="719">
        <v>3709820.3557585198</v>
      </c>
      <c r="Q67" s="719">
        <v>3742844.171832209</v>
      </c>
      <c r="R67" s="719">
        <v>3867360.5515798833</v>
      </c>
      <c r="S67" s="719">
        <v>3998045.9442961533</v>
      </c>
      <c r="T67" s="719">
        <v>4115074.6640415932</v>
      </c>
      <c r="U67" s="719">
        <v>4235292.8507347191</v>
      </c>
      <c r="V67" s="719">
        <v>4360503.6362567618</v>
      </c>
      <c r="W67" s="719">
        <v>4489470.7453444656</v>
      </c>
      <c r="X67" s="719">
        <v>4622306.8677047994</v>
      </c>
      <c r="Y67" s="719">
        <v>4759128.073735944</v>
      </c>
      <c r="Z67" s="719">
        <v>4900053.9159480231</v>
      </c>
      <c r="AA67" s="727"/>
    </row>
    <row r="68" spans="11:27">
      <c r="M68" s="682" t="s">
        <v>622</v>
      </c>
      <c r="N68" s="686">
        <v>12378.878595567858</v>
      </c>
      <c r="O68" s="742"/>
      <c r="P68" s="725">
        <v>12044.871284930259</v>
      </c>
      <c r="Q68" s="725">
        <v>12152.091466987691</v>
      </c>
      <c r="R68" s="725">
        <v>12556.365427207413</v>
      </c>
      <c r="S68" s="725">
        <v>12980.668650312185</v>
      </c>
      <c r="T68" s="725">
        <v>13360.63202610907</v>
      </c>
      <c r="U68" s="725">
        <v>13750.950814073763</v>
      </c>
      <c r="V68" s="725">
        <v>14157.479338495979</v>
      </c>
      <c r="W68" s="725">
        <v>14576.203718650862</v>
      </c>
      <c r="X68" s="725">
        <v>15007.489830210388</v>
      </c>
      <c r="Y68" s="725">
        <v>15451.714525116702</v>
      </c>
      <c r="Z68" s="725">
        <v>15909.265960870205</v>
      </c>
      <c r="AA68" s="727"/>
    </row>
    <row r="69" spans="11:27">
      <c r="M69" s="682" t="s">
        <v>623</v>
      </c>
      <c r="N69" s="785">
        <v>12.819917040237859</v>
      </c>
      <c r="O69" s="786"/>
      <c r="P69" s="787">
        <v>12.474009615736573</v>
      </c>
      <c r="Q69" s="787">
        <v>12.585049870991005</v>
      </c>
      <c r="R69" s="787">
        <v>13.00372742659777</v>
      </c>
      <c r="S69" s="787">
        <v>13.443147853748279</v>
      </c>
      <c r="T69" s="787">
        <v>13.836648680050011</v>
      </c>
      <c r="U69" s="787">
        <v>14.240873864288035</v>
      </c>
      <c r="V69" s="787">
        <v>14.661886310395158</v>
      </c>
      <c r="W69" s="787">
        <v>15.095529129885495</v>
      </c>
      <c r="X69" s="787">
        <v>15.542181233960537</v>
      </c>
      <c r="Y69" s="787">
        <v>16.002232901157832</v>
      </c>
      <c r="Z69" s="787">
        <v>16.476086118371047</v>
      </c>
      <c r="AA69" s="747"/>
    </row>
    <row r="70" spans="11:27">
      <c r="K70" s="34" t="s">
        <v>47</v>
      </c>
      <c r="M70" s="640" t="s">
        <v>624</v>
      </c>
      <c r="N70" s="641">
        <v>0.53700410982528024</v>
      </c>
      <c r="O70" s="737"/>
      <c r="P70" s="642">
        <v>0.5459317144141812</v>
      </c>
      <c r="Q70" s="642">
        <v>0.5235141482394885</v>
      </c>
      <c r="R70" s="642">
        <v>0.49270161060341516</v>
      </c>
      <c r="S70" s="642">
        <v>0.46123929010935766</v>
      </c>
      <c r="T70" s="642">
        <v>0.46286273784880166</v>
      </c>
      <c r="U70" s="642">
        <v>0.46499571123311823</v>
      </c>
      <c r="V70" s="642">
        <v>0.46479872755412782</v>
      </c>
      <c r="W70" s="642">
        <v>0.46460748126384555</v>
      </c>
      <c r="X70" s="642">
        <v>0.4644218052538629</v>
      </c>
      <c r="Y70" s="642">
        <v>0.46424153728300599</v>
      </c>
      <c r="Z70" s="642">
        <v>0.46406651983557201</v>
      </c>
      <c r="AA70" s="789"/>
    </row>
    <row r="71" spans="11:27" ht="13.5" thickBot="1">
      <c r="K71" s="41"/>
      <c r="M71" s="790"/>
      <c r="N71" s="771"/>
      <c r="O71" s="731"/>
      <c r="P71" s="791"/>
      <c r="Q71" s="791"/>
      <c r="R71" s="791"/>
      <c r="S71" s="791"/>
      <c r="T71" s="791"/>
      <c r="U71" s="791"/>
      <c r="V71" s="791"/>
      <c r="W71" s="791"/>
      <c r="X71" s="791"/>
      <c r="Y71" s="791"/>
      <c r="Z71" s="791"/>
      <c r="AA71" s="792"/>
    </row>
    <row r="72" spans="11:27" ht="13.5" thickBot="1">
      <c r="K72" s="46" t="s">
        <v>48</v>
      </c>
      <c r="M72" s="793" t="s">
        <v>625</v>
      </c>
      <c r="N72" s="794">
        <v>3287241.012565101</v>
      </c>
      <c r="O72" s="795"/>
      <c r="P72" s="797">
        <v>3085572.2873294316</v>
      </c>
      <c r="Q72" s="797">
        <v>3406617.1835464719</v>
      </c>
      <c r="R72" s="797">
        <v>3981934.9821682191</v>
      </c>
      <c r="S72" s="797">
        <v>4670005.6073143687</v>
      </c>
      <c r="T72" s="797">
        <v>4775411.2782202344</v>
      </c>
      <c r="U72" s="797">
        <v>4872947.8242237261</v>
      </c>
      <c r="V72" s="797">
        <v>5020984.2589504439</v>
      </c>
      <c r="W72" s="797">
        <v>5173461.7867189683</v>
      </c>
      <c r="X72" s="797">
        <v>5330513.6403205451</v>
      </c>
      <c r="Y72" s="797">
        <v>5492277.0495301699</v>
      </c>
      <c r="Z72" s="797">
        <v>5658893.3610160844</v>
      </c>
      <c r="AA72" s="656"/>
    </row>
    <row r="73" spans="11:27">
      <c r="K73" s="46"/>
      <c r="M73" s="682"/>
      <c r="N73" s="634"/>
      <c r="O73" s="711"/>
      <c r="P73" s="635"/>
      <c r="Q73" s="635"/>
      <c r="R73" s="635"/>
      <c r="S73" s="635"/>
      <c r="T73" s="635"/>
      <c r="U73" s="635"/>
      <c r="V73" s="635"/>
      <c r="W73" s="635"/>
      <c r="X73" s="635"/>
      <c r="Y73" s="635"/>
      <c r="Z73" s="635"/>
      <c r="AA73" s="727"/>
    </row>
    <row r="74" spans="11:27">
      <c r="K74" s="55"/>
      <c r="M74" s="682" t="s">
        <v>626</v>
      </c>
      <c r="N74" s="634">
        <v>0</v>
      </c>
      <c r="O74" s="711" t="s">
        <v>615</v>
      </c>
      <c r="P74" s="635">
        <v>0</v>
      </c>
      <c r="Q74" s="635">
        <v>0</v>
      </c>
      <c r="R74" s="635">
        <v>0</v>
      </c>
      <c r="S74" s="635">
        <v>0</v>
      </c>
      <c r="T74" s="635">
        <v>0</v>
      </c>
      <c r="U74" s="635">
        <v>0</v>
      </c>
      <c r="V74" s="635">
        <v>0</v>
      </c>
      <c r="W74" s="635">
        <v>0</v>
      </c>
      <c r="X74" s="635">
        <v>0</v>
      </c>
      <c r="Y74" s="635">
        <v>0</v>
      </c>
      <c r="Z74" s="635">
        <v>0</v>
      </c>
      <c r="AA74" s="727"/>
    </row>
    <row r="75" spans="11:27">
      <c r="K75" s="55"/>
      <c r="M75" s="682" t="s">
        <v>627</v>
      </c>
      <c r="N75" s="634">
        <v>0</v>
      </c>
      <c r="O75" s="711" t="s">
        <v>615</v>
      </c>
      <c r="P75" s="635">
        <v>0</v>
      </c>
      <c r="Q75" s="635">
        <v>0</v>
      </c>
      <c r="R75" s="635">
        <v>0</v>
      </c>
      <c r="S75" s="635">
        <v>0</v>
      </c>
      <c r="T75" s="635">
        <v>0</v>
      </c>
      <c r="U75" s="635">
        <v>0</v>
      </c>
      <c r="V75" s="635">
        <v>0</v>
      </c>
      <c r="W75" s="635">
        <v>0</v>
      </c>
      <c r="X75" s="635">
        <v>0</v>
      </c>
      <c r="Y75" s="635">
        <v>0</v>
      </c>
      <c r="Z75" s="635">
        <v>0</v>
      </c>
      <c r="AA75" s="727"/>
    </row>
    <row r="76" spans="11:27" ht="13.5" thickBot="1">
      <c r="K76" s="56"/>
      <c r="M76" s="682" t="s">
        <v>628</v>
      </c>
      <c r="N76" s="634">
        <v>0</v>
      </c>
      <c r="O76" s="711" t="s">
        <v>615</v>
      </c>
      <c r="P76" s="635">
        <v>0</v>
      </c>
      <c r="Q76" s="635">
        <v>0</v>
      </c>
      <c r="R76" s="635">
        <v>0</v>
      </c>
      <c r="S76" s="635">
        <v>0</v>
      </c>
      <c r="T76" s="635">
        <v>0</v>
      </c>
      <c r="U76" s="635">
        <v>0</v>
      </c>
      <c r="V76" s="635">
        <v>0</v>
      </c>
      <c r="W76" s="635">
        <v>0</v>
      </c>
      <c r="X76" s="635">
        <v>0</v>
      </c>
      <c r="Y76" s="635">
        <v>0</v>
      </c>
      <c r="Z76" s="635">
        <v>0</v>
      </c>
      <c r="AA76" s="727"/>
    </row>
    <row r="77" spans="11:27" ht="13.5" thickBot="1">
      <c r="K77" s="46"/>
      <c r="M77" s="793" t="s">
        <v>629</v>
      </c>
      <c r="N77" s="794">
        <v>0</v>
      </c>
      <c r="O77" s="795"/>
      <c r="P77" s="797">
        <v>0</v>
      </c>
      <c r="Q77" s="797">
        <v>0</v>
      </c>
      <c r="R77" s="797">
        <v>0</v>
      </c>
      <c r="S77" s="797">
        <v>0</v>
      </c>
      <c r="T77" s="797">
        <v>0</v>
      </c>
      <c r="U77" s="797">
        <v>0</v>
      </c>
      <c r="V77" s="797">
        <v>0</v>
      </c>
      <c r="W77" s="797">
        <v>0</v>
      </c>
      <c r="X77" s="797">
        <v>0</v>
      </c>
      <c r="Y77" s="797">
        <v>0</v>
      </c>
      <c r="Z77" s="797">
        <v>0</v>
      </c>
      <c r="AA77" s="656"/>
    </row>
    <row r="78" spans="11:27" ht="13.5" thickBot="1">
      <c r="M78" s="643"/>
      <c r="N78" s="643"/>
      <c r="O78" s="643"/>
      <c r="P78" s="643"/>
      <c r="Q78" s="643"/>
      <c r="R78" s="643"/>
      <c r="S78" s="643"/>
      <c r="T78" s="643"/>
      <c r="U78" s="643"/>
      <c r="V78" s="643"/>
      <c r="W78" s="643"/>
      <c r="X78" s="643"/>
      <c r="Y78" s="643"/>
      <c r="Z78" s="643"/>
      <c r="AA78" s="662"/>
    </row>
    <row r="79" spans="11:27" ht="13.5" thickBot="1">
      <c r="K79" s="56" t="s">
        <v>52</v>
      </c>
      <c r="M79" s="793" t="s">
        <v>630</v>
      </c>
      <c r="N79" s="794">
        <v>3287241.012565101</v>
      </c>
      <c r="O79" s="795"/>
      <c r="P79" s="797">
        <v>3085572.2873294316</v>
      </c>
      <c r="Q79" s="797">
        <v>3406617.1835464719</v>
      </c>
      <c r="R79" s="797">
        <v>3981934.9821682191</v>
      </c>
      <c r="S79" s="797">
        <v>4670005.6073143687</v>
      </c>
      <c r="T79" s="797">
        <v>4775411.2782202344</v>
      </c>
      <c r="U79" s="797">
        <v>4872947.8242237261</v>
      </c>
      <c r="V79" s="797">
        <v>5020984.2589504439</v>
      </c>
      <c r="W79" s="797">
        <v>5173461.7867189683</v>
      </c>
      <c r="X79" s="797">
        <v>5330513.6403205451</v>
      </c>
      <c r="Y79" s="797">
        <v>5492277.0495301699</v>
      </c>
      <c r="Z79" s="797">
        <v>5658893.3610160844</v>
      </c>
      <c r="AA79" s="656"/>
    </row>
    <row r="80" spans="11:27">
      <c r="K80" s="34"/>
      <c r="M80" s="682" t="s">
        <v>631</v>
      </c>
      <c r="N80" s="801" t="s">
        <v>482</v>
      </c>
      <c r="O80" s="801"/>
      <c r="P80" s="758">
        <v>-6.1348931965990339E-2</v>
      </c>
      <c r="Q80" s="758">
        <v>0.10404711551739565</v>
      </c>
      <c r="R80" s="758">
        <v>0.16888243310708906</v>
      </c>
      <c r="S80" s="758">
        <v>0.17279805627852962</v>
      </c>
      <c r="T80" s="758">
        <v>2.2570780373534216E-2</v>
      </c>
      <c r="U80" s="758">
        <v>2.0424742565805287E-2</v>
      </c>
      <c r="V80" s="758">
        <v>3.0379236566174583E-2</v>
      </c>
      <c r="W80" s="758">
        <v>3.036805532634701E-2</v>
      </c>
      <c r="X80" s="758">
        <v>3.0357207625414828E-2</v>
      </c>
      <c r="Y80" s="758">
        <v>3.0346683288835496E-2</v>
      </c>
      <c r="Z80" s="758">
        <v>3.0336472465489983E-2</v>
      </c>
      <c r="AA80" s="656"/>
    </row>
    <row r="81" spans="13:27">
      <c r="M81" s="803"/>
      <c r="N81" s="803"/>
      <c r="O81" s="803"/>
      <c r="P81" s="804"/>
      <c r="Q81" s="656"/>
      <c r="R81" s="656"/>
      <c r="S81" s="656"/>
      <c r="T81" s="805"/>
      <c r="U81" s="804"/>
      <c r="V81" s="656"/>
      <c r="W81" s="656"/>
      <c r="X81" s="656"/>
      <c r="Y81" s="656"/>
      <c r="Z81" s="656"/>
      <c r="AA81" s="806"/>
    </row>
    <row r="82" spans="13:27">
      <c r="M82" s="807" t="s">
        <v>632</v>
      </c>
      <c r="N82" s="808">
        <v>1.9439348657973206</v>
      </c>
      <c r="O82" s="809"/>
      <c r="P82" s="810">
        <v>1.955467650571185</v>
      </c>
      <c r="Q82" s="810">
        <v>2.0905428107297448</v>
      </c>
      <c r="R82" s="810">
        <v>2.2636149980810134</v>
      </c>
      <c r="S82" s="810">
        <v>2.3651900687135328</v>
      </c>
      <c r="T82" s="810">
        <v>2.4229605295142203</v>
      </c>
      <c r="U82" s="810">
        <v>2.4887303682282091</v>
      </c>
      <c r="V82" s="810">
        <v>2.5633922792750581</v>
      </c>
      <c r="W82" s="810">
        <v>2.6402940476533128</v>
      </c>
      <c r="X82" s="810">
        <v>2.7195028690829139</v>
      </c>
      <c r="Y82" s="810">
        <v>2.8010879551554044</v>
      </c>
      <c r="Z82" s="811">
        <v>2.8851205938100706</v>
      </c>
      <c r="AA82" s="806"/>
    </row>
    <row r="205" spans="13:27">
      <c r="M205" s="123"/>
      <c r="N205" s="123"/>
      <c r="O205" s="123"/>
      <c r="P205" s="123"/>
      <c r="Q205" s="123"/>
      <c r="R205" s="123"/>
      <c r="S205" s="123"/>
      <c r="T205" s="123"/>
      <c r="U205" s="123"/>
      <c r="V205" s="123"/>
      <c r="W205" s="123"/>
      <c r="X205" s="123"/>
      <c r="Y205" s="123"/>
      <c r="Z205" s="123"/>
      <c r="AA205" s="123"/>
    </row>
    <row r="206" spans="13:27">
      <c r="M206" s="123"/>
      <c r="N206" s="123"/>
      <c r="O206" s="123"/>
      <c r="P206" s="123"/>
      <c r="Q206" s="123"/>
      <c r="R206" s="123"/>
      <c r="S206" s="123"/>
      <c r="T206" s="123"/>
      <c r="U206" s="123"/>
      <c r="V206" s="123"/>
      <c r="W206" s="123"/>
      <c r="X206" s="123"/>
      <c r="Y206" s="123"/>
      <c r="Z206" s="123"/>
      <c r="AA206" s="123"/>
    </row>
    <row r="207" spans="13:27">
      <c r="M207" s="123"/>
      <c r="N207" s="123"/>
      <c r="O207" s="123"/>
      <c r="P207" s="123"/>
      <c r="Q207" s="123"/>
      <c r="R207" s="123"/>
      <c r="S207" s="123"/>
      <c r="T207" s="123"/>
      <c r="U207" s="123"/>
      <c r="V207" s="123"/>
      <c r="W207" s="123"/>
      <c r="X207" s="123"/>
      <c r="Y207" s="123"/>
      <c r="Z207" s="123"/>
      <c r="AA207" s="123"/>
    </row>
    <row r="208" spans="13:27">
      <c r="M208" s="123"/>
      <c r="N208" s="123"/>
      <c r="O208" s="123"/>
      <c r="P208" s="123"/>
      <c r="Q208" s="123"/>
      <c r="R208" s="123"/>
      <c r="S208" s="123"/>
      <c r="T208" s="123"/>
      <c r="U208" s="123"/>
      <c r="V208" s="123"/>
      <c r="W208" s="123"/>
      <c r="X208" s="123"/>
      <c r="Y208" s="123"/>
      <c r="Z208" s="123"/>
      <c r="AA208" s="123"/>
    </row>
    <row r="209" spans="13:27">
      <c r="M209" s="123"/>
      <c r="N209" s="123"/>
      <c r="O209" s="123"/>
      <c r="P209" s="123"/>
      <c r="Q209" s="123"/>
      <c r="R209" s="123"/>
      <c r="S209" s="123"/>
      <c r="T209" s="123"/>
      <c r="U209" s="123"/>
      <c r="V209" s="123"/>
      <c r="W209" s="123"/>
      <c r="X209" s="123"/>
      <c r="Y209" s="123"/>
      <c r="Z209" s="123"/>
      <c r="AA209" s="123"/>
    </row>
    <row r="210" spans="13:27">
      <c r="M210" s="123"/>
      <c r="N210" s="123"/>
      <c r="O210" s="123"/>
      <c r="P210" s="123"/>
      <c r="Q210" s="123"/>
      <c r="R210" s="123"/>
      <c r="S210" s="123"/>
      <c r="T210" s="123"/>
      <c r="U210" s="123"/>
      <c r="V210" s="123"/>
      <c r="W210" s="123"/>
      <c r="X210" s="123"/>
      <c r="Y210" s="123"/>
      <c r="Z210" s="123"/>
      <c r="AA210" s="123"/>
    </row>
    <row r="211" spans="13:27">
      <c r="M211" s="123"/>
      <c r="N211" s="123"/>
      <c r="O211" s="123"/>
      <c r="P211" s="123"/>
      <c r="Q211" s="123"/>
      <c r="R211" s="123"/>
      <c r="S211" s="123"/>
      <c r="T211" s="123"/>
      <c r="U211" s="123"/>
      <c r="V211" s="123"/>
      <c r="W211" s="123"/>
      <c r="X211" s="123"/>
      <c r="Y211" s="123"/>
      <c r="Z211" s="123"/>
      <c r="AA211" s="123"/>
    </row>
    <row r="212" spans="13:27">
      <c r="M212" s="123"/>
      <c r="N212" s="123"/>
      <c r="O212" s="123"/>
      <c r="P212" s="123"/>
      <c r="Q212" s="123"/>
      <c r="R212" s="123"/>
      <c r="S212" s="123"/>
      <c r="T212" s="123"/>
      <c r="U212" s="123"/>
      <c r="V212" s="123"/>
      <c r="W212" s="123"/>
      <c r="X212" s="123"/>
      <c r="Y212" s="123"/>
      <c r="Z212" s="123"/>
      <c r="AA212" s="123"/>
    </row>
    <row r="213" spans="13:27">
      <c r="M213" s="123"/>
      <c r="N213" s="123"/>
      <c r="O213" s="123"/>
      <c r="P213" s="123"/>
      <c r="Q213" s="123"/>
      <c r="R213" s="123"/>
      <c r="S213" s="123"/>
      <c r="T213" s="123"/>
      <c r="U213" s="123"/>
      <c r="V213" s="123"/>
      <c r="W213" s="123"/>
      <c r="X213" s="123"/>
      <c r="Y213" s="123"/>
      <c r="Z213" s="123"/>
      <c r="AA213" s="123"/>
    </row>
    <row r="214" spans="13:27">
      <c r="M214" s="123"/>
      <c r="N214" s="123"/>
      <c r="O214" s="123"/>
      <c r="P214" s="123"/>
      <c r="Q214" s="123"/>
      <c r="R214" s="123"/>
      <c r="S214" s="123"/>
      <c r="T214" s="123"/>
      <c r="U214" s="123"/>
      <c r="V214" s="123"/>
      <c r="W214" s="123"/>
      <c r="X214" s="123"/>
      <c r="Y214" s="123"/>
      <c r="Z214" s="123"/>
      <c r="AA214" s="123"/>
    </row>
    <row r="215" spans="13:27">
      <c r="M215" s="123"/>
      <c r="N215" s="123"/>
      <c r="O215" s="123"/>
      <c r="P215" s="123"/>
      <c r="Q215" s="123"/>
      <c r="R215" s="123"/>
      <c r="S215" s="123"/>
      <c r="T215" s="123"/>
      <c r="U215" s="123"/>
      <c r="V215" s="123"/>
      <c r="W215" s="123"/>
      <c r="X215" s="123"/>
      <c r="Y215" s="123"/>
      <c r="Z215" s="123"/>
      <c r="AA215" s="123"/>
    </row>
    <row r="216" spans="13:27">
      <c r="M216" s="123"/>
      <c r="N216" s="123"/>
      <c r="O216" s="123"/>
      <c r="P216" s="123"/>
      <c r="Q216" s="123"/>
      <c r="R216" s="123"/>
      <c r="S216" s="123"/>
      <c r="T216" s="123"/>
      <c r="U216" s="123"/>
      <c r="V216" s="123"/>
      <c r="W216" s="123"/>
      <c r="X216" s="123"/>
      <c r="Y216" s="123"/>
      <c r="Z216" s="123"/>
      <c r="AA216" s="123"/>
    </row>
    <row r="217" spans="13:27">
      <c r="M217" s="123"/>
      <c r="N217" s="123"/>
      <c r="O217" s="123"/>
      <c r="P217" s="123"/>
      <c r="Q217" s="123"/>
      <c r="R217" s="123"/>
      <c r="S217" s="123"/>
      <c r="T217" s="123"/>
      <c r="U217" s="123"/>
      <c r="V217" s="123"/>
      <c r="W217" s="123"/>
      <c r="X217" s="123"/>
      <c r="Y217" s="123"/>
      <c r="Z217" s="123"/>
      <c r="AA217" s="123"/>
    </row>
    <row r="218" spans="13:27">
      <c r="M218" s="123"/>
      <c r="N218" s="123"/>
      <c r="O218" s="123"/>
      <c r="P218" s="123"/>
      <c r="Q218" s="123"/>
      <c r="R218" s="123"/>
      <c r="S218" s="123"/>
      <c r="T218" s="123"/>
      <c r="U218" s="123"/>
      <c r="V218" s="123"/>
      <c r="W218" s="123"/>
      <c r="X218" s="123"/>
      <c r="Y218" s="123"/>
      <c r="Z218" s="123"/>
      <c r="AA218" s="123"/>
    </row>
    <row r="219" spans="13:27">
      <c r="M219" s="123"/>
      <c r="N219" s="123"/>
      <c r="O219" s="123"/>
      <c r="P219" s="123"/>
      <c r="Q219" s="123"/>
      <c r="R219" s="123"/>
      <c r="S219" s="123"/>
      <c r="T219" s="123"/>
      <c r="U219" s="123"/>
      <c r="V219" s="123"/>
      <c r="W219" s="123"/>
      <c r="X219" s="123"/>
      <c r="Y219" s="123"/>
      <c r="Z219" s="123"/>
      <c r="AA219" s="123"/>
    </row>
    <row r="220" spans="13:27">
      <c r="M220" s="123"/>
      <c r="N220" s="123"/>
      <c r="O220" s="123"/>
      <c r="P220" s="123"/>
      <c r="Q220" s="123"/>
      <c r="R220" s="123"/>
      <c r="S220" s="123"/>
      <c r="T220" s="123"/>
      <c r="U220" s="123"/>
      <c r="V220" s="123"/>
      <c r="W220" s="123"/>
      <c r="X220" s="123"/>
      <c r="Y220" s="123"/>
      <c r="Z220" s="123"/>
      <c r="AA220" s="123"/>
    </row>
    <row r="221" spans="13:27">
      <c r="M221" s="123"/>
      <c r="N221" s="123"/>
      <c r="O221" s="123"/>
      <c r="P221" s="123"/>
      <c r="Q221" s="123"/>
      <c r="R221" s="123"/>
      <c r="S221" s="123"/>
      <c r="T221" s="123"/>
      <c r="U221" s="123"/>
      <c r="V221" s="123"/>
      <c r="W221" s="123"/>
      <c r="X221" s="123"/>
      <c r="Y221" s="123"/>
      <c r="Z221" s="123"/>
      <c r="AA221" s="123"/>
    </row>
    <row r="222" spans="13:27">
      <c r="M222" s="123"/>
      <c r="N222" s="123"/>
      <c r="O222" s="123"/>
      <c r="P222" s="123"/>
      <c r="Q222" s="123"/>
      <c r="R222" s="123"/>
      <c r="S222" s="123"/>
      <c r="T222" s="123"/>
      <c r="U222" s="123"/>
      <c r="V222" s="123"/>
      <c r="W222" s="123"/>
      <c r="X222" s="123"/>
      <c r="Y222" s="123"/>
      <c r="Z222" s="123"/>
      <c r="AA222" s="123"/>
    </row>
    <row r="223" spans="13:27">
      <c r="M223" s="123"/>
      <c r="N223" s="123"/>
      <c r="O223" s="123"/>
      <c r="P223" s="123"/>
      <c r="Q223" s="123"/>
      <c r="R223" s="123"/>
      <c r="S223" s="123"/>
      <c r="T223" s="123"/>
      <c r="U223" s="123"/>
      <c r="V223" s="123"/>
      <c r="W223" s="123"/>
      <c r="X223" s="123"/>
      <c r="Y223" s="123"/>
      <c r="Z223" s="123"/>
      <c r="AA223" s="123"/>
    </row>
    <row r="224" spans="13:27">
      <c r="M224" s="123"/>
      <c r="N224" s="123"/>
      <c r="O224" s="123"/>
      <c r="P224" s="123"/>
      <c r="Q224" s="123"/>
      <c r="R224" s="123"/>
      <c r="S224" s="123"/>
      <c r="T224" s="123"/>
      <c r="U224" s="123"/>
      <c r="V224" s="123"/>
      <c r="W224" s="123"/>
      <c r="X224" s="123"/>
      <c r="Y224" s="123"/>
      <c r="Z224" s="123"/>
      <c r="AA224" s="123"/>
    </row>
    <row r="225" spans="13:27">
      <c r="M225" s="123"/>
      <c r="N225" s="123"/>
      <c r="O225" s="123"/>
      <c r="P225" s="123"/>
      <c r="Q225" s="123"/>
      <c r="R225" s="123"/>
      <c r="S225" s="123"/>
      <c r="T225" s="123"/>
      <c r="U225" s="123"/>
      <c r="V225" s="123"/>
      <c r="W225" s="123"/>
      <c r="X225" s="123"/>
      <c r="Y225" s="123"/>
      <c r="Z225" s="123"/>
      <c r="AA225" s="123"/>
    </row>
    <row r="226" spans="13:27">
      <c r="M226" s="123"/>
      <c r="N226" s="123"/>
      <c r="O226" s="123"/>
      <c r="P226" s="123"/>
      <c r="Q226" s="123"/>
      <c r="R226" s="123"/>
      <c r="S226" s="123"/>
      <c r="T226" s="123"/>
      <c r="U226" s="123"/>
      <c r="V226" s="123"/>
      <c r="W226" s="123"/>
      <c r="X226" s="123"/>
      <c r="Y226" s="123"/>
      <c r="Z226" s="123"/>
      <c r="AA226" s="123"/>
    </row>
    <row r="227" spans="13:27">
      <c r="M227" s="123"/>
      <c r="N227" s="123"/>
      <c r="O227" s="123"/>
      <c r="P227" s="123"/>
      <c r="Q227" s="123"/>
      <c r="R227" s="123"/>
      <c r="S227" s="123"/>
      <c r="T227" s="123"/>
      <c r="U227" s="123"/>
      <c r="V227" s="123"/>
      <c r="W227" s="123"/>
      <c r="X227" s="123"/>
      <c r="Y227" s="123"/>
      <c r="Z227" s="123"/>
      <c r="AA227" s="123"/>
    </row>
    <row r="228" spans="13:27">
      <c r="M228" s="123"/>
      <c r="N228" s="123"/>
      <c r="O228" s="123"/>
      <c r="P228" s="123"/>
      <c r="Q228" s="123"/>
      <c r="R228" s="123"/>
      <c r="S228" s="123"/>
      <c r="T228" s="123"/>
      <c r="U228" s="123"/>
      <c r="V228" s="123"/>
      <c r="W228" s="123"/>
      <c r="X228" s="123"/>
      <c r="Y228" s="123"/>
      <c r="Z228" s="123"/>
      <c r="AA228" s="123"/>
    </row>
    <row r="229" spans="13:27">
      <c r="M229" s="123"/>
      <c r="N229" s="123"/>
      <c r="O229" s="123"/>
      <c r="P229" s="123"/>
      <c r="Q229" s="123"/>
      <c r="R229" s="123"/>
      <c r="S229" s="123"/>
      <c r="T229" s="123"/>
      <c r="U229" s="123"/>
      <c r="V229" s="123"/>
      <c r="W229" s="123"/>
      <c r="X229" s="123"/>
      <c r="Y229" s="123"/>
      <c r="Z229" s="123"/>
      <c r="AA229" s="123"/>
    </row>
    <row r="230" spans="13:27">
      <c r="M230" s="123"/>
      <c r="N230" s="123"/>
      <c r="O230" s="123"/>
      <c r="P230" s="123"/>
      <c r="Q230" s="123"/>
      <c r="R230" s="123"/>
      <c r="S230" s="123"/>
      <c r="T230" s="123"/>
      <c r="U230" s="123"/>
      <c r="V230" s="123"/>
      <c r="W230" s="123"/>
      <c r="X230" s="123"/>
      <c r="Y230" s="123"/>
      <c r="Z230" s="123"/>
      <c r="AA230" s="123"/>
    </row>
    <row r="231" spans="13:27">
      <c r="M231" s="123"/>
      <c r="N231" s="123"/>
      <c r="O231" s="123"/>
      <c r="P231" s="123"/>
      <c r="Q231" s="123"/>
      <c r="R231" s="123"/>
      <c r="S231" s="123"/>
      <c r="T231" s="123"/>
      <c r="U231" s="123"/>
      <c r="V231" s="123"/>
      <c r="W231" s="123"/>
      <c r="X231" s="123"/>
      <c r="Y231" s="123"/>
      <c r="Z231" s="123"/>
      <c r="AA231" s="123"/>
    </row>
    <row r="232" spans="13:27">
      <c r="M232" s="123"/>
      <c r="N232" s="123"/>
      <c r="O232" s="123"/>
      <c r="P232" s="123"/>
      <c r="Q232" s="123"/>
      <c r="R232" s="123"/>
      <c r="S232" s="123"/>
      <c r="T232" s="123"/>
      <c r="U232" s="123"/>
      <c r="V232" s="123"/>
      <c r="W232" s="123"/>
      <c r="X232" s="123"/>
      <c r="Y232" s="123"/>
      <c r="Z232" s="123"/>
      <c r="AA232" s="123"/>
    </row>
  </sheetData>
  <conditionalFormatting sqref="B9:B47 C11:D11">
    <cfRule type="expression" dxfId="20" priority="29">
      <formula>$B$2=1</formula>
    </cfRule>
  </conditionalFormatting>
  <conditionalFormatting sqref="B48:I56">
    <cfRule type="expression" dxfId="19" priority="19">
      <formula>$A$2=1</formula>
    </cfRule>
  </conditionalFormatting>
  <conditionalFormatting sqref="C6:I6 K21:K27 K29 K31:K39 K44 K70:K77 K79">
    <cfRule type="expression" dxfId="18" priority="18">
      <formula>$B$2=1</formula>
    </cfRule>
  </conditionalFormatting>
  <conditionalFormatting sqref="C8:I9">
    <cfRule type="expression" dxfId="17" priority="11">
      <formula>$B$2=1</formula>
    </cfRule>
  </conditionalFormatting>
  <conditionalFormatting sqref="C12:I47">
    <cfRule type="expression" dxfId="16" priority="24">
      <formula>$B$2=1</formula>
    </cfRule>
  </conditionalFormatting>
  <conditionalFormatting sqref="C47:I47">
    <cfRule type="cellIs" dxfId="15" priority="64" operator="lessThan">
      <formula>#REF!</formula>
    </cfRule>
  </conditionalFormatting>
  <conditionalFormatting sqref="E59:G63">
    <cfRule type="expression" dxfId="14" priority="31">
      <formula>$B$2=1</formula>
    </cfRule>
  </conditionalFormatting>
  <conditionalFormatting sqref="K41">
    <cfRule type="expression" dxfId="13" priority="3">
      <formula>$B$2=1</formula>
    </cfRule>
  </conditionalFormatting>
  <conditionalFormatting sqref="K49:K67">
    <cfRule type="expression" dxfId="12" priority="1">
      <formula>$B$2=1</formula>
    </cfRule>
  </conditionalFormatting>
  <conditionalFormatting sqref="K80">
    <cfRule type="expression" dxfId="11" priority="4">
      <formula>$A$2=1</formula>
    </cfRule>
  </conditionalFormatting>
  <pageMargins left="0.7" right="0.7" top="0.75" bottom="0.75" header="0.3" footer="0.3"/>
  <ignoredErrors>
    <ignoredError sqref="D25 D35" formula="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A784-A03E-4045-8189-54AE49379F6F}">
  <dimension ref="A2:Q58"/>
  <sheetViews>
    <sheetView workbookViewId="0">
      <selection activeCell="G6" sqref="G6"/>
    </sheetView>
  </sheetViews>
  <sheetFormatPr defaultRowHeight="12.75"/>
  <cols>
    <col min="1" max="1" width="36.7109375" customWidth="1"/>
    <col min="2" max="2" width="17.85546875" customWidth="1"/>
    <col min="4" max="4" width="27.28515625" customWidth="1"/>
    <col min="5" max="5" width="3.85546875" customWidth="1"/>
    <col min="6" max="6" width="38.42578125" customWidth="1"/>
    <col min="7" max="17" width="13.5703125" customWidth="1"/>
  </cols>
  <sheetData>
    <row r="2" spans="1:17">
      <c r="A2" s="193" t="s">
        <v>580</v>
      </c>
    </row>
    <row r="3" spans="1:17">
      <c r="A3" s="333" t="s">
        <v>362</v>
      </c>
      <c r="B3" s="334" t="s">
        <v>653</v>
      </c>
    </row>
    <row r="4" spans="1:17">
      <c r="A4" s="337" t="s">
        <v>360</v>
      </c>
      <c r="B4" s="338">
        <f>G6</f>
        <v>47149</v>
      </c>
      <c r="F4" s="838" t="s">
        <v>654</v>
      </c>
      <c r="G4" s="828"/>
      <c r="H4" s="828"/>
      <c r="I4" s="828"/>
      <c r="J4" s="828"/>
      <c r="K4" s="828"/>
      <c r="L4" s="828"/>
      <c r="M4" s="828"/>
      <c r="N4" s="828"/>
      <c r="O4" s="828"/>
      <c r="P4" s="828"/>
      <c r="Q4" s="828"/>
    </row>
    <row r="5" spans="1:17">
      <c r="A5" s="341"/>
      <c r="B5" s="341"/>
      <c r="F5" s="834" t="s">
        <v>581</v>
      </c>
      <c r="G5" s="835" t="s">
        <v>614</v>
      </c>
      <c r="H5" s="836" t="s">
        <v>655</v>
      </c>
      <c r="I5" s="843" t="s">
        <v>656</v>
      </c>
      <c r="J5" s="835" t="s">
        <v>657</v>
      </c>
      <c r="K5" s="835" t="s">
        <v>658</v>
      </c>
      <c r="L5" s="835" t="s">
        <v>659</v>
      </c>
      <c r="M5" s="835" t="s">
        <v>660</v>
      </c>
      <c r="N5" s="835" t="s">
        <v>661</v>
      </c>
      <c r="O5" s="835" t="s">
        <v>662</v>
      </c>
      <c r="P5" s="835" t="s">
        <v>663</v>
      </c>
      <c r="Q5" s="835" t="s">
        <v>664</v>
      </c>
    </row>
    <row r="6" spans="1:17">
      <c r="A6" s="72" t="s">
        <v>317</v>
      </c>
      <c r="B6" s="824">
        <v>47211100</v>
      </c>
      <c r="F6" s="837"/>
      <c r="G6" s="844">
        <v>47149</v>
      </c>
      <c r="H6" s="844">
        <f>EOMONTH(G6,12)</f>
        <v>47514</v>
      </c>
      <c r="I6" s="844">
        <f t="shared" ref="I6:Q6" si="0">EOMONTH(H6,12)</f>
        <v>47879</v>
      </c>
      <c r="J6" s="844">
        <f t="shared" si="0"/>
        <v>48244</v>
      </c>
      <c r="K6" s="844">
        <f t="shared" si="0"/>
        <v>48610</v>
      </c>
      <c r="L6" s="844">
        <f t="shared" si="0"/>
        <v>48975</v>
      </c>
      <c r="M6" s="844">
        <f t="shared" si="0"/>
        <v>49340</v>
      </c>
      <c r="N6" s="844">
        <f t="shared" si="0"/>
        <v>49705</v>
      </c>
      <c r="O6" s="844">
        <f t="shared" si="0"/>
        <v>50071</v>
      </c>
      <c r="P6" s="844">
        <f t="shared" si="0"/>
        <v>50436</v>
      </c>
      <c r="Q6" s="844">
        <f t="shared" si="0"/>
        <v>50801</v>
      </c>
    </row>
    <row r="7" spans="1:17">
      <c r="A7" s="341"/>
      <c r="B7" s="341"/>
      <c r="F7" s="830" t="s">
        <v>665</v>
      </c>
      <c r="G7" s="831"/>
      <c r="H7" s="831"/>
      <c r="I7" s="831"/>
      <c r="J7" s="831"/>
      <c r="K7" s="831"/>
      <c r="L7" s="831"/>
      <c r="M7" s="831"/>
      <c r="N7" s="831"/>
      <c r="O7" s="831"/>
      <c r="P7" s="831"/>
      <c r="Q7" s="831"/>
    </row>
    <row r="8" spans="1:17">
      <c r="A8" s="72" t="s">
        <v>449</v>
      </c>
      <c r="B8" s="847">
        <f>100%+(B14/B13)</f>
        <v>0.94449577704391519</v>
      </c>
      <c r="D8" s="37" t="s">
        <v>26</v>
      </c>
      <c r="F8" s="829" t="s">
        <v>666</v>
      </c>
      <c r="G8" s="832">
        <v>8431128</v>
      </c>
      <c r="H8" s="832">
        <v>8684062</v>
      </c>
      <c r="I8" s="832">
        <v>8944584</v>
      </c>
      <c r="J8" s="832">
        <v>9212921</v>
      </c>
      <c r="K8" s="832">
        <v>9489309</v>
      </c>
      <c r="L8" s="832">
        <v>9773988</v>
      </c>
      <c r="M8" s="832">
        <v>10067208</v>
      </c>
      <c r="N8" s="832">
        <v>10369224</v>
      </c>
      <c r="O8" s="832">
        <v>10680301</v>
      </c>
      <c r="P8" s="832">
        <v>11000710</v>
      </c>
      <c r="Q8" s="832">
        <v>11330731</v>
      </c>
    </row>
    <row r="9" spans="1:17">
      <c r="A9" s="34" t="s">
        <v>21</v>
      </c>
      <c r="B9" s="347"/>
      <c r="D9" s="37" t="s">
        <v>26</v>
      </c>
      <c r="F9" s="829" t="s">
        <v>667</v>
      </c>
      <c r="G9" s="831"/>
      <c r="H9" s="832">
        <v>-1327</v>
      </c>
      <c r="I9" s="832">
        <v>-1366</v>
      </c>
      <c r="J9" s="832">
        <v>-1407</v>
      </c>
      <c r="K9" s="832">
        <v>-1450</v>
      </c>
      <c r="L9" s="832">
        <v>-1493</v>
      </c>
      <c r="M9" s="832">
        <v>-1538</v>
      </c>
      <c r="N9" s="832">
        <v>-1584</v>
      </c>
      <c r="O9" s="832">
        <v>-1631</v>
      </c>
      <c r="P9" s="832">
        <v>-1680</v>
      </c>
      <c r="Q9" s="832">
        <v>-1731</v>
      </c>
    </row>
    <row r="10" spans="1:17">
      <c r="A10" s="37" t="s">
        <v>22</v>
      </c>
      <c r="B10" s="341"/>
      <c r="D10" s="43" t="s">
        <v>27</v>
      </c>
      <c r="F10" s="829" t="s">
        <v>668</v>
      </c>
      <c r="G10" s="832">
        <v>-44217</v>
      </c>
      <c r="H10" s="831"/>
      <c r="I10" s="831"/>
      <c r="J10" s="831"/>
      <c r="K10" s="831"/>
      <c r="L10" s="831"/>
      <c r="M10" s="831"/>
      <c r="N10" s="831"/>
      <c r="O10" s="831"/>
      <c r="P10" s="831"/>
      <c r="Q10" s="831"/>
    </row>
    <row r="11" spans="1:17">
      <c r="A11" s="37" t="s">
        <v>23</v>
      </c>
      <c r="B11" s="40" t="str">
        <f>I5</f>
        <v>Year 3</v>
      </c>
      <c r="D11" s="43" t="s">
        <v>27</v>
      </c>
      <c r="F11" s="829" t="s">
        <v>669</v>
      </c>
      <c r="G11" s="832">
        <v>-419346</v>
      </c>
      <c r="H11" s="832">
        <v>-434137</v>
      </c>
      <c r="I11" s="832">
        <v>-447161</v>
      </c>
      <c r="J11" s="832">
        <v>-460576</v>
      </c>
      <c r="K11" s="832">
        <v>-474393</v>
      </c>
      <c r="L11" s="832">
        <v>-488625</v>
      </c>
      <c r="M11" s="832">
        <v>-503283</v>
      </c>
      <c r="N11" s="832">
        <v>-518382</v>
      </c>
      <c r="O11" s="832">
        <v>-533933</v>
      </c>
      <c r="P11" s="832">
        <v>-549951</v>
      </c>
      <c r="Q11" s="832">
        <v>-566450</v>
      </c>
    </row>
    <row r="12" spans="1:17">
      <c r="A12" s="37" t="s">
        <v>17</v>
      </c>
      <c r="B12" s="362">
        <f>G6</f>
        <v>47149</v>
      </c>
      <c r="D12" s="37" t="s">
        <v>31</v>
      </c>
      <c r="F12" s="829" t="s">
        <v>670</v>
      </c>
      <c r="G12" s="832">
        <v>-39838</v>
      </c>
      <c r="H12" s="845">
        <v>-41243</v>
      </c>
      <c r="I12" s="845">
        <v>-42480</v>
      </c>
      <c r="J12" s="832">
        <v>-43755</v>
      </c>
      <c r="K12" s="832">
        <v>-45067</v>
      </c>
      <c r="L12" s="832">
        <v>-46419</v>
      </c>
      <c r="M12" s="832">
        <v>-47812</v>
      </c>
      <c r="N12" s="832">
        <v>-49246</v>
      </c>
      <c r="O12" s="832">
        <v>-50724</v>
      </c>
      <c r="P12" s="832">
        <v>-52245</v>
      </c>
      <c r="Q12" s="832">
        <v>-53813</v>
      </c>
    </row>
    <row r="13" spans="1:17">
      <c r="A13" s="37" t="s">
        <v>26</v>
      </c>
      <c r="B13" s="136">
        <f>SUMIFS($G$7:$G$36,$D$7:$D$36,A13)</f>
        <v>8351851</v>
      </c>
      <c r="F13" s="839" t="s">
        <v>671</v>
      </c>
      <c r="G13" s="840">
        <v>7927728</v>
      </c>
      <c r="H13" s="840">
        <v>8207356</v>
      </c>
      <c r="I13" s="840">
        <v>8453576</v>
      </c>
      <c r="J13" s="840">
        <v>8707184</v>
      </c>
      <c r="K13" s="840">
        <v>8968399</v>
      </c>
      <c r="L13" s="840">
        <v>9237451</v>
      </c>
      <c r="M13" s="840">
        <v>9514575</v>
      </c>
      <c r="N13" s="840">
        <v>9800012</v>
      </c>
      <c r="O13" s="840">
        <v>10094012</v>
      </c>
      <c r="P13" s="840">
        <v>10396832</v>
      </c>
      <c r="Q13" s="840">
        <v>10708737</v>
      </c>
    </row>
    <row r="14" spans="1:17">
      <c r="A14" s="43" t="s">
        <v>27</v>
      </c>
      <c r="B14" s="136">
        <f>SUMIFS($G$7:$G$36,$D$7:$D$36,A14)</f>
        <v>-463563</v>
      </c>
      <c r="F14" s="830"/>
      <c r="G14" s="827"/>
      <c r="H14" s="827"/>
      <c r="I14" s="827"/>
      <c r="J14" s="827"/>
      <c r="K14" s="827"/>
      <c r="L14" s="827"/>
      <c r="M14" s="827"/>
      <c r="N14" s="827"/>
      <c r="O14" s="827"/>
      <c r="P14" s="827"/>
      <c r="Q14" s="827"/>
    </row>
    <row r="15" spans="1:17">
      <c r="A15" s="44" t="s">
        <v>28</v>
      </c>
      <c r="B15" s="367"/>
      <c r="D15" s="37" t="s">
        <v>31</v>
      </c>
      <c r="F15" s="829" t="s">
        <v>64</v>
      </c>
      <c r="G15" s="832">
        <v>200449</v>
      </c>
      <c r="H15" s="832">
        <v>206462</v>
      </c>
      <c r="I15" s="832">
        <v>212656</v>
      </c>
      <c r="J15" s="832">
        <v>219036</v>
      </c>
      <c r="K15" s="832">
        <v>225607</v>
      </c>
      <c r="L15" s="832">
        <v>232375</v>
      </c>
      <c r="M15" s="832">
        <v>239347</v>
      </c>
      <c r="N15" s="832">
        <v>246527</v>
      </c>
      <c r="O15" s="832">
        <v>253923</v>
      </c>
      <c r="P15" s="832">
        <v>261540</v>
      </c>
      <c r="Q15" s="832">
        <v>269387</v>
      </c>
    </row>
    <row r="16" spans="1:17">
      <c r="A16" s="37" t="s">
        <v>450</v>
      </c>
      <c r="B16" s="125"/>
      <c r="D16" s="37" t="s">
        <v>31</v>
      </c>
      <c r="F16" s="829" t="s">
        <v>672</v>
      </c>
      <c r="G16" s="832">
        <v>400898</v>
      </c>
      <c r="H16" s="832">
        <v>412925</v>
      </c>
      <c r="I16" s="832">
        <v>425313</v>
      </c>
      <c r="J16" s="832">
        <v>438072</v>
      </c>
      <c r="K16" s="832">
        <v>451214</v>
      </c>
      <c r="L16" s="832">
        <v>464751</v>
      </c>
      <c r="M16" s="832">
        <v>478693</v>
      </c>
      <c r="N16" s="832">
        <v>493054</v>
      </c>
      <c r="O16" s="832">
        <v>507846</v>
      </c>
      <c r="P16" s="832">
        <v>523081</v>
      </c>
      <c r="Q16" s="832">
        <v>538773</v>
      </c>
    </row>
    <row r="17" spans="1:17">
      <c r="A17" s="37" t="s">
        <v>61</v>
      </c>
      <c r="B17" s="136">
        <f t="shared" ref="B17:B19" si="1">SUMIFS($G$7:$G$36,$D$7:$D$36,A17)</f>
        <v>0</v>
      </c>
      <c r="D17" s="37" t="s">
        <v>26</v>
      </c>
      <c r="F17" s="829" t="s">
        <v>63</v>
      </c>
      <c r="G17" s="832">
        <v>-79277</v>
      </c>
      <c r="H17" s="845">
        <v>-82074</v>
      </c>
      <c r="I17" s="845">
        <v>-84536</v>
      </c>
      <c r="J17" s="832">
        <v>-87072</v>
      </c>
      <c r="K17" s="832">
        <v>-89684</v>
      </c>
      <c r="L17" s="832">
        <v>-92375</v>
      </c>
      <c r="M17" s="832">
        <v>-95146</v>
      </c>
      <c r="N17" s="832">
        <v>-98000</v>
      </c>
      <c r="O17" s="832">
        <v>-100940</v>
      </c>
      <c r="P17" s="832">
        <v>-103968</v>
      </c>
      <c r="Q17" s="832">
        <v>-107087</v>
      </c>
    </row>
    <row r="18" spans="1:17">
      <c r="A18" s="37" t="s">
        <v>30</v>
      </c>
      <c r="B18" s="136">
        <f t="shared" si="1"/>
        <v>0</v>
      </c>
      <c r="F18" s="839" t="s">
        <v>673</v>
      </c>
      <c r="G18" s="840">
        <v>8449797</v>
      </c>
      <c r="H18" s="840">
        <v>8744669</v>
      </c>
      <c r="I18" s="840">
        <v>9007010</v>
      </c>
      <c r="J18" s="840">
        <v>9277220</v>
      </c>
      <c r="K18" s="840">
        <v>9555536</v>
      </c>
      <c r="L18" s="840">
        <v>9842202</v>
      </c>
      <c r="M18" s="840">
        <v>10137469</v>
      </c>
      <c r="N18" s="840">
        <v>10441593</v>
      </c>
      <c r="O18" s="840">
        <v>10754840</v>
      </c>
      <c r="P18" s="840">
        <v>11077486</v>
      </c>
      <c r="Q18" s="840">
        <v>11409810</v>
      </c>
    </row>
    <row r="19" spans="1:17">
      <c r="A19" s="37" t="s">
        <v>31</v>
      </c>
      <c r="B19" s="136">
        <f t="shared" si="1"/>
        <v>561509</v>
      </c>
      <c r="F19" s="830"/>
      <c r="G19" s="827"/>
      <c r="H19" s="827"/>
      <c r="I19" s="827"/>
      <c r="J19" s="827"/>
      <c r="K19" s="827"/>
      <c r="L19" s="827"/>
      <c r="M19" s="827"/>
      <c r="N19" s="827"/>
      <c r="O19" s="827"/>
      <c r="P19" s="827"/>
      <c r="Q19" s="827"/>
    </row>
    <row r="20" spans="1:17">
      <c r="A20" s="33"/>
      <c r="B20" s="373"/>
      <c r="F20" s="830" t="s">
        <v>72</v>
      </c>
      <c r="G20" s="831"/>
      <c r="H20" s="831"/>
      <c r="I20" s="831"/>
      <c r="J20" s="831"/>
      <c r="K20" s="831"/>
      <c r="L20" s="831"/>
      <c r="M20" s="831"/>
      <c r="N20" s="831"/>
      <c r="O20" s="831"/>
      <c r="P20" s="831"/>
      <c r="Q20" s="831"/>
    </row>
    <row r="21" spans="1:17">
      <c r="A21" s="46" t="s">
        <v>32</v>
      </c>
      <c r="B21" s="821">
        <f>SUM(B13:B19)</f>
        <v>8449797</v>
      </c>
      <c r="D21" s="37" t="s">
        <v>35</v>
      </c>
      <c r="F21" s="829" t="s">
        <v>674</v>
      </c>
      <c r="G21" s="832">
        <v>1646218</v>
      </c>
      <c r="H21" s="832">
        <v>1695605</v>
      </c>
      <c r="I21" s="832">
        <v>1746473</v>
      </c>
      <c r="J21" s="832">
        <v>1798867</v>
      </c>
      <c r="K21" s="832">
        <v>1852833</v>
      </c>
      <c r="L21" s="832">
        <v>1908418</v>
      </c>
      <c r="M21" s="832">
        <v>1965670</v>
      </c>
      <c r="N21" s="832">
        <v>2024640</v>
      </c>
      <c r="O21" s="832">
        <v>2085380</v>
      </c>
      <c r="P21" s="832">
        <v>2147941</v>
      </c>
      <c r="Q21" s="832">
        <v>2212379</v>
      </c>
    </row>
    <row r="22" spans="1:17">
      <c r="A22" s="33"/>
      <c r="B22" s="381"/>
      <c r="D22" s="37" t="s">
        <v>36</v>
      </c>
      <c r="F22" s="829" t="s">
        <v>675</v>
      </c>
      <c r="G22" s="832">
        <v>342496</v>
      </c>
      <c r="H22" s="832">
        <v>352771</v>
      </c>
      <c r="I22" s="832">
        <v>363354</v>
      </c>
      <c r="J22" s="832">
        <v>374255</v>
      </c>
      <c r="K22" s="832">
        <v>385482</v>
      </c>
      <c r="L22" s="832">
        <v>397047</v>
      </c>
      <c r="M22" s="832">
        <v>408958</v>
      </c>
      <c r="N22" s="832">
        <v>421227</v>
      </c>
      <c r="O22" s="832">
        <v>433864</v>
      </c>
      <c r="P22" s="832">
        <v>446880</v>
      </c>
      <c r="Q22" s="832">
        <v>460286</v>
      </c>
    </row>
    <row r="23" spans="1:17">
      <c r="A23" s="33"/>
      <c r="B23" s="383"/>
      <c r="D23" s="41" t="s">
        <v>37</v>
      </c>
      <c r="F23" s="829" t="s">
        <v>366</v>
      </c>
      <c r="G23" s="832">
        <v>350812</v>
      </c>
      <c r="H23" s="832">
        <v>361336</v>
      </c>
      <c r="I23" s="832">
        <v>372176</v>
      </c>
      <c r="J23" s="832">
        <v>383342</v>
      </c>
      <c r="K23" s="832">
        <v>394842</v>
      </c>
      <c r="L23" s="832">
        <v>406687</v>
      </c>
      <c r="M23" s="832">
        <v>418888</v>
      </c>
      <c r="N23" s="832">
        <v>431455</v>
      </c>
      <c r="O23" s="832">
        <v>444398</v>
      </c>
      <c r="P23" s="832">
        <v>457730</v>
      </c>
      <c r="Q23" s="832">
        <v>471462</v>
      </c>
    </row>
    <row r="24" spans="1:17">
      <c r="A24" s="34" t="s">
        <v>34</v>
      </c>
      <c r="B24" s="384"/>
      <c r="D24" s="37" t="s">
        <v>43</v>
      </c>
      <c r="F24" s="829" t="s">
        <v>676</v>
      </c>
      <c r="G24" s="832">
        <v>166936</v>
      </c>
      <c r="H24" s="832">
        <v>171944</v>
      </c>
      <c r="I24" s="832">
        <v>177102</v>
      </c>
      <c r="J24" s="832">
        <v>182415</v>
      </c>
      <c r="K24" s="832">
        <v>187888</v>
      </c>
      <c r="L24" s="832">
        <v>193525</v>
      </c>
      <c r="M24" s="832">
        <v>199330</v>
      </c>
      <c r="N24" s="832">
        <v>205310</v>
      </c>
      <c r="O24" s="832">
        <v>211470</v>
      </c>
      <c r="P24" s="832">
        <v>217814</v>
      </c>
      <c r="Q24" s="832">
        <v>224348</v>
      </c>
    </row>
    <row r="25" spans="1:17">
      <c r="A25" s="37" t="s">
        <v>35</v>
      </c>
      <c r="B25" s="136">
        <f t="shared" ref="B25:B35" si="2">SUMIFS($G$7:$G$36,$D$7:$D$36,A25)</f>
        <v>1646218</v>
      </c>
      <c r="D25" s="41" t="s">
        <v>38</v>
      </c>
      <c r="F25" s="829" t="s">
        <v>677</v>
      </c>
      <c r="G25" s="832">
        <v>334180</v>
      </c>
      <c r="H25" s="832">
        <v>344205</v>
      </c>
      <c r="I25" s="832">
        <v>354532</v>
      </c>
      <c r="J25" s="832">
        <v>365168</v>
      </c>
      <c r="K25" s="832">
        <v>376123</v>
      </c>
      <c r="L25" s="832">
        <v>387406</v>
      </c>
      <c r="M25" s="832">
        <v>399028</v>
      </c>
      <c r="N25" s="832">
        <v>410999</v>
      </c>
      <c r="O25" s="832">
        <v>423329</v>
      </c>
      <c r="P25" s="832">
        <v>436029</v>
      </c>
      <c r="Q25" s="832">
        <v>449110</v>
      </c>
    </row>
    <row r="26" spans="1:17">
      <c r="A26" s="37" t="s">
        <v>36</v>
      </c>
      <c r="B26" s="136">
        <f t="shared" si="2"/>
        <v>342496</v>
      </c>
      <c r="D26" s="37" t="s">
        <v>39</v>
      </c>
      <c r="F26" s="829" t="s">
        <v>215</v>
      </c>
      <c r="G26" s="832">
        <v>211245</v>
      </c>
      <c r="H26" s="832">
        <v>218617</v>
      </c>
      <c r="I26" s="832">
        <v>225175</v>
      </c>
      <c r="J26" s="832">
        <v>231930</v>
      </c>
      <c r="K26" s="832">
        <v>238888</v>
      </c>
      <c r="L26" s="832">
        <v>246055</v>
      </c>
      <c r="M26" s="832">
        <v>253437</v>
      </c>
      <c r="N26" s="832">
        <v>261040</v>
      </c>
      <c r="O26" s="832">
        <v>268871</v>
      </c>
      <c r="P26" s="832">
        <v>276937</v>
      </c>
      <c r="Q26" s="832">
        <v>285245</v>
      </c>
    </row>
    <row r="27" spans="1:17">
      <c r="A27" s="41" t="s">
        <v>37</v>
      </c>
      <c r="B27" s="136">
        <f t="shared" si="2"/>
        <v>350812</v>
      </c>
      <c r="D27" s="37" t="s">
        <v>40</v>
      </c>
      <c r="F27" s="829" t="s">
        <v>358</v>
      </c>
      <c r="G27" s="832">
        <v>601216</v>
      </c>
      <c r="H27" s="832">
        <v>619252</v>
      </c>
      <c r="I27" s="832">
        <v>637830</v>
      </c>
      <c r="J27" s="832">
        <v>656965</v>
      </c>
      <c r="K27" s="832">
        <v>676674</v>
      </c>
      <c r="L27" s="832">
        <v>696974</v>
      </c>
      <c r="M27" s="832">
        <v>717883</v>
      </c>
      <c r="N27" s="832">
        <v>739420</v>
      </c>
      <c r="O27" s="832">
        <v>761602</v>
      </c>
      <c r="P27" s="832">
        <v>784451</v>
      </c>
      <c r="Q27" s="832">
        <v>807984</v>
      </c>
    </row>
    <row r="28" spans="1:17">
      <c r="A28" s="41" t="s">
        <v>38</v>
      </c>
      <c r="B28" s="136">
        <f t="shared" si="2"/>
        <v>334180</v>
      </c>
      <c r="D28" s="41" t="s">
        <v>41</v>
      </c>
      <c r="F28" s="829" t="s">
        <v>678</v>
      </c>
      <c r="G28" s="832">
        <v>141988</v>
      </c>
      <c r="H28" s="832">
        <v>146248</v>
      </c>
      <c r="I28" s="832">
        <v>150635</v>
      </c>
      <c r="J28" s="832">
        <v>155154</v>
      </c>
      <c r="K28" s="832">
        <v>159809</v>
      </c>
      <c r="L28" s="832">
        <v>164603</v>
      </c>
      <c r="M28" s="832">
        <v>169541</v>
      </c>
      <c r="N28" s="832">
        <v>174627</v>
      </c>
      <c r="O28" s="832">
        <v>179866</v>
      </c>
      <c r="P28" s="832">
        <v>185262</v>
      </c>
      <c r="Q28" s="832">
        <v>190820</v>
      </c>
    </row>
    <row r="29" spans="1:17">
      <c r="A29" s="37" t="s">
        <v>39</v>
      </c>
      <c r="B29" s="136">
        <f t="shared" si="2"/>
        <v>211245</v>
      </c>
      <c r="D29" s="37" t="s">
        <v>44</v>
      </c>
      <c r="F29" s="829" t="s">
        <v>679</v>
      </c>
      <c r="G29" s="832">
        <v>27969</v>
      </c>
      <c r="H29" s="832">
        <v>28945</v>
      </c>
      <c r="I29" s="832">
        <v>29813</v>
      </c>
      <c r="J29" s="832">
        <v>30708</v>
      </c>
      <c r="K29" s="832">
        <v>31629</v>
      </c>
      <c r="L29" s="832">
        <v>32578</v>
      </c>
      <c r="M29" s="832">
        <v>33555</v>
      </c>
      <c r="N29" s="832">
        <v>34562</v>
      </c>
      <c r="O29" s="832">
        <v>35599</v>
      </c>
      <c r="P29" s="832">
        <v>36666</v>
      </c>
      <c r="Q29" s="832">
        <v>37766</v>
      </c>
    </row>
    <row r="30" spans="1:17">
      <c r="A30" s="37" t="s">
        <v>40</v>
      </c>
      <c r="B30" s="136">
        <f t="shared" si="2"/>
        <v>601216</v>
      </c>
      <c r="D30" s="55" t="s">
        <v>49</v>
      </c>
      <c r="F30" s="829" t="s">
        <v>179</v>
      </c>
      <c r="G30" s="832">
        <v>83468</v>
      </c>
      <c r="H30" s="845">
        <v>85972</v>
      </c>
      <c r="I30" s="845">
        <v>88551</v>
      </c>
      <c r="J30" s="832">
        <v>91208</v>
      </c>
      <c r="K30" s="832">
        <v>93944</v>
      </c>
      <c r="L30" s="832">
        <v>96762</v>
      </c>
      <c r="M30" s="832">
        <v>99665</v>
      </c>
      <c r="N30" s="832">
        <v>102655</v>
      </c>
      <c r="O30" s="832">
        <v>105735</v>
      </c>
      <c r="P30" s="832">
        <v>108907</v>
      </c>
      <c r="Q30" s="832">
        <v>112174</v>
      </c>
    </row>
    <row r="31" spans="1:17">
      <c r="A31" s="41" t="s">
        <v>41</v>
      </c>
      <c r="B31" s="136">
        <f t="shared" si="2"/>
        <v>141988</v>
      </c>
      <c r="F31" s="839" t="s">
        <v>356</v>
      </c>
      <c r="G31" s="840">
        <v>3906528</v>
      </c>
      <c r="H31" s="840">
        <v>4024895</v>
      </c>
      <c r="I31" s="840">
        <v>4145642</v>
      </c>
      <c r="J31" s="840">
        <v>4270011</v>
      </c>
      <c r="K31" s="840">
        <v>4398111</v>
      </c>
      <c r="L31" s="840">
        <v>4530055</v>
      </c>
      <c r="M31" s="840">
        <v>4665956</v>
      </c>
      <c r="N31" s="840">
        <v>4805935</v>
      </c>
      <c r="O31" s="840">
        <v>4950113</v>
      </c>
      <c r="P31" s="840">
        <v>5098617</v>
      </c>
      <c r="Q31" s="840">
        <v>5251575</v>
      </c>
    </row>
    <row r="32" spans="1:17">
      <c r="A32" s="37" t="s">
        <v>42</v>
      </c>
      <c r="B32" s="136">
        <f t="shared" si="2"/>
        <v>0</v>
      </c>
      <c r="D32" s="37"/>
      <c r="F32" s="830"/>
      <c r="G32" s="827"/>
      <c r="H32" s="827"/>
      <c r="I32" s="827"/>
      <c r="J32" s="827"/>
      <c r="K32" s="827"/>
      <c r="L32" s="827"/>
      <c r="M32" s="827"/>
      <c r="N32" s="827"/>
      <c r="O32" s="827"/>
      <c r="P32" s="827"/>
      <c r="Q32" s="827"/>
    </row>
    <row r="33" spans="1:17">
      <c r="A33" s="37" t="s">
        <v>43</v>
      </c>
      <c r="B33" s="136">
        <f t="shared" si="2"/>
        <v>166936</v>
      </c>
      <c r="F33" s="841" t="s">
        <v>680</v>
      </c>
      <c r="G33" s="842">
        <v>4543270</v>
      </c>
      <c r="H33" s="842">
        <v>4719774</v>
      </c>
      <c r="I33" s="842">
        <v>4861368</v>
      </c>
      <c r="J33" s="842">
        <v>5007209</v>
      </c>
      <c r="K33" s="842">
        <v>5157425</v>
      </c>
      <c r="L33" s="842">
        <v>5312148</v>
      </c>
      <c r="M33" s="842">
        <v>5471512</v>
      </c>
      <c r="N33" s="842">
        <v>5635657</v>
      </c>
      <c r="O33" s="842">
        <v>5804727</v>
      </c>
      <c r="P33" s="842">
        <v>5978869</v>
      </c>
      <c r="Q33" s="842">
        <v>6158235</v>
      </c>
    </row>
    <row r="34" spans="1:17">
      <c r="A34" s="37" t="s">
        <v>44</v>
      </c>
      <c r="B34" s="136">
        <f t="shared" si="2"/>
        <v>27969</v>
      </c>
      <c r="F34" s="829"/>
      <c r="G34" s="832"/>
      <c r="H34" s="832"/>
      <c r="I34" s="832"/>
      <c r="J34" s="832"/>
      <c r="K34" s="832"/>
      <c r="L34" s="832"/>
      <c r="M34" s="832"/>
      <c r="N34" s="832"/>
      <c r="O34" s="832"/>
      <c r="P34" s="832"/>
      <c r="Q34" s="832"/>
    </row>
    <row r="35" spans="1:17">
      <c r="A35" s="37" t="s">
        <v>45</v>
      </c>
      <c r="B35" s="136">
        <f t="shared" si="2"/>
        <v>0</v>
      </c>
      <c r="F35" s="829" t="s">
        <v>681</v>
      </c>
      <c r="G35" s="832">
        <v>4543270</v>
      </c>
      <c r="H35" s="832">
        <v>4719774</v>
      </c>
      <c r="I35" s="832">
        <v>4861368</v>
      </c>
      <c r="J35" s="832">
        <v>5007209</v>
      </c>
      <c r="K35" s="832">
        <v>5157425</v>
      </c>
      <c r="L35" s="832">
        <v>5312148</v>
      </c>
      <c r="M35" s="832">
        <v>5471512</v>
      </c>
      <c r="N35" s="832">
        <v>5635657</v>
      </c>
      <c r="O35" s="832">
        <v>5804727</v>
      </c>
      <c r="P35" s="832">
        <v>5978869</v>
      </c>
      <c r="Q35" s="832">
        <v>6158235</v>
      </c>
    </row>
    <row r="36" spans="1:17">
      <c r="A36" s="46" t="s">
        <v>46</v>
      </c>
      <c r="B36" s="821">
        <f>SUM(B25:B35)</f>
        <v>3823060</v>
      </c>
      <c r="F36" s="833"/>
      <c r="G36" s="833"/>
      <c r="H36" s="833"/>
      <c r="I36" s="833"/>
      <c r="J36" s="833"/>
      <c r="K36" s="833"/>
      <c r="L36" s="833"/>
      <c r="M36" s="833"/>
      <c r="N36" s="833"/>
      <c r="O36" s="833"/>
      <c r="P36" s="833"/>
      <c r="Q36" s="833"/>
    </row>
    <row r="37" spans="1:17">
      <c r="A37" s="41"/>
      <c r="B37" s="394"/>
    </row>
    <row r="38" spans="1:17">
      <c r="A38" s="34" t="s">
        <v>47</v>
      </c>
      <c r="B38" s="822">
        <f>B36/B21</f>
        <v>0.45244400545953944</v>
      </c>
    </row>
    <row r="39" spans="1:17">
      <c r="A39" s="41"/>
      <c r="B39" s="399"/>
    </row>
    <row r="40" spans="1:17">
      <c r="A40" s="46" t="s">
        <v>48</v>
      </c>
      <c r="B40" s="821">
        <f>B21-B36</f>
        <v>4626737</v>
      </c>
    </row>
    <row r="41" spans="1:17">
      <c r="A41" s="46"/>
      <c r="B41" s="373"/>
    </row>
    <row r="42" spans="1:17">
      <c r="A42" s="55" t="s">
        <v>49</v>
      </c>
      <c r="B42" s="136">
        <f>SUMIFS($G$7:$G$36,$D$7:$D$36,A42)</f>
        <v>83468</v>
      </c>
    </row>
    <row r="43" spans="1:17">
      <c r="A43" s="55" t="s">
        <v>50</v>
      </c>
      <c r="B43" s="367"/>
    </row>
    <row r="44" spans="1:17">
      <c r="A44" s="56" t="s">
        <v>51</v>
      </c>
      <c r="B44" s="821">
        <f>SUM(B42)</f>
        <v>83468</v>
      </c>
    </row>
    <row r="45" spans="1:17">
      <c r="A45" s="46"/>
      <c r="B45" s="404"/>
    </row>
    <row r="46" spans="1:17">
      <c r="A46" s="56" t="s">
        <v>52</v>
      </c>
      <c r="B46" s="821">
        <f>B40-B44</f>
        <v>4543269</v>
      </c>
    </row>
    <row r="47" spans="1:17">
      <c r="A47" s="46"/>
      <c r="B47" s="405"/>
    </row>
    <row r="48" spans="1:17">
      <c r="A48" s="34" t="s">
        <v>651</v>
      </c>
      <c r="B48" s="238">
        <v>3102916.4997299998</v>
      </c>
    </row>
    <row r="49" spans="1:2">
      <c r="A49" s="34"/>
      <c r="B49" s="417"/>
    </row>
    <row r="50" spans="1:2">
      <c r="A50" s="34" t="s">
        <v>652</v>
      </c>
      <c r="B50" s="238">
        <v>2629792.810052081</v>
      </c>
    </row>
    <row r="51" spans="1:2">
      <c r="A51" s="34"/>
      <c r="B51" s="417"/>
    </row>
    <row r="52" spans="1:2">
      <c r="A52" s="34" t="s">
        <v>54</v>
      </c>
      <c r="B52" s="821">
        <f>B46-B48</f>
        <v>1440352.5002700002</v>
      </c>
    </row>
    <row r="53" spans="1:2">
      <c r="A53" s="34"/>
      <c r="B53" s="414"/>
    </row>
    <row r="54" spans="1:2">
      <c r="A54" s="46" t="s">
        <v>451</v>
      </c>
      <c r="B54" s="426">
        <f>B46/B48</f>
        <v>1.4641931229523362</v>
      </c>
    </row>
    <row r="55" spans="1:2">
      <c r="A55" s="46"/>
      <c r="B55" s="419"/>
    </row>
    <row r="56" spans="1:2">
      <c r="A56" s="46" t="s">
        <v>452</v>
      </c>
      <c r="B56" s="426">
        <f>B46/B50</f>
        <v>1.7276148077650362</v>
      </c>
    </row>
    <row r="57" spans="1:2">
      <c r="A57" s="46"/>
      <c r="B57" s="415"/>
    </row>
    <row r="58" spans="1:2">
      <c r="A58" s="46" t="s">
        <v>454</v>
      </c>
      <c r="B58" s="823">
        <f>B46/B6</f>
        <v>9.6233068070856215E-2</v>
      </c>
    </row>
  </sheetData>
  <conditionalFormatting sqref="A48:B56">
    <cfRule type="expression" dxfId="10" priority="72">
      <formula>$F$5=1</formula>
    </cfRule>
  </conditionalFormatting>
  <conditionalFormatting sqref="B11:B47 B6 B8:B9 D8:D12 A9:A47 D21:D30 D32">
    <cfRule type="expression" dxfId="9" priority="70">
      <formula>$G$5=1</formula>
    </cfRule>
  </conditionalFormatting>
  <conditionalFormatting sqref="B47">
    <cfRule type="cellIs" dxfId="8" priority="11" operator="lessThan">
      <formula>#REF!</formula>
    </cfRule>
  </conditionalFormatting>
  <conditionalFormatting sqref="D15:D17">
    <cfRule type="expression" dxfId="7" priority="1">
      <formula>$G$5=1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5FE4-78FC-46FC-BB34-BE1029BEE8CE}">
  <sheetPr>
    <tabColor rgb="FFFFFF00"/>
  </sheetPr>
  <dimension ref="A1:T18"/>
  <sheetViews>
    <sheetView workbookViewId="0">
      <selection sqref="A1:T19"/>
    </sheetView>
  </sheetViews>
  <sheetFormatPr defaultColWidth="9.140625" defaultRowHeight="15" customHeight="1"/>
  <cols>
    <col min="1" max="1" width="32.42578125" customWidth="1"/>
    <col min="2" max="2" width="11" customWidth="1"/>
    <col min="3" max="3" width="10.85546875" customWidth="1"/>
    <col min="4" max="4" width="12.85546875" customWidth="1"/>
    <col min="5" max="5" width="15.7109375" customWidth="1"/>
    <col min="6" max="6" width="9.7109375" customWidth="1"/>
    <col min="7" max="7" width="12" customWidth="1"/>
    <col min="8" max="8" width="16.28515625" customWidth="1"/>
    <col min="9" max="9" width="7.28515625" customWidth="1"/>
    <col min="10" max="10" width="13.42578125" customWidth="1"/>
    <col min="11" max="11" width="9" customWidth="1"/>
    <col min="12" max="12" width="10" customWidth="1"/>
    <col min="13" max="13" width="9.85546875" customWidth="1"/>
    <col min="14" max="14" width="9" customWidth="1"/>
    <col min="15" max="15" width="10" customWidth="1"/>
    <col min="16" max="16" width="9.85546875" customWidth="1"/>
    <col min="17" max="17" width="9.42578125" customWidth="1"/>
    <col min="18" max="18" width="9" customWidth="1"/>
    <col min="19" max="19" width="10" customWidth="1"/>
    <col min="20" max="20" width="9.85546875" customWidth="1"/>
  </cols>
  <sheetData>
    <row r="1" spans="1:20" ht="18.75">
      <c r="A1" s="595"/>
    </row>
    <row r="2" spans="1:20" ht="15.75">
      <c r="A2" s="596"/>
    </row>
    <row r="3" spans="1:20" ht="12.75">
      <c r="A3" s="597"/>
    </row>
    <row r="4" spans="1:20" ht="12.75">
      <c r="A4" s="597"/>
    </row>
    <row r="5" spans="1:20">
      <c r="A5" s="1364"/>
      <c r="B5" s="1364"/>
      <c r="C5" s="1364"/>
      <c r="D5" s="1364"/>
      <c r="E5" s="1364"/>
      <c r="F5" s="1364"/>
      <c r="G5" s="1364"/>
      <c r="H5" s="1364"/>
      <c r="I5" s="1364"/>
      <c r="J5" s="598"/>
      <c r="K5" s="1364"/>
      <c r="L5" s="1364"/>
      <c r="M5" s="1364"/>
      <c r="N5" s="1364"/>
      <c r="O5" s="1364"/>
      <c r="P5" s="1364"/>
      <c r="Q5" s="1364"/>
      <c r="R5" s="1364"/>
      <c r="S5" s="1364"/>
      <c r="T5" s="1364"/>
    </row>
    <row r="6" spans="1:20">
      <c r="A6" s="599"/>
      <c r="B6" s="599"/>
      <c r="C6" s="600"/>
      <c r="D6" s="601"/>
      <c r="E6" s="600"/>
      <c r="F6" s="601"/>
      <c r="G6" s="602"/>
      <c r="H6" s="602"/>
      <c r="I6" s="600"/>
      <c r="J6" s="600"/>
      <c r="K6" s="601"/>
      <c r="L6" s="602"/>
      <c r="M6" s="600"/>
      <c r="N6" s="601"/>
      <c r="O6" s="602"/>
      <c r="P6" s="602"/>
      <c r="Q6" s="600"/>
      <c r="R6" s="601"/>
      <c r="S6" s="602"/>
      <c r="T6" s="600"/>
    </row>
    <row r="7" spans="1:20">
      <c r="A7" s="603"/>
      <c r="B7" s="603"/>
      <c r="C7" s="604"/>
      <c r="D7" s="605"/>
      <c r="E7" s="606"/>
      <c r="F7" s="605"/>
      <c r="G7" s="603"/>
      <c r="H7" s="603"/>
      <c r="I7" s="604"/>
      <c r="J7" s="607"/>
      <c r="K7" s="605"/>
      <c r="L7" s="603"/>
      <c r="M7" s="606"/>
      <c r="N7" s="605"/>
      <c r="O7" s="603"/>
      <c r="P7" s="608"/>
      <c r="Q7" s="606"/>
      <c r="R7" s="605"/>
      <c r="S7" s="603"/>
      <c r="T7" s="606"/>
    </row>
    <row r="8" spans="1:20">
      <c r="A8" s="603"/>
      <c r="B8" s="603"/>
      <c r="C8" s="604"/>
      <c r="D8" s="605"/>
      <c r="E8" s="606"/>
      <c r="F8" s="605"/>
      <c r="G8" s="603"/>
      <c r="H8" s="603"/>
      <c r="I8" s="604"/>
      <c r="J8" s="607"/>
      <c r="K8" s="605"/>
      <c r="L8" s="603"/>
      <c r="M8" s="606"/>
      <c r="N8" s="605"/>
      <c r="O8" s="603"/>
      <c r="P8" s="608"/>
      <c r="Q8" s="606"/>
      <c r="R8" s="605"/>
      <c r="S8" s="603"/>
      <c r="T8" s="606"/>
    </row>
    <row r="9" spans="1:20">
      <c r="A9" s="603"/>
      <c r="B9" s="603"/>
      <c r="C9" s="604"/>
      <c r="D9" s="605"/>
      <c r="E9" s="606"/>
      <c r="F9" s="605"/>
      <c r="G9" s="603"/>
      <c r="H9" s="603"/>
      <c r="I9" s="604"/>
      <c r="J9" s="607"/>
      <c r="K9" s="605"/>
      <c r="L9" s="603"/>
      <c r="M9" s="606"/>
      <c r="N9" s="605"/>
      <c r="O9" s="603"/>
      <c r="P9" s="608"/>
      <c r="Q9" s="606"/>
      <c r="R9" s="605"/>
      <c r="S9" s="603"/>
      <c r="T9" s="606"/>
    </row>
    <row r="10" spans="1:20">
      <c r="A10" s="603"/>
      <c r="B10" s="603"/>
      <c r="C10" s="604"/>
      <c r="D10" s="605"/>
      <c r="E10" s="606"/>
      <c r="F10" s="605"/>
      <c r="G10" s="603"/>
      <c r="H10" s="603"/>
      <c r="I10" s="604"/>
      <c r="J10" s="607"/>
      <c r="K10" s="605"/>
      <c r="L10" s="603"/>
      <c r="M10" s="606"/>
      <c r="N10" s="605"/>
      <c r="O10" s="603"/>
      <c r="P10" s="608"/>
      <c r="Q10" s="606"/>
      <c r="R10" s="605"/>
      <c r="S10" s="603"/>
      <c r="T10" s="606"/>
    </row>
    <row r="11" spans="1:20">
      <c r="A11" s="603"/>
      <c r="B11" s="603"/>
      <c r="C11" s="604"/>
      <c r="D11" s="605"/>
      <c r="E11" s="606"/>
      <c r="F11" s="605"/>
      <c r="G11" s="603"/>
      <c r="H11" s="603"/>
      <c r="I11" s="604"/>
      <c r="J11" s="607"/>
      <c r="K11" s="605"/>
      <c r="L11" s="603"/>
      <c r="M11" s="606"/>
      <c r="N11" s="605"/>
      <c r="O11" s="603"/>
      <c r="P11" s="608"/>
      <c r="Q11" s="606"/>
      <c r="R11" s="605"/>
      <c r="S11" s="603"/>
      <c r="T11" s="606"/>
    </row>
    <row r="12" spans="1:20">
      <c r="A12" s="603"/>
      <c r="B12" s="603"/>
      <c r="C12" s="604"/>
      <c r="D12" s="605"/>
      <c r="E12" s="606"/>
      <c r="F12" s="605"/>
      <c r="G12" s="603"/>
      <c r="H12" s="603"/>
      <c r="I12" s="604"/>
      <c r="J12" s="607"/>
      <c r="K12" s="605"/>
      <c r="L12" s="603"/>
      <c r="M12" s="606"/>
      <c r="N12" s="605"/>
      <c r="O12" s="603"/>
      <c r="P12" s="608"/>
      <c r="Q12" s="606"/>
      <c r="R12" s="605"/>
      <c r="S12" s="603"/>
      <c r="T12" s="606"/>
    </row>
    <row r="13" spans="1:20">
      <c r="A13" s="603"/>
      <c r="B13" s="603"/>
      <c r="C13" s="604"/>
      <c r="D13" s="605"/>
      <c r="E13" s="606"/>
      <c r="F13" s="605"/>
      <c r="G13" s="603"/>
      <c r="H13" s="603"/>
      <c r="I13" s="604"/>
      <c r="J13" s="607"/>
      <c r="K13" s="605"/>
      <c r="L13" s="603"/>
      <c r="M13" s="606"/>
      <c r="N13" s="605"/>
      <c r="O13" s="603"/>
      <c r="P13" s="608"/>
      <c r="Q13" s="606"/>
      <c r="R13" s="605"/>
      <c r="S13" s="603"/>
      <c r="T13" s="606"/>
    </row>
    <row r="14" spans="1:20">
      <c r="A14" s="609"/>
      <c r="B14" s="609"/>
      <c r="C14" s="610"/>
      <c r="D14" s="611"/>
      <c r="E14" s="612"/>
      <c r="F14" s="611"/>
      <c r="G14" s="611"/>
      <c r="H14" s="611"/>
      <c r="I14" s="613"/>
      <c r="J14" s="614"/>
      <c r="K14" s="611"/>
      <c r="L14" s="611"/>
      <c r="M14" s="612"/>
      <c r="N14" s="611"/>
      <c r="O14" s="611"/>
      <c r="P14" s="615"/>
      <c r="Q14" s="612"/>
      <c r="R14" s="611"/>
      <c r="S14" s="611"/>
      <c r="T14" s="612"/>
    </row>
    <row r="16" spans="1:20" ht="15" customHeight="1">
      <c r="K16" s="361"/>
    </row>
    <row r="18" spans="6:17" ht="15" customHeight="1">
      <c r="F18" s="616"/>
      <c r="K18" s="361"/>
      <c r="L18" s="361"/>
      <c r="M18" s="617"/>
      <c r="N18" s="618"/>
      <c r="O18" s="361"/>
      <c r="P18" s="617"/>
      <c r="Q18" s="617"/>
    </row>
  </sheetData>
  <mergeCells count="6">
    <mergeCell ref="R5:T5"/>
    <mergeCell ref="A5:C5"/>
    <mergeCell ref="D5:E5"/>
    <mergeCell ref="F5:I5"/>
    <mergeCell ref="K5:M5"/>
    <mergeCell ref="N5:Q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AC24-BC2F-444D-AFDC-7F3515543CC5}">
  <sheetPr>
    <tabColor rgb="FFFFFF00"/>
  </sheetPr>
  <dimension ref="A1"/>
  <sheetViews>
    <sheetView workbookViewId="0">
      <selection activeCell="G21" sqref="G21"/>
    </sheetView>
  </sheetViews>
  <sheetFormatPr defaultColWidth="9.140625" defaultRowHeight="12.7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6637B-9B8C-4D5F-A0AC-FC2C0D119141}">
  <sheetPr>
    <pageSetUpPr fitToPage="1"/>
  </sheetPr>
  <dimension ref="A1:Q79"/>
  <sheetViews>
    <sheetView showGridLines="0" view="pageBreakPreview" topLeftCell="B1" zoomScale="90" zoomScaleNormal="90" zoomScaleSheetLayoutView="90" workbookViewId="0">
      <selection activeCell="B41" sqref="A41:XFD41"/>
    </sheetView>
  </sheetViews>
  <sheetFormatPr defaultRowHeight="12.75" outlineLevelCol="1"/>
  <cols>
    <col min="1" max="1" width="3.7109375" customWidth="1"/>
    <col min="2" max="2" width="10.140625" customWidth="1" outlineLevel="1"/>
    <col min="3" max="3" width="2" customWidth="1" outlineLevel="1"/>
    <col min="4" max="4" width="48.140625" style="48" customWidth="1"/>
    <col min="5" max="5" width="17.7109375" style="48" customWidth="1"/>
    <col min="6" max="6" width="14.42578125" style="48" bestFit="1" customWidth="1"/>
    <col min="7" max="7" width="15.5703125" style="48" customWidth="1"/>
    <col min="8" max="10" width="15" style="48" customWidth="1"/>
    <col min="11" max="11" width="17" style="48" customWidth="1"/>
    <col min="12" max="12" width="48" style="48" customWidth="1"/>
    <col min="13" max="13" width="12.42578125" style="48" bestFit="1" customWidth="1"/>
    <col min="14" max="14" width="13.42578125" style="48" bestFit="1" customWidth="1"/>
    <col min="15" max="15" width="12.140625" customWidth="1"/>
    <col min="16" max="16" width="20.28515625" customWidth="1"/>
    <col min="18" max="18" width="9" customWidth="1"/>
    <col min="19" max="19" width="14.7109375" customWidth="1"/>
    <col min="20" max="20" width="11.42578125" customWidth="1"/>
    <col min="23" max="23" width="11.7109375" customWidth="1"/>
    <col min="24" max="24" width="10.85546875" customWidth="1"/>
    <col min="27" max="27" width="9" customWidth="1"/>
    <col min="28" max="28" width="10.140625" customWidth="1"/>
  </cols>
  <sheetData>
    <row r="1" spans="1:17" s="63" customFormat="1" ht="15.75">
      <c r="D1" s="1345" t="s">
        <v>0</v>
      </c>
      <c r="E1" s="1345"/>
      <c r="F1" s="1345"/>
      <c r="G1" s="1345"/>
      <c r="H1" s="1345"/>
      <c r="I1" s="1345"/>
      <c r="J1" s="1345"/>
      <c r="K1" s="1345"/>
      <c r="L1" s="513"/>
      <c r="M1" s="513"/>
      <c r="N1" s="513"/>
    </row>
    <row r="2" spans="1:17" s="63" customFormat="1" ht="15.75">
      <c r="A2" s="1054">
        <v>1</v>
      </c>
      <c r="B2" s="226"/>
      <c r="D2" s="1346" t="s">
        <v>56</v>
      </c>
      <c r="E2" s="1346"/>
      <c r="F2" s="1346"/>
      <c r="G2" s="1346"/>
      <c r="H2" s="1346"/>
      <c r="I2" s="1346"/>
      <c r="J2" s="1346"/>
      <c r="K2" s="1346"/>
      <c r="L2" s="514"/>
      <c r="M2" s="514"/>
      <c r="N2" s="514"/>
    </row>
    <row r="3" spans="1:17" s="63" customFormat="1" ht="16.5" thickBot="1">
      <c r="D3" s="1347" t="str">
        <f>"as of "&amp;TEXT($J$14,"m/dd/yyyy")</f>
        <v>as of 9/30/2025</v>
      </c>
      <c r="E3" s="1347"/>
      <c r="F3" s="1347"/>
      <c r="G3" s="1347"/>
      <c r="H3" s="1347"/>
      <c r="I3" s="1347"/>
      <c r="J3" s="1347"/>
      <c r="K3" s="1347"/>
      <c r="L3" s="514"/>
      <c r="M3" s="514"/>
      <c r="N3" s="514"/>
    </row>
    <row r="4" spans="1:17" ht="18.75" customHeight="1" thickTop="1" thickBot="1">
      <c r="D4" s="1" t="s">
        <v>1</v>
      </c>
      <c r="E4" s="2"/>
      <c r="F4" s="3"/>
      <c r="G4" s="2"/>
      <c r="H4" s="1332" t="s">
        <v>2</v>
      </c>
      <c r="I4" s="1332"/>
      <c r="J4" s="4"/>
      <c r="K4" s="4"/>
      <c r="L4" s="516"/>
      <c r="M4" s="516"/>
      <c r="N4" s="516"/>
      <c r="O4" s="5"/>
      <c r="P4" s="5"/>
      <c r="Q4" s="5"/>
    </row>
    <row r="5" spans="1:17" ht="27.75" customHeight="1" thickBot="1">
      <c r="D5" s="6" t="s">
        <v>3</v>
      </c>
      <c r="E5" s="7" t="s">
        <v>4</v>
      </c>
      <c r="F5" s="8" t="s">
        <v>5</v>
      </c>
      <c r="G5" s="9" t="s">
        <v>6</v>
      </c>
      <c r="H5" s="10" t="s">
        <v>7</v>
      </c>
      <c r="I5" s="10" t="s">
        <v>8</v>
      </c>
      <c r="J5" s="10"/>
      <c r="K5" s="10"/>
      <c r="L5" s="10"/>
      <c r="M5" s="10"/>
      <c r="N5" s="10"/>
      <c r="O5" s="5"/>
      <c r="P5" s="5"/>
      <c r="Q5" s="5"/>
    </row>
    <row r="6" spans="1:17">
      <c r="D6" s="11" t="s">
        <v>9</v>
      </c>
      <c r="E6" s="146">
        <f>'DSCR Calc'!H5</f>
        <v>47626516</v>
      </c>
      <c r="F6" s="1056">
        <f>J14</f>
        <v>45930</v>
      </c>
      <c r="G6" s="12"/>
      <c r="H6" s="13">
        <v>0</v>
      </c>
      <c r="I6" s="156">
        <v>1</v>
      </c>
      <c r="J6" s="14"/>
      <c r="K6" s="14"/>
      <c r="L6" s="517"/>
      <c r="M6" s="517"/>
      <c r="N6" s="517"/>
      <c r="O6" s="15"/>
      <c r="P6" s="15"/>
      <c r="Q6" s="15"/>
    </row>
    <row r="7" spans="1:17">
      <c r="D7" s="11" t="s">
        <v>10</v>
      </c>
      <c r="E7" s="13">
        <v>0</v>
      </c>
      <c r="F7" s="83"/>
      <c r="G7" s="12"/>
      <c r="H7" s="13">
        <v>0</v>
      </c>
      <c r="I7" s="156"/>
      <c r="J7" s="14"/>
      <c r="K7" s="14"/>
      <c r="L7" s="517"/>
      <c r="M7" s="517"/>
      <c r="N7" s="517"/>
      <c r="O7" s="15"/>
      <c r="P7" s="15"/>
      <c r="Q7" s="15"/>
    </row>
    <row r="8" spans="1:17">
      <c r="D8" s="16" t="s">
        <v>11</v>
      </c>
      <c r="E8" s="1333" t="s">
        <v>581</v>
      </c>
      <c r="F8" s="1334"/>
      <c r="G8" s="1334"/>
      <c r="H8" s="1334"/>
      <c r="I8" s="1335"/>
      <c r="J8" s="15"/>
      <c r="K8" s="15"/>
      <c r="L8" s="15"/>
      <c r="M8" s="15"/>
      <c r="N8" s="15"/>
      <c r="O8" s="15"/>
      <c r="P8" s="15"/>
      <c r="Q8" s="15"/>
    </row>
    <row r="9" spans="1:17">
      <c r="D9" s="17" t="s">
        <v>12</v>
      </c>
      <c r="E9" s="1336" t="s">
        <v>60</v>
      </c>
      <c r="F9" s="1337"/>
      <c r="G9" s="1337"/>
      <c r="H9" s="1337"/>
      <c r="I9" s="1338"/>
      <c r="J9" s="18"/>
      <c r="K9" s="18"/>
      <c r="L9" s="18"/>
      <c r="M9" s="18"/>
      <c r="N9" s="18"/>
      <c r="O9" s="15"/>
      <c r="P9" s="15"/>
      <c r="Q9" s="15"/>
    </row>
    <row r="10" spans="1:17">
      <c r="D10" s="11" t="s">
        <v>13</v>
      </c>
      <c r="E10" s="1339" t="s">
        <v>582</v>
      </c>
      <c r="F10" s="1340"/>
      <c r="G10" s="1340"/>
      <c r="H10" s="1340"/>
      <c r="I10" s="1341"/>
      <c r="J10" s="18"/>
      <c r="K10" s="18"/>
      <c r="L10" s="18"/>
      <c r="M10" s="18"/>
      <c r="N10" s="18"/>
      <c r="O10" s="15"/>
      <c r="P10" s="15"/>
      <c r="Q10" s="15"/>
    </row>
    <row r="11" spans="1:17">
      <c r="D11" s="19" t="s">
        <v>14</v>
      </c>
      <c r="E11" s="20">
        <v>308</v>
      </c>
      <c r="F11" s="411" t="s">
        <v>59</v>
      </c>
      <c r="G11" s="150"/>
      <c r="H11" s="151"/>
      <c r="I11" s="152"/>
      <c r="J11" s="21"/>
      <c r="K11" s="21"/>
      <c r="L11" s="21"/>
      <c r="M11" s="21"/>
      <c r="N11" s="957"/>
      <c r="O11" s="15"/>
      <c r="P11" s="15"/>
      <c r="Q11" s="15"/>
    </row>
    <row r="12" spans="1:17">
      <c r="D12" s="19" t="s">
        <v>15</v>
      </c>
      <c r="E12" s="84">
        <v>2009</v>
      </c>
      <c r="F12" s="412"/>
      <c r="G12" s="147"/>
      <c r="H12" s="148"/>
      <c r="I12" s="149"/>
      <c r="J12" s="22"/>
      <c r="K12" s="22"/>
      <c r="L12" s="22"/>
      <c r="M12" s="22"/>
      <c r="N12" s="22"/>
      <c r="O12" s="958"/>
      <c r="P12" s="15"/>
      <c r="Q12" s="15"/>
    </row>
    <row r="13" spans="1:17">
      <c r="D13" s="19" t="s">
        <v>16</v>
      </c>
      <c r="E13" s="23">
        <v>200</v>
      </c>
      <c r="F13" s="413" t="s">
        <v>62</v>
      </c>
      <c r="G13" s="150"/>
      <c r="H13" s="151"/>
      <c r="I13" s="153"/>
      <c r="J13" s="22"/>
      <c r="K13" s="22"/>
      <c r="L13" s="22"/>
      <c r="M13" s="22"/>
      <c r="N13" s="22"/>
      <c r="O13" s="958"/>
      <c r="P13" s="15"/>
      <c r="Q13" s="15"/>
    </row>
    <row r="14" spans="1:17">
      <c r="D14" s="24" t="s">
        <v>17</v>
      </c>
      <c r="E14" s="25" t="str">
        <f>'UW Pro Forma CF'!C3</f>
        <v>At Close (In Place)</v>
      </c>
      <c r="F14" s="867">
        <f>'UW Pro Forma CF'!E12</f>
        <v>46173</v>
      </c>
      <c r="G14" s="867">
        <f>'UW Pro Forma CF'!F12</f>
        <v>46538</v>
      </c>
      <c r="H14" s="867">
        <f>'UW Pro Forma CF'!G12</f>
        <v>46904</v>
      </c>
      <c r="I14" s="953">
        <v>45838</v>
      </c>
      <c r="J14" s="953">
        <v>45930</v>
      </c>
      <c r="K14" s="1051">
        <f>J14</f>
        <v>45930</v>
      </c>
      <c r="L14" s="67"/>
      <c r="M14" s="67"/>
      <c r="N14" s="67"/>
      <c r="O14" s="18"/>
      <c r="P14" s="15"/>
      <c r="Q14" s="15"/>
    </row>
    <row r="15" spans="1:17">
      <c r="D15" s="26" t="s">
        <v>18</v>
      </c>
      <c r="E15" s="154">
        <f>'UW Pro Forma CF'!C8</f>
        <v>0.94155844155844159</v>
      </c>
      <c r="F15" s="155">
        <f>'UW Pro Forma CF'!E8</f>
        <v>0.90191795293894805</v>
      </c>
      <c r="G15" s="155">
        <f>'UW Pro Forma CF'!F8</f>
        <v>0.88636363636363635</v>
      </c>
      <c r="H15" s="155">
        <f>'UW Pro Forma CF'!G8</f>
        <v>0.89855214555635654</v>
      </c>
      <c r="I15" s="155">
        <v>0.91879999999999995</v>
      </c>
      <c r="J15" s="1112">
        <f>'Rent Roll'!I376/100</f>
        <v>0.8</v>
      </c>
      <c r="K15" s="1052">
        <f>J15</f>
        <v>0.8</v>
      </c>
      <c r="L15" s="518"/>
      <c r="M15" s="1068" t="s">
        <v>1765</v>
      </c>
      <c r="N15" s="1068" t="s">
        <v>1766</v>
      </c>
      <c r="O15" s="18"/>
      <c r="P15" s="15"/>
      <c r="Q15" s="15"/>
    </row>
    <row r="16" spans="1:17">
      <c r="D16" s="26" t="s">
        <v>19</v>
      </c>
      <c r="E16" s="143">
        <v>45793</v>
      </c>
      <c r="F16" s="868">
        <f>'UW Pro Forma CF'!E12</f>
        <v>46173</v>
      </c>
      <c r="G16" s="868">
        <f>'UW Pro Forma CF'!F12</f>
        <v>46538</v>
      </c>
      <c r="H16" s="868">
        <f>'UW Pro Forma CF'!G12</f>
        <v>46904</v>
      </c>
      <c r="I16" s="143">
        <f>I14</f>
        <v>45838</v>
      </c>
      <c r="J16" s="143">
        <f>J14</f>
        <v>45930</v>
      </c>
      <c r="K16" s="143">
        <f>K14</f>
        <v>45930</v>
      </c>
      <c r="L16" s="68"/>
      <c r="M16" s="1069">
        <v>0.05</v>
      </c>
      <c r="N16" s="1070">
        <f>1-J15</f>
        <v>0.19999999999999996</v>
      </c>
      <c r="O16" s="18"/>
      <c r="P16" s="15"/>
      <c r="Q16" s="15"/>
    </row>
    <row r="17" spans="4:17">
      <c r="D17" s="19"/>
      <c r="E17" s="27" t="s">
        <v>25</v>
      </c>
      <c r="F17" s="28"/>
      <c r="G17" s="28"/>
      <c r="H17" s="28"/>
      <c r="I17" s="29"/>
      <c r="J17" s="29"/>
      <c r="K17" s="29"/>
      <c r="L17" s="29"/>
      <c r="M17" s="999"/>
      <c r="N17" s="29"/>
      <c r="O17" s="18"/>
      <c r="P17" s="15"/>
      <c r="Q17" s="15"/>
    </row>
    <row r="18" spans="4:17" ht="13.5" thickBot="1">
      <c r="D18" s="30"/>
      <c r="E18" s="31" t="s">
        <v>20</v>
      </c>
      <c r="F18" s="32"/>
      <c r="G18" s="32"/>
      <c r="H18" s="32"/>
      <c r="I18" s="32"/>
      <c r="J18" s="32"/>
      <c r="K18" s="32"/>
      <c r="L18" s="18"/>
      <c r="M18" s="18"/>
      <c r="N18" s="18"/>
      <c r="O18" s="15"/>
      <c r="P18" s="15"/>
      <c r="Q18" s="15"/>
    </row>
    <row r="19" spans="4:17" ht="13.5" thickTop="1">
      <c r="D19" s="34" t="s">
        <v>21</v>
      </c>
      <c r="E19" s="35"/>
      <c r="F19" s="36"/>
      <c r="G19" s="36"/>
      <c r="H19" s="36"/>
      <c r="I19" s="36"/>
      <c r="J19" s="36"/>
      <c r="K19" s="36"/>
      <c r="L19" s="36"/>
      <c r="M19" s="36"/>
      <c r="N19" s="36"/>
    </row>
    <row r="20" spans="4:17">
      <c r="D20" s="37" t="s">
        <v>22</v>
      </c>
      <c r="E20" s="33"/>
      <c r="F20" s="76"/>
      <c r="G20" s="76"/>
      <c r="H20" s="76"/>
      <c r="I20" s="76"/>
      <c r="J20" s="39"/>
      <c r="K20" s="110"/>
      <c r="L20" s="64"/>
      <c r="M20" s="54"/>
      <c r="N20" s="54"/>
      <c r="O20" s="54"/>
    </row>
    <row r="21" spans="4:17">
      <c r="D21" s="37" t="s">
        <v>23</v>
      </c>
      <c r="E21" s="89" t="s">
        <v>24</v>
      </c>
      <c r="F21" s="142" t="s">
        <v>684</v>
      </c>
      <c r="G21" s="142" t="s">
        <v>685</v>
      </c>
      <c r="H21" s="142" t="s">
        <v>686</v>
      </c>
      <c r="I21" s="1048" t="s">
        <v>687</v>
      </c>
      <c r="J21" s="135" t="str">
        <f>'Operating Statement'!V11</f>
        <v>T10</v>
      </c>
      <c r="K21" s="40" t="s">
        <v>1777</v>
      </c>
      <c r="L21" s="519" t="s">
        <v>57</v>
      </c>
      <c r="M21" s="579"/>
      <c r="N21" s="1342" t="s">
        <v>1776</v>
      </c>
      <c r="O21" s="1343"/>
      <c r="P21" s="959"/>
    </row>
    <row r="22" spans="4:17">
      <c r="D22" s="37" t="s">
        <v>17</v>
      </c>
      <c r="E22" s="90" t="s">
        <v>25</v>
      </c>
      <c r="F22" s="85">
        <f>'UW Pro Forma CF'!E12</f>
        <v>46173</v>
      </c>
      <c r="G22" s="85">
        <f>'UW Pro Forma CF'!F12</f>
        <v>46538</v>
      </c>
      <c r="H22" s="85">
        <f>'UW Pro Forma CF'!G12</f>
        <v>46904</v>
      </c>
      <c r="I22" s="85">
        <v>45838</v>
      </c>
      <c r="J22" s="1051">
        <f>$J$14</f>
        <v>45930</v>
      </c>
      <c r="K22" s="1051">
        <f>$J$14</f>
        <v>45930</v>
      </c>
      <c r="L22" s="520"/>
      <c r="M22" s="580"/>
      <c r="N22" s="988" t="s">
        <v>1763</v>
      </c>
      <c r="O22" s="988" t="s">
        <v>1764</v>
      </c>
    </row>
    <row r="23" spans="4:17" ht="15">
      <c r="D23" s="940" t="s">
        <v>1756</v>
      </c>
      <c r="E23" s="42">
        <f>'UW Pro Forma CF'!C13</f>
        <v>6960534.0579310348</v>
      </c>
      <c r="F23" s="857">
        <f>'UW Pro Forma CF'!E13</f>
        <v>7125090.4005534863</v>
      </c>
      <c r="G23" s="857">
        <f>'UW Pro Forma CF'!F13</f>
        <v>7547179.0579670602</v>
      </c>
      <c r="H23" s="857">
        <f>'UW Pro Forma CF'!G13</f>
        <v>8052827.5477147922</v>
      </c>
      <c r="I23" s="857">
        <v>6437938.0800000001</v>
      </c>
      <c r="J23" s="136">
        <f>SUMIFS('Operating Statement'!Q:Q,'Operating Statement'!S:S,'1'!D23)</f>
        <v>0</v>
      </c>
      <c r="K23" s="1111" t="e">
        <f>('Rent Roll'!#REF!*12)+'Operating Statement'!V57</f>
        <v>#REF!</v>
      </c>
      <c r="L23" s="1116" t="str">
        <f>"Annualized RR as of "&amp;TEXT(J14,"MM/DD/YYYY") &amp;  " less T4 concessions"</f>
        <v>Annualized RR as of 09/30/2025 less T4 concessions</v>
      </c>
      <c r="M23" s="79"/>
      <c r="N23" s="1050" t="str">
        <f>IFERROR(K23-E23,"N/A")</f>
        <v>N/A</v>
      </c>
      <c r="O23" s="1057" t="str">
        <f>IFERROR(N23/E23,"N/A")</f>
        <v>N/A</v>
      </c>
      <c r="P23" s="960"/>
      <c r="Q23" s="960"/>
    </row>
    <row r="24" spans="4:17" ht="15">
      <c r="D24" s="942" t="s">
        <v>1757</v>
      </c>
      <c r="E24" s="407">
        <f>'UW Pro Forma CF'!C14</f>
        <v>-406784.45793103427</v>
      </c>
      <c r="F24" s="858">
        <f>'UW Pro Forma CF'!E14</f>
        <v>-698843.45198133623</v>
      </c>
      <c r="G24" s="858">
        <f>'UW Pro Forma CF'!F14</f>
        <v>-857633.9838598934</v>
      </c>
      <c r="H24" s="858">
        <f>'UW Pro Forma CF'!G14</f>
        <v>-816942.07692033262</v>
      </c>
      <c r="I24" s="858" t="s">
        <v>1775</v>
      </c>
      <c r="J24" s="408">
        <f>SUMIFS('Operating Statement'!Q:Q,'Operating Statement'!S:S,'1'!D24)</f>
        <v>0</v>
      </c>
      <c r="K24" s="408" t="str">
        <f>IF(N16&lt;M16,(-M16+N16)*K23,"")</f>
        <v/>
      </c>
      <c r="L24" s="521" t="str">
        <f>"Greater of actual vacancy ("&amp;TEXT(N16,"#.0%")&amp;") or "&amp;TEXT(M16,"#.0%")</f>
        <v>Greater of actual vacancy (20.0%) or 5.0%</v>
      </c>
      <c r="M24" s="973"/>
      <c r="N24" s="1050" t="str">
        <f t="shared" ref="N24:N32" si="0">IFERROR(K24-E24,"N/A")</f>
        <v>N/A</v>
      </c>
      <c r="O24" s="1057" t="str">
        <f t="shared" ref="O24:O32" si="1">IFERROR(N24/E24,"N/A")</f>
        <v>N/A</v>
      </c>
      <c r="P24" s="961"/>
      <c r="Q24" s="962"/>
    </row>
    <row r="25" spans="4:17" ht="15">
      <c r="D25" s="44" t="s">
        <v>28</v>
      </c>
      <c r="E25" s="409"/>
      <c r="F25" s="409"/>
      <c r="G25" s="409"/>
      <c r="H25" s="409"/>
      <c r="I25" s="409"/>
      <c r="J25" s="409"/>
      <c r="K25" s="410"/>
      <c r="L25" s="522"/>
      <c r="M25" s="79"/>
      <c r="N25" s="1050">
        <f t="shared" si="0"/>
        <v>0</v>
      </c>
      <c r="O25" s="1057" t="str">
        <f t="shared" si="1"/>
        <v>N/A</v>
      </c>
      <c r="P25" s="226"/>
      <c r="Q25" s="226"/>
    </row>
    <row r="26" spans="4:17" ht="15">
      <c r="D26" s="37" t="s">
        <v>29</v>
      </c>
      <c r="E26" s="407">
        <f>'UW Pro Forma CF'!C16</f>
        <v>0</v>
      </c>
      <c r="F26" s="858"/>
      <c r="G26" s="858"/>
      <c r="H26" s="858"/>
      <c r="I26" s="858"/>
      <c r="J26" s="38"/>
      <c r="K26" s="1043"/>
      <c r="L26" s="521"/>
      <c r="M26" s="79"/>
      <c r="N26" s="1050">
        <f t="shared" si="0"/>
        <v>0</v>
      </c>
      <c r="O26" s="1057" t="str">
        <f t="shared" si="1"/>
        <v>N/A</v>
      </c>
      <c r="P26" s="226"/>
      <c r="Q26" s="226"/>
    </row>
    <row r="27" spans="4:17" ht="15">
      <c r="D27" s="37" t="s">
        <v>61</v>
      </c>
      <c r="E27" s="407">
        <f>'UW Pro Forma CF'!C17</f>
        <v>-25478.68</v>
      </c>
      <c r="F27" s="858">
        <f>'UW Pro Forma CF'!E17</f>
        <v>-16911.176180453025</v>
      </c>
      <c r="G27" s="858">
        <f>'UW Pro Forma CF'!F17</f>
        <v>-17604.065984492547</v>
      </c>
      <c r="H27" s="858">
        <f>'UW Pro Forma CF'!G17</f>
        <v>-19041.803870511736</v>
      </c>
      <c r="I27" s="858">
        <v>-3334.08</v>
      </c>
      <c r="J27" s="408">
        <f>SUMIFS('Operating Statement'!Q:Q,'Operating Statement'!S:S,'1'!D27)</f>
        <v>0</v>
      </c>
      <c r="K27" s="408">
        <f>J27</f>
        <v>0</v>
      </c>
      <c r="L27" s="521" t="str">
        <f>TEXT($J$21,0) &amp;" ended "&amp;TEXT($J$14,"MM/DD/YYYY")</f>
        <v>T10 ended 09/30/2025</v>
      </c>
      <c r="M27" s="79"/>
      <c r="N27" s="1050">
        <f t="shared" si="0"/>
        <v>25478.68</v>
      </c>
      <c r="O27" s="1057">
        <f t="shared" si="1"/>
        <v>-1</v>
      </c>
      <c r="P27" s="226"/>
      <c r="Q27" s="226"/>
    </row>
    <row r="28" spans="4:17" ht="15">
      <c r="D28" s="940" t="s">
        <v>1736</v>
      </c>
      <c r="E28" s="407"/>
      <c r="F28" s="858"/>
      <c r="G28" s="858"/>
      <c r="H28" s="858"/>
      <c r="I28" s="858">
        <v>0</v>
      </c>
      <c r="J28" s="408">
        <f>SUMIFS('Operating Statement'!Q:Q,'Operating Statement'!S:S,'1'!D28)</f>
        <v>0</v>
      </c>
      <c r="K28" s="408">
        <f>J28</f>
        <v>0</v>
      </c>
      <c r="L28" s="521" t="str">
        <f t="shared" ref="L28:L30" si="2">TEXT($J$21,0) &amp;" ended "&amp;TEXT($J$14,"MM/DD/YYYY")</f>
        <v>T10 ended 09/30/2025</v>
      </c>
      <c r="M28" s="79"/>
      <c r="N28" s="1050">
        <f t="shared" si="0"/>
        <v>0</v>
      </c>
      <c r="O28" s="1057" t="str">
        <f t="shared" si="1"/>
        <v>N/A</v>
      </c>
      <c r="P28" s="226"/>
      <c r="Q28" s="226"/>
    </row>
    <row r="29" spans="4:17" ht="15">
      <c r="D29" s="940" t="s">
        <v>1738</v>
      </c>
      <c r="E29" s="407">
        <f>'UW Pro Forma CF'!C18</f>
        <v>17787.239999999998</v>
      </c>
      <c r="F29" s="858">
        <f>'UW Pro Forma CF'!E18</f>
        <v>22176</v>
      </c>
      <c r="G29" s="858">
        <f>'UW Pro Forma CF'!F18</f>
        <v>22841.279999999999</v>
      </c>
      <c r="H29" s="858">
        <f>'UW Pro Forma CF'!G18</f>
        <v>23526.518400000001</v>
      </c>
      <c r="I29" s="858">
        <v>15060</v>
      </c>
      <c r="J29" s="408">
        <f>SUMIFS('Operating Statement'!Q:Q,'Operating Statement'!S:S,'1'!D29)</f>
        <v>0</v>
      </c>
      <c r="K29" s="408">
        <f t="shared" ref="K29" si="3">J29</f>
        <v>0</v>
      </c>
      <c r="L29" s="521" t="str">
        <f t="shared" si="2"/>
        <v>T10 ended 09/30/2025</v>
      </c>
      <c r="M29" s="79"/>
      <c r="N29" s="1050">
        <f t="shared" si="0"/>
        <v>-17787.239999999998</v>
      </c>
      <c r="O29" s="1057">
        <f t="shared" si="1"/>
        <v>-1</v>
      </c>
      <c r="P29" s="963"/>
      <c r="Q29" s="226"/>
    </row>
    <row r="30" spans="4:17" ht="15">
      <c r="D30" s="940" t="s">
        <v>64</v>
      </c>
      <c r="E30" s="944">
        <f>'UW Pro Forma CF'!C19</f>
        <v>553877.46</v>
      </c>
      <c r="F30" s="858">
        <f>'UW Pro Forma CF'!E19</f>
        <v>363880.87069625448</v>
      </c>
      <c r="G30" s="858">
        <f>'UW Pro Forma CF'!F19</f>
        <v>454679.06725600699</v>
      </c>
      <c r="H30" s="858">
        <f>'UW Pro Forma CF'!G19</f>
        <v>608925.34842415468</v>
      </c>
      <c r="I30" s="858">
        <v>782824.20000000007</v>
      </c>
      <c r="J30" s="408">
        <f>SUMIFS('Operating Statement'!Q:Q,'Operating Statement'!S:S,'1'!D30)</f>
        <v>0</v>
      </c>
      <c r="K30" s="1043">
        <f>J30</f>
        <v>0</v>
      </c>
      <c r="L30" s="521" t="str">
        <f t="shared" si="2"/>
        <v>T10 ended 09/30/2025</v>
      </c>
      <c r="M30" s="79"/>
      <c r="N30" s="1050">
        <f t="shared" si="0"/>
        <v>-553877.46</v>
      </c>
      <c r="O30" s="1057">
        <f t="shared" si="1"/>
        <v>-1</v>
      </c>
      <c r="P30" s="960"/>
      <c r="Q30" s="226"/>
    </row>
    <row r="31" spans="4:17" ht="15">
      <c r="D31" s="46"/>
      <c r="E31" s="945"/>
      <c r="F31" s="858"/>
      <c r="G31" s="858"/>
      <c r="H31" s="858"/>
      <c r="I31" s="1049"/>
      <c r="J31" s="946"/>
      <c r="K31" s="947"/>
      <c r="L31" s="1115"/>
      <c r="M31" s="88"/>
      <c r="N31" s="1050">
        <f t="shared" si="0"/>
        <v>0</v>
      </c>
      <c r="O31" s="1057" t="str">
        <f t="shared" si="1"/>
        <v>N/A</v>
      </c>
      <c r="P31" s="964"/>
      <c r="Q31" s="226"/>
    </row>
    <row r="32" spans="4:17" ht="15">
      <c r="D32" s="46" t="s">
        <v>32</v>
      </c>
      <c r="E32" s="127">
        <f>'UW Pro Forma CF'!C21</f>
        <v>7099935.620000001</v>
      </c>
      <c r="F32" s="858">
        <f>'UW Pro Forma CF'!E21</f>
        <v>6795392.6430879515</v>
      </c>
      <c r="G32" s="858">
        <f>'UW Pro Forma CF'!F21</f>
        <v>7149461.3553786818</v>
      </c>
      <c r="H32" s="1040">
        <f>'UW Pro Forma CF'!G21</f>
        <v>7849295.5337481024</v>
      </c>
      <c r="I32" s="1040">
        <v>7232488.2000000002</v>
      </c>
      <c r="J32" s="220">
        <f>SUMIFS('Operating Statement'!Q:Q,'Operating Statement'!S:S,'1'!D32)</f>
        <v>0</v>
      </c>
      <c r="K32" s="948" t="e">
        <f>SUM(K23:K30)</f>
        <v>#REF!</v>
      </c>
      <c r="L32" s="521"/>
      <c r="M32" s="80"/>
      <c r="N32" s="1050" t="str">
        <f t="shared" si="0"/>
        <v>N/A</v>
      </c>
      <c r="O32" s="1057" t="str">
        <f t="shared" si="1"/>
        <v>N/A</v>
      </c>
      <c r="P32" s="226"/>
      <c r="Q32" s="226"/>
    </row>
    <row r="33" spans="4:17">
      <c r="D33" s="33"/>
      <c r="E33" s="128" t="s">
        <v>33</v>
      </c>
      <c r="F33" s="128"/>
      <c r="G33" s="128"/>
      <c r="H33" s="128"/>
      <c r="I33" s="128"/>
      <c r="J33" s="47"/>
      <c r="K33" s="949"/>
      <c r="L33" s="80"/>
      <c r="M33" s="80"/>
      <c r="N33" s="949"/>
      <c r="O33" s="1060"/>
      <c r="P33" s="226"/>
      <c r="Q33" s="226"/>
    </row>
    <row r="34" spans="4:17">
      <c r="D34" s="33"/>
      <c r="E34" s="129"/>
      <c r="F34" s="129"/>
      <c r="G34" s="129"/>
      <c r="H34" s="129"/>
      <c r="I34" s="129"/>
      <c r="J34" s="49"/>
      <c r="K34" s="49"/>
      <c r="L34" s="81"/>
      <c r="M34" s="81"/>
      <c r="N34" s="49"/>
      <c r="O34" s="1061"/>
      <c r="P34" s="226"/>
      <c r="Q34" s="226"/>
    </row>
    <row r="35" spans="4:17">
      <c r="D35" s="34" t="s">
        <v>34</v>
      </c>
      <c r="E35" s="50"/>
      <c r="F35" s="50"/>
      <c r="G35" s="50"/>
      <c r="H35" s="50"/>
      <c r="I35" s="50"/>
      <c r="J35" s="126"/>
      <c r="K35" s="950"/>
      <c r="L35" s="66"/>
      <c r="M35" s="66"/>
      <c r="N35" s="950"/>
      <c r="O35" s="1062"/>
      <c r="P35" s="226"/>
      <c r="Q35" s="226"/>
    </row>
    <row r="36" spans="4:17" ht="15">
      <c r="D36" s="940" t="s">
        <v>674</v>
      </c>
      <c r="E36" s="130">
        <f>'UW Pro Forma CF'!C25</f>
        <v>1485043.5769348999</v>
      </c>
      <c r="F36" s="951">
        <f>'UW Pro Forma CF'!E25</f>
        <v>1484035.539681321</v>
      </c>
      <c r="G36" s="951">
        <f>'UW Pro Forma CF'!F25</f>
        <v>1529382.6379477417</v>
      </c>
      <c r="H36" s="951">
        <f>'UW Pro Forma CF'!G25</f>
        <v>1577209.413236181</v>
      </c>
      <c r="I36" s="951">
        <v>1318188.06</v>
      </c>
      <c r="J36" s="136">
        <f>SUMIFS('Operating Statement'!Q:Q,'Operating Statement'!S:S,'1'!D36)</f>
        <v>0</v>
      </c>
      <c r="K36" s="136">
        <f>+MAX(J36,'RE Tax'!C2)</f>
        <v>1425631.43</v>
      </c>
      <c r="L36" s="521" t="s">
        <v>1823</v>
      </c>
      <c r="M36" s="79"/>
      <c r="N36" s="1071">
        <f t="shared" ref="N36:N47" si="4">IFERROR(K36-E36,"N/A")</f>
        <v>-59412.146934899967</v>
      </c>
      <c r="O36" s="1130">
        <f t="shared" ref="O36:O47" si="5">IFERROR(N36/E36,"N/A")</f>
        <v>-4.0007005759066981E-2</v>
      </c>
      <c r="P36" s="965"/>
      <c r="Q36" s="226"/>
    </row>
    <row r="37" spans="4:17" ht="15">
      <c r="D37" s="940" t="s">
        <v>675</v>
      </c>
      <c r="E37" s="1042">
        <f>'UW Pro Forma CF'!C26</f>
        <v>215600</v>
      </c>
      <c r="F37" s="1041">
        <f>'UW Pro Forma CF'!E26</f>
        <v>215600</v>
      </c>
      <c r="G37" s="1041">
        <f>'UW Pro Forma CF'!F26</f>
        <v>226380</v>
      </c>
      <c r="H37" s="1041">
        <f>'UW Pro Forma CF'!G26</f>
        <v>233171.4</v>
      </c>
      <c r="I37" s="1041">
        <v>76674.58</v>
      </c>
      <c r="J37" s="408">
        <f>SUMIFS('Operating Statement'!Q:Q,'Operating Statement'!S:S,'1'!D37)</f>
        <v>0</v>
      </c>
      <c r="K37" s="408">
        <f>Insurance!C5</f>
        <v>81669.58</v>
      </c>
      <c r="L37" s="521" t="s">
        <v>1774</v>
      </c>
      <c r="M37" s="79"/>
      <c r="N37" s="1050">
        <f t="shared" si="4"/>
        <v>-133930.41999999998</v>
      </c>
      <c r="O37" s="1057">
        <f t="shared" si="5"/>
        <v>-0.62119860853432274</v>
      </c>
      <c r="P37" s="966"/>
      <c r="Q37" s="226"/>
    </row>
    <row r="38" spans="4:17" ht="15">
      <c r="D38" s="941" t="s">
        <v>1759</v>
      </c>
      <c r="E38" s="1042">
        <f>'UW Pro Forma CF'!C27</f>
        <v>378063.92</v>
      </c>
      <c r="F38" s="1041">
        <f>'UW Pro Forma CF'!E27</f>
        <v>369600</v>
      </c>
      <c r="G38" s="1041">
        <f>'UW Pro Forma CF'!F27</f>
        <v>388080</v>
      </c>
      <c r="H38" s="1041">
        <f>'UW Pro Forma CF'!G27</f>
        <v>399722.4</v>
      </c>
      <c r="I38" s="1041">
        <v>388047.24</v>
      </c>
      <c r="J38" s="408">
        <f>SUMIFS('Operating Statement'!Q:Q,'Operating Statement'!S:S,'1'!D38)</f>
        <v>0</v>
      </c>
      <c r="K38" s="877">
        <f>J38</f>
        <v>0</v>
      </c>
      <c r="L38" s="521" t="str">
        <f>TEXT($J$21,0) &amp;" ended "&amp;TEXT($J$14,"MM/DD/YYYY")</f>
        <v>T10 ended 09/30/2025</v>
      </c>
      <c r="M38" s="79"/>
      <c r="N38" s="1050">
        <f t="shared" si="4"/>
        <v>-378063.92</v>
      </c>
      <c r="O38" s="1057">
        <f t="shared" si="5"/>
        <v>-1</v>
      </c>
      <c r="P38" s="966"/>
      <c r="Q38" s="226"/>
    </row>
    <row r="39" spans="4:17" ht="15">
      <c r="D39" s="941" t="s">
        <v>1760</v>
      </c>
      <c r="E39" s="1042">
        <f>'UW Pro Forma CF'!C28</f>
        <v>358377.1</v>
      </c>
      <c r="F39" s="1041">
        <f>'UW Pro Forma CF'!E28</f>
        <v>377300</v>
      </c>
      <c r="G39" s="1041">
        <f>'UW Pro Forma CF'!F28</f>
        <v>396165</v>
      </c>
      <c r="H39" s="1041">
        <f>'UW Pro Forma CF'!G28</f>
        <v>408049.95</v>
      </c>
      <c r="I39" s="1041">
        <v>102901.92</v>
      </c>
      <c r="J39" s="408">
        <f>SUMIFS('Operating Statement'!Q:Q,'Operating Statement'!S:S,'1'!D39)</f>
        <v>0</v>
      </c>
      <c r="K39" s="877">
        <f t="shared" ref="K39:K44" si="6">J39</f>
        <v>0</v>
      </c>
      <c r="L39" s="521" t="str">
        <f>TEXT($J$21,0) &amp;" ended "&amp;TEXT($J$14,"MM/DD/YYYY")</f>
        <v>T10 ended 09/30/2025</v>
      </c>
      <c r="M39" s="79"/>
      <c r="N39" s="1050">
        <f t="shared" si="4"/>
        <v>-358377.1</v>
      </c>
      <c r="O39" s="1057">
        <f t="shared" si="5"/>
        <v>-1</v>
      </c>
      <c r="P39" s="967"/>
      <c r="Q39" s="226"/>
    </row>
    <row r="40" spans="4:17" ht="15">
      <c r="D40" s="940" t="s">
        <v>1741</v>
      </c>
      <c r="E40" s="1042">
        <f>'UW Pro Forma CF'!C29</f>
        <v>177498.39050000004</v>
      </c>
      <c r="F40" s="1041">
        <f>'UW Pro Forma CF'!E29</f>
        <v>169884.8160771988</v>
      </c>
      <c r="G40" s="1041">
        <f>'UW Pro Forma CF'!F29</f>
        <v>178736.53388446703</v>
      </c>
      <c r="H40" s="1041">
        <f>'UW Pro Forma CF'!G29</f>
        <v>196232.38834370257</v>
      </c>
      <c r="I40" s="1041">
        <v>188251.8</v>
      </c>
      <c r="J40" s="408">
        <f>SUMIFS('Operating Statement'!Q:Q,'Operating Statement'!S:S,'1'!D40)</f>
        <v>0</v>
      </c>
      <c r="K40" s="877" t="e">
        <f>+MAX(J40,L40*K32)</f>
        <v>#REF!</v>
      </c>
      <c r="L40" s="1039">
        <v>2.5000000000000001E-2</v>
      </c>
      <c r="M40" s="973"/>
      <c r="N40" s="1050" t="str">
        <f t="shared" si="4"/>
        <v>N/A</v>
      </c>
      <c r="O40" s="1057" t="str">
        <f t="shared" si="5"/>
        <v>N/A</v>
      </c>
      <c r="P40" s="966"/>
      <c r="Q40" s="226"/>
    </row>
    <row r="41" spans="4:17" ht="15">
      <c r="D41" s="941" t="s">
        <v>1761</v>
      </c>
      <c r="E41" s="1042">
        <f>'UW Pro Forma CF'!C30</f>
        <v>688888.3899999999</v>
      </c>
      <c r="F41" s="1041">
        <f>'UW Pro Forma CF'!E30</f>
        <v>646800</v>
      </c>
      <c r="G41" s="1041">
        <f>'UW Pro Forma CF'!F30</f>
        <v>679140</v>
      </c>
      <c r="H41" s="1041">
        <f>'UW Pro Forma CF'!G30</f>
        <v>699514.20000000007</v>
      </c>
      <c r="I41" s="1041">
        <v>172441.56</v>
      </c>
      <c r="J41" s="408">
        <f>SUMIFS('Operating Statement'!Q:Q,'Operating Statement'!S:S,'1'!D41)</f>
        <v>0</v>
      </c>
      <c r="K41" s="877">
        <f t="shared" si="6"/>
        <v>0</v>
      </c>
      <c r="L41" s="521" t="str">
        <f t="shared" ref="L41:L44" si="7">TEXT($J$21,0) &amp;" ended "&amp;TEXT($J$14,"MM/DD/YYYY")</f>
        <v>T10 ended 09/30/2025</v>
      </c>
      <c r="M41" s="79"/>
      <c r="N41" s="1050">
        <f t="shared" si="4"/>
        <v>-688888.3899999999</v>
      </c>
      <c r="O41" s="1057">
        <f t="shared" si="5"/>
        <v>-1</v>
      </c>
      <c r="P41" s="966"/>
      <c r="Q41" s="226"/>
    </row>
    <row r="42" spans="4:17" ht="15">
      <c r="D42" s="940" t="s">
        <v>1742</v>
      </c>
      <c r="E42" s="1042">
        <f>'UW Pro Forma CF'!C31</f>
        <v>265543.05999999994</v>
      </c>
      <c r="F42" s="1041">
        <f>'UW Pro Forma CF'!E31</f>
        <v>261800</v>
      </c>
      <c r="G42" s="1041">
        <f>'UW Pro Forma CF'!F31</f>
        <v>154000</v>
      </c>
      <c r="H42" s="1041">
        <f>'UW Pro Forma CF'!G31</f>
        <v>158620</v>
      </c>
      <c r="I42" s="1041">
        <v>17199.96</v>
      </c>
      <c r="J42" s="408">
        <f>SUMIFS('Operating Statement'!Q:Q,'Operating Statement'!S:S,'1'!D42)</f>
        <v>0</v>
      </c>
      <c r="K42" s="877">
        <f t="shared" si="6"/>
        <v>0</v>
      </c>
      <c r="L42" s="521" t="str">
        <f t="shared" si="7"/>
        <v>T10 ended 09/30/2025</v>
      </c>
      <c r="M42" s="79"/>
      <c r="N42" s="1050">
        <f t="shared" si="4"/>
        <v>-265543.05999999994</v>
      </c>
      <c r="O42" s="1057">
        <f t="shared" si="5"/>
        <v>-1</v>
      </c>
      <c r="P42" s="966"/>
      <c r="Q42" s="226"/>
    </row>
    <row r="43" spans="4:17" ht="15">
      <c r="D43" s="940" t="s">
        <v>1743</v>
      </c>
      <c r="E43" s="1042">
        <f>'UW Pro Forma CF'!C32</f>
        <v>0</v>
      </c>
      <c r="F43" s="1041">
        <f>'UW Pro Forma CF'!E32</f>
        <v>0</v>
      </c>
      <c r="G43" s="1041">
        <f>'UW Pro Forma CF'!F32</f>
        <v>0</v>
      </c>
      <c r="H43" s="1041">
        <f>'UW Pro Forma CF'!G32</f>
        <v>0</v>
      </c>
      <c r="I43" s="1041">
        <v>179175.12</v>
      </c>
      <c r="J43" s="408">
        <f>SUMIFS('Operating Statement'!Q:Q,'Operating Statement'!S:S,'1'!D43)</f>
        <v>0</v>
      </c>
      <c r="K43" s="877">
        <f t="shared" si="6"/>
        <v>0</v>
      </c>
      <c r="L43" s="521" t="str">
        <f t="shared" si="7"/>
        <v>T10 ended 09/30/2025</v>
      </c>
      <c r="M43" s="79"/>
      <c r="N43" s="1050">
        <f t="shared" si="4"/>
        <v>0</v>
      </c>
      <c r="O43" s="1057" t="str">
        <f t="shared" si="5"/>
        <v>N/A</v>
      </c>
      <c r="P43" s="966"/>
      <c r="Q43" s="226"/>
    </row>
    <row r="44" spans="4:17" ht="15">
      <c r="D44" s="940" t="s">
        <v>1744</v>
      </c>
      <c r="E44" s="1042">
        <f>'UW Pro Forma CF'!C33</f>
        <v>122141.05999999998</v>
      </c>
      <c r="F44" s="1041">
        <f>'UW Pro Forma CF'!E33</f>
        <v>123200</v>
      </c>
      <c r="G44" s="1041">
        <f>'UW Pro Forma CF'!F33</f>
        <v>129360</v>
      </c>
      <c r="H44" s="1041">
        <f>'UW Pro Forma CF'!G33</f>
        <v>133240.80000000002</v>
      </c>
      <c r="I44" s="1041">
        <v>198499.56</v>
      </c>
      <c r="J44" s="408">
        <f>SUMIFS('Operating Statement'!Q:Q,'Operating Statement'!S:S,'1'!D44)</f>
        <v>0</v>
      </c>
      <c r="K44" s="877">
        <f t="shared" si="6"/>
        <v>0</v>
      </c>
      <c r="L44" s="521" t="str">
        <f t="shared" si="7"/>
        <v>T10 ended 09/30/2025</v>
      </c>
      <c r="M44" s="79"/>
      <c r="N44" s="1050">
        <f t="shared" si="4"/>
        <v>-122141.05999999998</v>
      </c>
      <c r="O44" s="1057">
        <f t="shared" si="5"/>
        <v>-1</v>
      </c>
      <c r="P44" s="966"/>
      <c r="Q44" s="226"/>
    </row>
    <row r="45" spans="4:17" ht="15">
      <c r="D45" s="940" t="s">
        <v>1745</v>
      </c>
      <c r="E45" s="1042">
        <f>'UW Pro Forma CF'!C34</f>
        <v>59939.109999999986</v>
      </c>
      <c r="F45" s="1041"/>
      <c r="G45" s="1041"/>
      <c r="H45" s="1041"/>
      <c r="I45" s="1041"/>
      <c r="J45" s="408"/>
      <c r="K45" s="408"/>
      <c r="L45" s="521"/>
      <c r="M45" s="79"/>
      <c r="N45" s="1050">
        <f t="shared" si="4"/>
        <v>-59939.109999999986</v>
      </c>
      <c r="O45" s="1057">
        <f t="shared" si="5"/>
        <v>-1</v>
      </c>
      <c r="P45" s="960"/>
      <c r="Q45" s="226"/>
    </row>
    <row r="46" spans="4:17" ht="15">
      <c r="D46" s="940" t="s">
        <v>1746</v>
      </c>
      <c r="E46" s="1042"/>
      <c r="F46" s="1041"/>
      <c r="G46" s="1041"/>
      <c r="H46" s="1041"/>
      <c r="I46" s="1041"/>
      <c r="J46" s="408"/>
      <c r="K46" s="408"/>
      <c r="L46" s="523"/>
      <c r="M46" s="88"/>
      <c r="N46" s="1050">
        <f t="shared" si="4"/>
        <v>0</v>
      </c>
      <c r="O46" s="1057" t="str">
        <f t="shared" si="5"/>
        <v>N/A</v>
      </c>
      <c r="P46" s="964"/>
      <c r="Q46" s="226"/>
    </row>
    <row r="47" spans="4:17" ht="15">
      <c r="D47" s="46" t="s">
        <v>356</v>
      </c>
      <c r="E47" s="131">
        <f>'UW Pro Forma CF'!C36</f>
        <v>3751094.6074349</v>
      </c>
      <c r="F47" s="952">
        <f>'UW Pro Forma CF'!E36</f>
        <v>3648220.3557585198</v>
      </c>
      <c r="G47" s="952">
        <f>'UW Pro Forma CF'!F36</f>
        <v>3681244.171832209</v>
      </c>
      <c r="H47" s="952">
        <f>'UW Pro Forma CF'!G36</f>
        <v>3805760.5515798838</v>
      </c>
      <c r="I47" s="952">
        <v>2641379.8000000003</v>
      </c>
      <c r="J47" s="220">
        <f>SUMIFS('Operating Statement'!Q:Q,'Operating Statement'!S:S,'1'!D47)</f>
        <v>0</v>
      </c>
      <c r="K47" s="220" t="e">
        <f>SUM(K36:K46)</f>
        <v>#REF!</v>
      </c>
      <c r="L47" s="88"/>
      <c r="M47" s="88"/>
      <c r="N47" s="1050" t="str">
        <f t="shared" si="4"/>
        <v>N/A</v>
      </c>
      <c r="O47" s="1057" t="str">
        <f t="shared" si="5"/>
        <v>N/A</v>
      </c>
      <c r="P47" s="964"/>
      <c r="Q47" s="226"/>
    </row>
    <row r="48" spans="4:17" ht="15">
      <c r="D48" s="41"/>
      <c r="E48" s="51"/>
      <c r="F48" s="417"/>
      <c r="G48" s="417"/>
      <c r="H48" s="417"/>
      <c r="I48" s="417"/>
      <c r="J48" s="45"/>
      <c r="K48" s="109"/>
      <c r="L48" s="79"/>
      <c r="M48" s="79"/>
      <c r="N48" s="998"/>
      <c r="O48" s="1064"/>
      <c r="P48" s="226"/>
      <c r="Q48" s="226"/>
    </row>
    <row r="49" spans="4:17" ht="15">
      <c r="D49" s="34" t="s">
        <v>47</v>
      </c>
      <c r="E49" s="52">
        <f>'UW Pro Forma CF'!C38</f>
        <v>0.52832797481548144</v>
      </c>
      <c r="F49" s="396">
        <f>'UW Pro Forma CF'!E38</f>
        <v>0.53686674889483665</v>
      </c>
      <c r="G49" s="396">
        <f>'UW Pro Forma CF'!F38</f>
        <v>0.51489811453596235</v>
      </c>
      <c r="H49" s="396">
        <f>'UW Pro Forma CF'!G38</f>
        <v>0.48485377257321871</v>
      </c>
      <c r="I49" s="396">
        <v>0.36521038499585801</v>
      </c>
      <c r="J49" s="74" t="e">
        <f>J47/J32</f>
        <v>#DIV/0!</v>
      </c>
      <c r="K49" s="74" t="e">
        <f>K47/K32</f>
        <v>#REF!</v>
      </c>
      <c r="L49" s="524"/>
      <c r="M49" s="581"/>
      <c r="N49" s="956"/>
      <c r="O49" s="1065"/>
      <c r="P49" s="226"/>
      <c r="Q49" s="226"/>
    </row>
    <row r="50" spans="4:17" ht="15">
      <c r="D50" s="41"/>
      <c r="E50" s="51"/>
      <c r="F50" s="417"/>
      <c r="G50" s="417"/>
      <c r="H50" s="417"/>
      <c r="I50" s="417"/>
      <c r="J50" s="53"/>
      <c r="K50" s="53"/>
      <c r="L50" s="82"/>
      <c r="M50" s="82"/>
      <c r="N50" s="1072"/>
      <c r="O50" s="1066"/>
      <c r="P50" s="960"/>
    </row>
    <row r="51" spans="4:17" ht="15">
      <c r="D51" s="46" t="s">
        <v>48</v>
      </c>
      <c r="E51" s="131">
        <f>'UW Pro Forma CF'!C40</f>
        <v>3348841.012565101</v>
      </c>
      <c r="F51" s="859">
        <f>'UW Pro Forma CF'!E40</f>
        <v>3147172.2873294316</v>
      </c>
      <c r="G51" s="859">
        <f>'UW Pro Forma CF'!F40</f>
        <v>3468217.1835464728</v>
      </c>
      <c r="H51" s="859">
        <f>'UW Pro Forma CF'!G40</f>
        <v>4043534.9821682186</v>
      </c>
      <c r="I51" s="859">
        <v>4591108.4000000004</v>
      </c>
      <c r="J51" s="1105">
        <f>J32-J47</f>
        <v>0</v>
      </c>
      <c r="K51" s="131" t="e">
        <f>K32-K47</f>
        <v>#REF!</v>
      </c>
      <c r="L51" s="525"/>
      <c r="M51" s="582"/>
      <c r="N51" s="1050" t="str">
        <f>IFERROR(K51-E51,"N/A")</f>
        <v>N/A</v>
      </c>
      <c r="O51" s="1131" t="str">
        <f>IFERROR(N51/E51,"N/A")</f>
        <v>N/A</v>
      </c>
      <c r="P51" s="964"/>
      <c r="Q51" s="145"/>
    </row>
    <row r="52" spans="4:17" ht="15">
      <c r="D52" s="46"/>
      <c r="E52" s="77"/>
      <c r="F52" s="860"/>
      <c r="G52" s="860"/>
      <c r="H52" s="860"/>
      <c r="I52" s="860"/>
      <c r="J52" s="45"/>
      <c r="K52" s="45"/>
      <c r="L52" s="79"/>
      <c r="M52" s="79"/>
      <c r="N52" s="968"/>
      <c r="O52" s="968"/>
      <c r="P52" s="145"/>
    </row>
    <row r="53" spans="4:17" ht="15">
      <c r="D53" s="55" t="s">
        <v>49</v>
      </c>
      <c r="E53" s="577">
        <f>'UW Pro Forma CF'!C42</f>
        <v>61600</v>
      </c>
      <c r="F53" s="861">
        <f>'UW Pro Forma CF'!E42</f>
        <v>61600</v>
      </c>
      <c r="G53" s="861">
        <f>'UW Pro Forma CF'!F42</f>
        <v>61600</v>
      </c>
      <c r="H53" s="861">
        <f>'UW Pro Forma CF'!G42</f>
        <v>61600</v>
      </c>
      <c r="I53" s="861">
        <v>61600</v>
      </c>
      <c r="J53" s="1101">
        <f>'Operating Statement'!Q202</f>
        <v>0</v>
      </c>
      <c r="K53" s="1043">
        <f>L53*E11</f>
        <v>61600</v>
      </c>
      <c r="L53" s="1046">
        <v>200</v>
      </c>
      <c r="M53" s="79"/>
      <c r="N53" s="989"/>
      <c r="O53" s="989"/>
    </row>
    <row r="54" spans="4:17" ht="15">
      <c r="D54" s="55" t="s">
        <v>50</v>
      </c>
      <c r="E54" s="132"/>
      <c r="F54" s="862"/>
      <c r="G54" s="862"/>
      <c r="H54" s="862"/>
      <c r="I54" s="862"/>
      <c r="J54" s="132"/>
      <c r="K54" s="132"/>
      <c r="L54" s="526"/>
      <c r="M54" s="583"/>
      <c r="N54" s="990"/>
      <c r="O54" s="990"/>
    </row>
    <row r="55" spans="4:17" ht="15">
      <c r="D55" s="56" t="s">
        <v>51</v>
      </c>
      <c r="E55" s="133">
        <f>'UW Pro Forma CF'!C44</f>
        <v>61600</v>
      </c>
      <c r="F55" s="863">
        <f>'UW Pro Forma CF'!E44</f>
        <v>61600</v>
      </c>
      <c r="G55" s="863">
        <f>'UW Pro Forma CF'!F44</f>
        <v>61600</v>
      </c>
      <c r="H55" s="863">
        <f>'UW Pro Forma CF'!G44</f>
        <v>61600</v>
      </c>
      <c r="I55" s="863">
        <v>61600</v>
      </c>
      <c r="J55" s="133">
        <f>SUM(J53:J54)</f>
        <v>0</v>
      </c>
      <c r="K55" s="987">
        <f>SUM(K53:K54)</f>
        <v>61600</v>
      </c>
      <c r="L55" s="986"/>
      <c r="M55" s="584"/>
      <c r="N55" s="991"/>
      <c r="O55" s="991"/>
    </row>
    <row r="56" spans="4:17" ht="15">
      <c r="D56" s="46"/>
      <c r="E56" s="78"/>
      <c r="F56" s="864"/>
      <c r="G56" s="864"/>
      <c r="H56" s="864"/>
      <c r="I56" s="864"/>
      <c r="J56" s="57"/>
      <c r="K56" s="975"/>
      <c r="L56" s="976"/>
      <c r="M56" s="88"/>
      <c r="N56" s="992"/>
      <c r="O56" s="992"/>
    </row>
    <row r="57" spans="4:17" ht="15">
      <c r="D57" s="56" t="s">
        <v>52</v>
      </c>
      <c r="E57" s="127">
        <f>'UW Pro Forma CF'!C46</f>
        <v>3287241.012565101</v>
      </c>
      <c r="F57" s="220">
        <f>'UW Pro Forma CF'!E46</f>
        <v>3085572.2873294316</v>
      </c>
      <c r="G57" s="220">
        <f>'UW Pro Forma CF'!F46</f>
        <v>3406617.1835464728</v>
      </c>
      <c r="H57" s="220">
        <f>'UW Pro Forma CF'!G46</f>
        <v>3981934.9821682186</v>
      </c>
      <c r="I57" s="220">
        <v>4529508.4000000004</v>
      </c>
      <c r="J57" s="133">
        <f>J51-J55</f>
        <v>0</v>
      </c>
      <c r="K57" s="133" t="e">
        <f>K51-K55</f>
        <v>#REF!</v>
      </c>
      <c r="L57" s="986"/>
      <c r="M57" s="584"/>
      <c r="N57" s="993"/>
      <c r="O57" s="994"/>
    </row>
    <row r="58" spans="4:17" ht="15">
      <c r="D58" s="33"/>
      <c r="E58" s="33"/>
      <c r="F58" s="865"/>
      <c r="G58" s="865"/>
      <c r="H58" s="865"/>
      <c r="I58" s="865"/>
      <c r="J58" s="33"/>
      <c r="K58" s="981"/>
      <c r="L58" s="982"/>
      <c r="M58" s="66"/>
      <c r="N58" s="554"/>
      <c r="O58" s="554"/>
      <c r="P58" s="970"/>
      <c r="Q58" s="970"/>
    </row>
    <row r="59" spans="4:17" ht="15">
      <c r="D59" s="34" t="s">
        <v>53</v>
      </c>
      <c r="E59" s="127">
        <f>'UW Pro Forma CF'!C48</f>
        <v>3102916.4997299998</v>
      </c>
      <c r="F59" s="220">
        <f>'UW Pro Forma CF'!E48</f>
        <v>2962470.6125462544</v>
      </c>
      <c r="G59" s="220">
        <f>'UW Pro Forma CF'!F48</f>
        <v>2818742.7098348504</v>
      </c>
      <c r="H59" s="220">
        <f>'UW Pro Forma CF'!G48</f>
        <v>2982135.3411511644</v>
      </c>
      <c r="I59" s="220">
        <v>3144495.1843580552</v>
      </c>
      <c r="J59" s="1111">
        <f>'Operating Statement'!Q183</f>
        <v>160683.33600000004</v>
      </c>
      <c r="K59" s="974">
        <f>'DSCR Calc'!H16</f>
        <v>2863478.1265611108</v>
      </c>
      <c r="L59" s="984" t="str">
        <f>"S+"&amp;TEXT('DSCR Calc'!H10*10000,"000")&amp;", SOFR as of "&amp;TEXT($J$14,"MM/DD/YYYY")</f>
        <v>S+225, SOFR as of 09/30/2025</v>
      </c>
      <c r="M59" s="79"/>
      <c r="N59" s="993"/>
      <c r="O59" s="994"/>
      <c r="P59" s="65"/>
      <c r="Q59" s="65"/>
    </row>
    <row r="60" spans="4:17" ht="13.5" customHeight="1">
      <c r="D60" s="34"/>
      <c r="E60" s="58"/>
      <c r="F60" s="866"/>
      <c r="G60" s="866"/>
      <c r="H60" s="866"/>
      <c r="I60" s="866"/>
      <c r="J60" s="58"/>
      <c r="K60" s="977"/>
      <c r="L60" s="978"/>
      <c r="M60" s="88"/>
      <c r="N60" s="969"/>
      <c r="O60" s="969"/>
    </row>
    <row r="61" spans="4:17" ht="15">
      <c r="D61" s="34" t="s">
        <v>54</v>
      </c>
      <c r="E61" s="127">
        <f>'UW Pro Forma CF'!C52</f>
        <v>184324.51283510122</v>
      </c>
      <c r="F61" s="220">
        <f>'UW Pro Forma CF'!E52</f>
        <v>123101.67478317721</v>
      </c>
      <c r="G61" s="220">
        <f>'UW Pro Forma CF'!F52</f>
        <v>587874.47371162241</v>
      </c>
      <c r="H61" s="220">
        <f>'UW Pro Forma CF'!G52</f>
        <v>999799.64101705421</v>
      </c>
      <c r="I61" s="220">
        <v>1385013.2156419451</v>
      </c>
      <c r="J61" s="127">
        <f>J57-J59</f>
        <v>-160683.33600000004</v>
      </c>
      <c r="K61" s="127" t="e">
        <f>K57-K59</f>
        <v>#REF!</v>
      </c>
      <c r="L61" s="985"/>
      <c r="M61" s="88"/>
      <c r="N61" s="995"/>
      <c r="O61" s="993"/>
    </row>
    <row r="62" spans="4:17" ht="15">
      <c r="D62" s="34"/>
      <c r="E62" s="57"/>
      <c r="F62" s="414"/>
      <c r="G62" s="414"/>
      <c r="H62" s="414"/>
      <c r="I62" s="414"/>
      <c r="J62" s="57"/>
      <c r="K62" s="975"/>
      <c r="L62" s="978"/>
      <c r="M62" s="88"/>
      <c r="N62" s="992"/>
      <c r="O62" s="992"/>
    </row>
    <row r="63" spans="4:17" ht="15">
      <c r="D63" s="46" t="s">
        <v>451</v>
      </c>
      <c r="E63" s="855">
        <f>'UW Pro Forma CF'!C54</f>
        <v>1.0594036329534295</v>
      </c>
      <c r="F63" s="192">
        <f>'UW Pro Forma CF'!E54</f>
        <v>1.0415537201489302</v>
      </c>
      <c r="G63" s="192">
        <f>'UW Pro Forma CF'!F54</f>
        <v>1.2085591110038085</v>
      </c>
      <c r="H63" s="192">
        <f>'UW Pro Forma CF'!G54</f>
        <v>1.3352630000458368</v>
      </c>
      <c r="I63" s="192">
        <v>1.4600462493432851</v>
      </c>
      <c r="J63" s="75">
        <f>J51/J59</f>
        <v>0</v>
      </c>
      <c r="K63" s="75" t="e">
        <f>K51/K59</f>
        <v>#REF!</v>
      </c>
      <c r="L63" s="985"/>
      <c r="M63" s="88"/>
      <c r="N63" s="996"/>
      <c r="O63" s="997"/>
      <c r="Q63" s="972"/>
    </row>
    <row r="64" spans="4:17" ht="15">
      <c r="D64" s="46"/>
      <c r="E64" s="856"/>
      <c r="F64" s="415"/>
      <c r="G64" s="415"/>
      <c r="H64" s="415"/>
      <c r="I64" s="415"/>
      <c r="J64" s="87"/>
      <c r="K64" s="979"/>
      <c r="L64" s="978"/>
      <c r="M64" s="88"/>
      <c r="N64" s="971"/>
      <c r="O64" s="971"/>
    </row>
    <row r="65" spans="4:15" ht="15" collapsed="1">
      <c r="D65" s="46" t="s">
        <v>452</v>
      </c>
      <c r="E65" s="855">
        <f>'UW Pro Forma CF'!C56</f>
        <v>1.25</v>
      </c>
      <c r="F65" s="192">
        <f>'UW Pro Forma CF'!E56</f>
        <v>1.25</v>
      </c>
      <c r="G65" s="192">
        <f>'UW Pro Forma CF'!F56</f>
        <v>1.2500000000000004</v>
      </c>
      <c r="H65" s="192">
        <f>'UW Pro Forma CF'!G56</f>
        <v>1.2499999999999998</v>
      </c>
      <c r="I65" s="192">
        <v>1.2209978065508318</v>
      </c>
      <c r="J65" s="75">
        <f>+J57/'DSCR Calc'!$H$17</f>
        <v>0</v>
      </c>
      <c r="K65" s="75">
        <f>'DSCR Calc'!H20</f>
        <v>1.0384200813054618</v>
      </c>
      <c r="L65" s="984" t="s">
        <v>453</v>
      </c>
      <c r="M65" s="79"/>
      <c r="N65" s="997"/>
      <c r="O65" s="997"/>
    </row>
    <row r="66" spans="4:15" ht="15">
      <c r="D66" s="46"/>
      <c r="E66" s="856"/>
      <c r="F66" s="415"/>
      <c r="G66" s="415"/>
      <c r="H66" s="415"/>
      <c r="I66" s="415"/>
      <c r="J66" s="87"/>
      <c r="K66" s="87"/>
      <c r="L66" s="978"/>
      <c r="M66" s="88"/>
      <c r="N66" s="971"/>
      <c r="O66" s="971"/>
    </row>
    <row r="67" spans="4:15" ht="15">
      <c r="D67" s="46" t="s">
        <v>454</v>
      </c>
      <c r="E67" s="823">
        <f>'UW Pro Forma CF'!C58</f>
        <v>6.9628562193321086E-2</v>
      </c>
      <c r="F67" s="416">
        <f>'UW Pro Forma CF'!E58</f>
        <v>6.1806380614773039E-2</v>
      </c>
      <c r="G67" s="416">
        <f>'UW Pro Forma CF'!F58</f>
        <v>6.5488109847729362E-2</v>
      </c>
      <c r="H67" s="416">
        <f>'UW Pro Forma CF'!G58</f>
        <v>7.4462651791998999E-2</v>
      </c>
      <c r="I67" s="416">
        <v>9.724637638182547E-2</v>
      </c>
      <c r="J67" s="274">
        <f>J51/($E$6)</f>
        <v>0</v>
      </c>
      <c r="K67" s="983" t="e">
        <f>K51/$E$6</f>
        <v>#REF!</v>
      </c>
      <c r="L67" s="980">
        <v>6.5000000000000002E-2</v>
      </c>
      <c r="M67" s="585"/>
      <c r="N67" s="997"/>
      <c r="O67" s="997"/>
    </row>
    <row r="68" spans="4:15" ht="15">
      <c r="D68" s="46"/>
      <c r="E68" s="57"/>
      <c r="F68" s="57"/>
      <c r="G68" s="57"/>
      <c r="H68" s="57"/>
      <c r="I68" s="57"/>
      <c r="J68" s="62"/>
      <c r="K68" s="58"/>
      <c r="L68" s="58"/>
      <c r="N68" s="997"/>
      <c r="O68" s="997"/>
    </row>
    <row r="69" spans="4:15">
      <c r="D69" s="54" t="s">
        <v>55</v>
      </c>
      <c r="E69" s="38"/>
      <c r="F69" s="38"/>
      <c r="G69" s="38"/>
      <c r="H69" s="38"/>
      <c r="I69" s="38"/>
      <c r="J69" s="38"/>
      <c r="K69" s="33"/>
      <c r="L69" s="33"/>
      <c r="M69" s="58"/>
      <c r="N69" s="58"/>
    </row>
    <row r="70" spans="4:15">
      <c r="D70" s="54"/>
      <c r="E70" s="33"/>
      <c r="F70" s="33"/>
      <c r="G70" s="33"/>
      <c r="H70" s="33"/>
      <c r="I70" s="33"/>
      <c r="J70" s="33"/>
      <c r="K70" s="33"/>
      <c r="L70" s="33"/>
      <c r="M70" s="33"/>
      <c r="N70" s="33"/>
    </row>
    <row r="71" spans="4:15" ht="13.5" thickBot="1">
      <c r="D71" s="59"/>
      <c r="E71" s="60"/>
      <c r="F71" s="61"/>
      <c r="G71" s="61"/>
      <c r="H71" s="61"/>
      <c r="I71" s="71"/>
      <c r="J71" s="61"/>
      <c r="K71" s="61"/>
      <c r="L71" s="33"/>
      <c r="M71" s="33"/>
      <c r="N71" s="33"/>
    </row>
    <row r="72" spans="4:15">
      <c r="L72" s="1100"/>
      <c r="M72" s="33"/>
      <c r="N72" s="33"/>
    </row>
    <row r="73" spans="4:15">
      <c r="D73" s="56"/>
      <c r="E73" s="33"/>
      <c r="F73" s="33"/>
      <c r="G73" s="33"/>
      <c r="H73" s="33"/>
      <c r="I73" s="33"/>
      <c r="J73" s="33"/>
      <c r="K73" s="33"/>
      <c r="L73" s="33"/>
    </row>
    <row r="74" spans="4:15" ht="14.25">
      <c r="D74" s="1344"/>
      <c r="E74" s="1344"/>
      <c r="F74" s="1344"/>
      <c r="G74" s="1344"/>
      <c r="H74" s="1344"/>
      <c r="I74" s="1344"/>
      <c r="J74" s="1344"/>
      <c r="K74" s="1344"/>
      <c r="L74" s="515"/>
      <c r="M74" s="33"/>
      <c r="N74" s="33"/>
    </row>
    <row r="75" spans="4:15" ht="14.25">
      <c r="D75" s="1344"/>
      <c r="E75" s="1344"/>
      <c r="F75" s="1344"/>
      <c r="G75" s="1344"/>
      <c r="H75" s="1344"/>
      <c r="I75" s="1344"/>
      <c r="J75" s="1344"/>
      <c r="K75" s="1344"/>
      <c r="L75" s="515"/>
      <c r="M75" s="515"/>
      <c r="N75" s="515"/>
    </row>
    <row r="76" spans="4:15" ht="14.25">
      <c r="D76" s="1344"/>
      <c r="E76" s="1344"/>
      <c r="F76" s="1344"/>
      <c r="G76" s="1344"/>
      <c r="H76" s="1344"/>
      <c r="I76" s="1344"/>
      <c r="J76" s="1344"/>
      <c r="K76" s="1344"/>
      <c r="L76" s="515"/>
      <c r="M76" s="515"/>
      <c r="N76" s="515"/>
    </row>
    <row r="77" spans="4:15" ht="14.25">
      <c r="D77" s="1344"/>
      <c r="E77" s="1344"/>
      <c r="F77" s="1344"/>
      <c r="G77" s="1344"/>
      <c r="H77" s="1344"/>
      <c r="I77" s="1344"/>
      <c r="J77" s="1344"/>
      <c r="K77" s="1344"/>
      <c r="L77" s="515"/>
      <c r="M77" s="515"/>
      <c r="N77" s="515"/>
    </row>
    <row r="78" spans="4:15" ht="14.25">
      <c r="D78" s="1344"/>
      <c r="E78" s="1344"/>
      <c r="F78" s="1344"/>
      <c r="G78" s="1344"/>
      <c r="H78" s="1344"/>
      <c r="I78" s="1344"/>
      <c r="J78" s="1344"/>
      <c r="K78" s="1344"/>
      <c r="L78" s="515"/>
      <c r="M78" s="515"/>
      <c r="N78" s="515"/>
    </row>
    <row r="79" spans="4:15" ht="14.25">
      <c r="M79" s="515"/>
      <c r="N79" s="515"/>
    </row>
  </sheetData>
  <mergeCells count="9">
    <mergeCell ref="E10:I10"/>
    <mergeCell ref="N21:O21"/>
    <mergeCell ref="D74:K78"/>
    <mergeCell ref="D1:K1"/>
    <mergeCell ref="D2:K2"/>
    <mergeCell ref="D3:K3"/>
    <mergeCell ref="H4:I4"/>
    <mergeCell ref="E8:I8"/>
    <mergeCell ref="E9:I9"/>
  </mergeCells>
  <conditionalFormatting sqref="D1:N10 D11:M11 D12:N19 D20:O20 D21:N21 D22:M65 N22:O68">
    <cfRule type="expression" dxfId="6" priority="1">
      <formula>$A$2=1</formula>
    </cfRule>
  </conditionalFormatting>
  <conditionalFormatting sqref="J67:K67">
    <cfRule type="cellIs" dxfId="5" priority="3" operator="lessThan">
      <formula>$L$67</formula>
    </cfRule>
  </conditionalFormatting>
  <conditionalFormatting sqref="K24">
    <cfRule type="expression" dxfId="4" priority="2">
      <formula>#REF!=1</formula>
    </cfRule>
  </conditionalFormatting>
  <dataValidations count="2">
    <dataValidation type="list" allowBlank="1" showInputMessage="1" showErrorMessage="1" sqref="A2" xr:uid="{8C26CFE2-D864-4A88-9708-456C255470E8}">
      <formula1>"0,1"</formula1>
    </dataValidation>
    <dataValidation type="list" allowBlank="1" showInputMessage="1" showErrorMessage="1" sqref="Q59" xr:uid="{0E7200F4-5720-4964-B20F-4A972FE01EB7}">
      <formula1>"3.00%, =Benchmark"</formula1>
    </dataValidation>
  </dataValidations>
  <pageMargins left="0.75" right="0.25" top="0.5" bottom="0.63" header="0.5" footer="0.32"/>
  <pageSetup scale="44" firstPageNumber="75" orientation="portrait" useFirstPageNumber="1" r:id="rId1"/>
  <headerFooter alignWithMargins="0"/>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1150-4558-49A5-B330-5127E3C73FF6}">
  <sheetPr>
    <tabColor rgb="FFFFFF00"/>
    <pageSetUpPr fitToPage="1"/>
  </sheetPr>
  <dimension ref="A1:W361"/>
  <sheetViews>
    <sheetView topLeftCell="G1" workbookViewId="0">
      <selection activeCell="Q24" sqref="Q24"/>
    </sheetView>
  </sheetViews>
  <sheetFormatPr defaultColWidth="9.140625" defaultRowHeight="12.75"/>
  <cols>
    <col min="1" max="1" width="11.42578125" style="108" customWidth="1"/>
    <col min="2" max="2" width="37.140625" style="108" customWidth="1"/>
    <col min="3" max="15" width="12.85546875" style="108" customWidth="1"/>
    <col min="16" max="16" width="9.140625" style="108"/>
    <col min="17" max="17" width="22.5703125" style="108" bestFit="1" customWidth="1"/>
    <col min="18" max="19" width="9.140625" style="108"/>
    <col min="20" max="20" width="39.85546875" style="108" customWidth="1"/>
    <col min="21" max="21" width="22.5703125" style="108" bestFit="1" customWidth="1"/>
    <col min="22" max="22" width="9.140625" style="108"/>
    <col min="23" max="23" width="10.7109375" style="108" bestFit="1" customWidth="1"/>
    <col min="24" max="16384" width="9.140625" style="108"/>
  </cols>
  <sheetData>
    <row r="1" spans="1:21" ht="15" customHeight="1">
      <c r="A1" s="571"/>
      <c r="B1" s="571"/>
      <c r="C1" s="571"/>
      <c r="D1" s="571"/>
      <c r="E1" s="571"/>
      <c r="F1" s="571"/>
      <c r="G1" s="571"/>
      <c r="H1" s="571"/>
      <c r="I1" s="571"/>
      <c r="J1" s="571"/>
      <c r="K1" s="571"/>
      <c r="L1" s="571"/>
      <c r="M1" s="571"/>
      <c r="N1" s="571"/>
      <c r="O1" s="571"/>
    </row>
    <row r="2" spans="1:21" ht="15.75" customHeight="1">
      <c r="A2" s="572"/>
      <c r="B2" s="572"/>
      <c r="C2" s="572"/>
      <c r="D2" s="572"/>
      <c r="E2" s="572"/>
      <c r="F2" s="572"/>
      <c r="G2" s="572"/>
      <c r="H2" s="572"/>
      <c r="I2" s="572"/>
      <c r="J2" s="572"/>
      <c r="K2" s="572"/>
      <c r="L2" s="572"/>
      <c r="M2" s="572"/>
      <c r="N2" s="572"/>
      <c r="O2" s="572"/>
    </row>
    <row r="3" spans="1:21" ht="15" customHeight="1">
      <c r="A3" s="571"/>
      <c r="B3" s="571"/>
      <c r="C3" s="571"/>
      <c r="D3" s="571"/>
      <c r="E3" s="571"/>
      <c r="F3" s="571"/>
      <c r="G3" s="571"/>
      <c r="H3" s="571"/>
      <c r="I3" s="571"/>
      <c r="J3" s="571"/>
      <c r="K3" s="571"/>
      <c r="L3" s="571"/>
      <c r="M3" s="571"/>
      <c r="N3" s="571"/>
      <c r="O3" s="571"/>
    </row>
    <row r="4" spans="1:21" ht="15" customHeight="1">
      <c r="A4" s="571"/>
      <c r="B4" s="571"/>
      <c r="C4" s="571"/>
      <c r="D4" s="571"/>
      <c r="E4" s="571"/>
      <c r="F4" s="571"/>
      <c r="G4" s="571"/>
      <c r="H4" s="571"/>
      <c r="I4" s="571"/>
      <c r="J4" s="571"/>
      <c r="K4" s="571"/>
      <c r="L4" s="571"/>
      <c r="M4" s="571"/>
      <c r="N4" s="571"/>
      <c r="O4" s="571"/>
    </row>
    <row r="5" spans="1:21" ht="15" customHeight="1">
      <c r="A5" s="113"/>
      <c r="B5" s="114"/>
      <c r="C5" s="113"/>
      <c r="D5" s="113"/>
      <c r="E5" s="113"/>
      <c r="F5" s="113"/>
      <c r="G5" s="113"/>
      <c r="H5" s="113"/>
      <c r="I5" s="113"/>
      <c r="J5" s="113"/>
      <c r="K5" s="113"/>
      <c r="L5" s="113"/>
      <c r="M5" s="113"/>
      <c r="N5" s="113"/>
      <c r="O5" s="113"/>
      <c r="Q5" s="255"/>
      <c r="T5" s="193" t="s">
        <v>573</v>
      </c>
      <c r="U5"/>
    </row>
    <row r="6" spans="1:21" ht="15" customHeight="1">
      <c r="A6" s="113"/>
      <c r="B6" s="114"/>
      <c r="C6" s="955"/>
      <c r="D6" s="955"/>
      <c r="E6" s="955"/>
      <c r="F6" s="955"/>
      <c r="G6" s="955"/>
      <c r="H6" s="955"/>
      <c r="I6" s="955"/>
      <c r="J6" s="955"/>
      <c r="K6" s="955"/>
      <c r="L6" s="955"/>
      <c r="M6" s="955"/>
      <c r="N6" s="955"/>
      <c r="O6" s="955"/>
      <c r="Q6" s="255"/>
      <c r="T6" s="333" t="s">
        <v>362</v>
      </c>
      <c r="U6" s="334"/>
    </row>
    <row r="7" spans="1:21" ht="15" customHeight="1">
      <c r="A7" s="113"/>
      <c r="B7" s="114"/>
      <c r="C7" s="113"/>
      <c r="D7" s="113"/>
      <c r="E7" s="113"/>
      <c r="F7" s="113"/>
      <c r="G7" s="113"/>
      <c r="H7" s="113"/>
      <c r="I7" s="113"/>
      <c r="J7" s="113"/>
      <c r="K7" s="113"/>
      <c r="L7" s="113"/>
      <c r="M7" s="113"/>
      <c r="N7" s="113"/>
      <c r="O7" s="113"/>
      <c r="Q7" s="255"/>
      <c r="T7" s="337" t="s">
        <v>360</v>
      </c>
      <c r="U7" s="338"/>
    </row>
    <row r="8" spans="1:21" ht="15" customHeight="1">
      <c r="A8" s="113"/>
      <c r="B8" s="114"/>
      <c r="C8" s="116"/>
      <c r="D8" s="116"/>
      <c r="E8" s="116"/>
      <c r="F8" s="116"/>
      <c r="G8" s="116"/>
      <c r="H8" s="116"/>
      <c r="I8" s="116"/>
      <c r="J8" s="116"/>
      <c r="K8" s="116"/>
      <c r="L8" s="116"/>
      <c r="M8" s="116"/>
      <c r="N8" s="116"/>
      <c r="O8" s="116"/>
      <c r="Q8" s="185"/>
      <c r="T8" s="341"/>
      <c r="U8" s="341"/>
    </row>
    <row r="9" spans="1:21" ht="15" customHeight="1">
      <c r="A9" s="111"/>
      <c r="B9" s="69"/>
      <c r="C9" s="70"/>
      <c r="D9" s="70"/>
      <c r="E9" s="70"/>
      <c r="F9" s="70"/>
      <c r="G9" s="70"/>
      <c r="H9" s="70"/>
      <c r="I9" s="70"/>
      <c r="J9" s="70"/>
      <c r="K9" s="70"/>
      <c r="L9" s="70"/>
      <c r="M9" s="70"/>
      <c r="N9" s="70"/>
      <c r="O9" s="70"/>
      <c r="Q9" s="185"/>
      <c r="T9" s="72" t="s">
        <v>317</v>
      </c>
      <c r="U9" s="424">
        <f>'DSCR Calc'!H5</f>
        <v>47626516</v>
      </c>
    </row>
    <row r="10" spans="1:21" ht="15" customHeight="1">
      <c r="A10" s="111"/>
      <c r="B10" s="69"/>
      <c r="C10" s="70"/>
      <c r="D10" s="70"/>
      <c r="E10" s="70"/>
      <c r="F10" s="70"/>
      <c r="G10" s="70"/>
      <c r="H10" s="70"/>
      <c r="I10" s="70"/>
      <c r="J10" s="70"/>
      <c r="K10" s="70"/>
      <c r="L10" s="70"/>
      <c r="M10" s="70"/>
      <c r="N10" s="70"/>
      <c r="O10" s="70"/>
      <c r="Q10" s="185"/>
      <c r="T10" s="341"/>
      <c r="U10" s="341"/>
    </row>
    <row r="11" spans="1:21" ht="15" customHeight="1">
      <c r="A11" s="113"/>
      <c r="B11" s="114"/>
      <c r="C11" s="121"/>
      <c r="D11" s="121"/>
      <c r="E11" s="121"/>
      <c r="F11" s="121"/>
      <c r="G11" s="121"/>
      <c r="H11" s="121"/>
      <c r="I11" s="121"/>
      <c r="J11" s="121"/>
      <c r="K11" s="121"/>
      <c r="L11" s="121"/>
      <c r="M11" s="121"/>
      <c r="N11" s="121"/>
      <c r="O11" s="121"/>
      <c r="Q11" s="186"/>
      <c r="T11" s="72" t="s">
        <v>449</v>
      </c>
      <c r="U11" s="343">
        <f>O6</f>
        <v>0</v>
      </c>
    </row>
    <row r="12" spans="1:21" ht="15" customHeight="1">
      <c r="A12" s="111"/>
      <c r="B12" s="69"/>
      <c r="C12" s="111"/>
      <c r="D12" s="111"/>
      <c r="E12" s="111"/>
      <c r="F12" s="111"/>
      <c r="G12" s="111"/>
      <c r="H12" s="111"/>
      <c r="I12" s="111"/>
      <c r="J12" s="111"/>
      <c r="K12" s="111"/>
      <c r="L12" s="111"/>
      <c r="M12" s="111"/>
      <c r="N12" s="111"/>
      <c r="O12" s="111"/>
      <c r="Q12" s="185"/>
      <c r="T12" s="34" t="s">
        <v>21</v>
      </c>
      <c r="U12" s="347"/>
    </row>
    <row r="13" spans="1:21" ht="15" customHeight="1">
      <c r="A13" s="113"/>
      <c r="B13" s="114"/>
      <c r="C13" s="116"/>
      <c r="D13" s="116"/>
      <c r="E13" s="116"/>
      <c r="F13" s="116"/>
      <c r="G13" s="116"/>
      <c r="H13" s="116"/>
      <c r="I13" s="116"/>
      <c r="J13" s="116"/>
      <c r="K13" s="116"/>
      <c r="L13" s="116"/>
      <c r="M13" s="116"/>
      <c r="N13" s="116"/>
      <c r="O13" s="116"/>
      <c r="Q13" s="185"/>
      <c r="T13" s="37" t="s">
        <v>22</v>
      </c>
      <c r="U13" s="341"/>
    </row>
    <row r="14" spans="1:21" ht="15" customHeight="1">
      <c r="A14" s="111"/>
      <c r="B14" s="69"/>
      <c r="C14" s="70"/>
      <c r="D14" s="70"/>
      <c r="E14" s="70"/>
      <c r="F14" s="70"/>
      <c r="G14" s="70"/>
      <c r="H14" s="70"/>
      <c r="I14" s="70"/>
      <c r="J14" s="70"/>
      <c r="K14" s="70"/>
      <c r="L14" s="70"/>
      <c r="M14" s="70"/>
      <c r="N14" s="70"/>
      <c r="O14" s="70"/>
      <c r="Q14" s="185"/>
      <c r="T14" s="37" t="s">
        <v>23</v>
      </c>
      <c r="U14" s="40" t="s">
        <v>367</v>
      </c>
    </row>
    <row r="15" spans="1:21" ht="15" customHeight="1">
      <c r="A15" s="111"/>
      <c r="B15" s="69"/>
      <c r="C15" s="70"/>
      <c r="D15" s="70"/>
      <c r="E15" s="70"/>
      <c r="F15" s="70"/>
      <c r="G15" s="70"/>
      <c r="H15" s="70"/>
      <c r="I15" s="70"/>
      <c r="J15" s="70"/>
      <c r="K15" s="70"/>
      <c r="L15" s="70"/>
      <c r="M15" s="70"/>
      <c r="N15" s="70"/>
      <c r="O15" s="70"/>
      <c r="Q15" s="185"/>
      <c r="T15" s="37" t="s">
        <v>17</v>
      </c>
      <c r="U15" s="362">
        <v>46022</v>
      </c>
    </row>
    <row r="16" spans="1:21" ht="15" customHeight="1">
      <c r="A16" s="111"/>
      <c r="B16" s="69"/>
      <c r="C16" s="70"/>
      <c r="D16" s="70"/>
      <c r="E16" s="70"/>
      <c r="F16" s="70"/>
      <c r="G16" s="70"/>
      <c r="H16" s="70"/>
      <c r="I16" s="70"/>
      <c r="J16" s="70"/>
      <c r="K16" s="70"/>
      <c r="L16" s="70"/>
      <c r="M16" s="70"/>
      <c r="N16" s="70"/>
      <c r="O16" s="70"/>
      <c r="Q16" s="185"/>
      <c r="T16" s="37" t="s">
        <v>26</v>
      </c>
      <c r="U16" s="136">
        <f>SUMIF($Q:$Q,T16,$O:$O)</f>
        <v>0</v>
      </c>
    </row>
    <row r="17" spans="1:21" ht="15" customHeight="1">
      <c r="A17" s="111"/>
      <c r="B17" s="69"/>
      <c r="C17" s="70"/>
      <c r="D17" s="70"/>
      <c r="E17" s="70"/>
      <c r="F17" s="70"/>
      <c r="G17" s="70"/>
      <c r="H17" s="70"/>
      <c r="I17" s="70"/>
      <c r="J17" s="70"/>
      <c r="K17" s="70"/>
      <c r="L17" s="70"/>
      <c r="M17" s="70"/>
      <c r="N17" s="70"/>
      <c r="O17" s="70"/>
      <c r="T17" s="43" t="s">
        <v>27</v>
      </c>
      <c r="U17" s="136">
        <f>SUMIF($Q:$Q,T17,$O:$O)</f>
        <v>0</v>
      </c>
    </row>
    <row r="18" spans="1:21" ht="15" customHeight="1">
      <c r="A18" s="113"/>
      <c r="B18" s="114"/>
      <c r="C18" s="121"/>
      <c r="D18" s="121"/>
      <c r="E18" s="121"/>
      <c r="F18" s="121"/>
      <c r="G18" s="121"/>
      <c r="H18" s="121"/>
      <c r="I18" s="121"/>
      <c r="J18" s="121"/>
      <c r="K18" s="121"/>
      <c r="L18" s="121"/>
      <c r="M18" s="121"/>
      <c r="N18" s="121"/>
      <c r="O18" s="121"/>
      <c r="Q18" s="186"/>
      <c r="T18" s="44" t="s">
        <v>28</v>
      </c>
      <c r="U18" s="367"/>
    </row>
    <row r="19" spans="1:21" ht="15" customHeight="1">
      <c r="A19" s="111"/>
      <c r="B19" s="69"/>
      <c r="C19" s="111"/>
      <c r="D19" s="111"/>
      <c r="E19" s="111"/>
      <c r="F19" s="111"/>
      <c r="G19" s="111"/>
      <c r="H19" s="111"/>
      <c r="I19" s="111"/>
      <c r="J19" s="111"/>
      <c r="K19" s="111"/>
      <c r="L19" s="111"/>
      <c r="M19" s="111"/>
      <c r="N19" s="111"/>
      <c r="O19" s="111"/>
      <c r="T19" s="37" t="s">
        <v>450</v>
      </c>
      <c r="U19" s="125"/>
    </row>
    <row r="20" spans="1:21" ht="15" customHeight="1">
      <c r="A20" s="113"/>
      <c r="B20" s="114"/>
      <c r="C20" s="121"/>
      <c r="D20" s="121"/>
      <c r="E20" s="121"/>
      <c r="F20" s="121"/>
      <c r="G20" s="121"/>
      <c r="H20" s="121"/>
      <c r="I20" s="121"/>
      <c r="J20" s="121"/>
      <c r="K20" s="121"/>
      <c r="L20" s="121"/>
      <c r="M20" s="121"/>
      <c r="N20" s="121"/>
      <c r="O20" s="121"/>
      <c r="T20" s="37" t="s">
        <v>61</v>
      </c>
      <c r="U20" s="136">
        <f t="shared" ref="U20:U22" si="0">SUMIF($Q:$Q,T20,$O:$O)</f>
        <v>-113103.08</v>
      </c>
    </row>
    <row r="21" spans="1:21" ht="15" customHeight="1">
      <c r="A21" s="111"/>
      <c r="B21" s="69"/>
      <c r="C21" s="111"/>
      <c r="D21" s="111"/>
      <c r="E21" s="111"/>
      <c r="F21" s="111"/>
      <c r="G21" s="111"/>
      <c r="H21" s="111"/>
      <c r="I21" s="111"/>
      <c r="J21" s="111"/>
      <c r="K21" s="111"/>
      <c r="L21" s="111"/>
      <c r="M21" s="111"/>
      <c r="N21" s="111"/>
      <c r="O21" s="111"/>
      <c r="Q21" s="185"/>
      <c r="T21" s="37" t="s">
        <v>30</v>
      </c>
      <c r="U21" s="136">
        <f t="shared" si="0"/>
        <v>0</v>
      </c>
    </row>
    <row r="22" spans="1:21" ht="15" customHeight="1">
      <c r="A22" s="113"/>
      <c r="B22" s="114"/>
      <c r="C22" s="116"/>
      <c r="D22" s="116"/>
      <c r="E22" s="116"/>
      <c r="F22" s="116"/>
      <c r="G22" s="116"/>
      <c r="H22" s="116"/>
      <c r="I22" s="116"/>
      <c r="J22" s="116"/>
      <c r="K22" s="116"/>
      <c r="L22" s="116"/>
      <c r="M22" s="116"/>
      <c r="N22" s="116"/>
      <c r="O22" s="116"/>
      <c r="Q22" s="185"/>
      <c r="T22" s="37" t="s">
        <v>31</v>
      </c>
      <c r="U22" s="136">
        <f t="shared" si="0"/>
        <v>268442.15999999997</v>
      </c>
    </row>
    <row r="23" spans="1:21" ht="15" customHeight="1">
      <c r="A23" s="111"/>
      <c r="B23" s="69"/>
      <c r="C23" s="70"/>
      <c r="D23" s="70"/>
      <c r="E23" s="70"/>
      <c r="F23" s="70"/>
      <c r="G23" s="70"/>
      <c r="H23" s="70"/>
      <c r="I23" s="70"/>
      <c r="J23" s="70"/>
      <c r="K23" s="70"/>
      <c r="L23" s="70"/>
      <c r="M23" s="70"/>
      <c r="N23" s="70"/>
      <c r="O23" s="70"/>
      <c r="Q23" s="186"/>
      <c r="T23" s="33"/>
      <c r="U23" s="373"/>
    </row>
    <row r="24" spans="1:21" ht="15" customHeight="1">
      <c r="A24" s="111"/>
      <c r="B24" s="69"/>
      <c r="C24" s="70"/>
      <c r="D24" s="70"/>
      <c r="E24" s="70"/>
      <c r="F24" s="70"/>
      <c r="G24" s="70"/>
      <c r="H24" s="70"/>
      <c r="I24" s="70"/>
      <c r="J24" s="70"/>
      <c r="K24" s="70"/>
      <c r="L24" s="70"/>
      <c r="M24" s="70"/>
      <c r="N24" s="70"/>
      <c r="O24" s="70"/>
      <c r="Q24" s="186"/>
      <c r="T24" s="46" t="s">
        <v>32</v>
      </c>
      <c r="U24" s="127">
        <f>SUM(U16:U22)</f>
        <v>155339.07999999996</v>
      </c>
    </row>
    <row r="25" spans="1:21" ht="15" customHeight="1">
      <c r="A25" s="111"/>
      <c r="B25" s="69"/>
      <c r="C25" s="70"/>
      <c r="D25" s="70"/>
      <c r="E25" s="70"/>
      <c r="F25" s="70"/>
      <c r="G25" s="70"/>
      <c r="H25" s="70"/>
      <c r="I25" s="70"/>
      <c r="J25" s="70"/>
      <c r="K25" s="70"/>
      <c r="L25" s="70"/>
      <c r="M25" s="70"/>
      <c r="N25" s="70"/>
      <c r="O25" s="70"/>
      <c r="Q25" s="186"/>
      <c r="T25" s="33"/>
      <c r="U25" s="381"/>
    </row>
    <row r="26" spans="1:21" ht="15" customHeight="1">
      <c r="A26" s="111"/>
      <c r="B26" s="69"/>
      <c r="C26" s="70"/>
      <c r="D26" s="70"/>
      <c r="E26" s="70"/>
      <c r="F26" s="70"/>
      <c r="G26" s="70"/>
      <c r="H26" s="70"/>
      <c r="I26" s="70"/>
      <c r="J26" s="70"/>
      <c r="K26" s="70"/>
      <c r="L26" s="70"/>
      <c r="M26" s="70"/>
      <c r="N26" s="70"/>
      <c r="O26" s="70"/>
      <c r="Q26" s="186"/>
      <c r="T26" s="33"/>
      <c r="U26" s="383"/>
    </row>
    <row r="27" spans="1:21" ht="15" customHeight="1">
      <c r="A27" s="111"/>
      <c r="B27" s="69"/>
      <c r="C27" s="70"/>
      <c r="D27" s="70"/>
      <c r="E27" s="70"/>
      <c r="F27" s="70"/>
      <c r="G27" s="70"/>
      <c r="H27" s="70"/>
      <c r="I27" s="70"/>
      <c r="J27" s="70"/>
      <c r="K27" s="70"/>
      <c r="L27" s="70"/>
      <c r="M27" s="70"/>
      <c r="N27" s="70"/>
      <c r="O27" s="70"/>
      <c r="Q27" s="186"/>
      <c r="T27" s="34" t="s">
        <v>34</v>
      </c>
      <c r="U27" s="384"/>
    </row>
    <row r="28" spans="1:21" ht="15" customHeight="1">
      <c r="A28" s="111"/>
      <c r="B28" s="69"/>
      <c r="C28" s="70"/>
      <c r="D28" s="70"/>
      <c r="E28" s="70"/>
      <c r="F28" s="70"/>
      <c r="G28" s="70"/>
      <c r="H28" s="70"/>
      <c r="I28" s="70"/>
      <c r="J28" s="70"/>
      <c r="K28" s="70"/>
      <c r="L28" s="70"/>
      <c r="M28" s="70"/>
      <c r="N28" s="70"/>
      <c r="O28" s="70"/>
      <c r="Q28" s="186"/>
      <c r="T28" s="37" t="s">
        <v>35</v>
      </c>
      <c r="U28" s="136">
        <f t="shared" ref="U28:U38" si="1">SUMIF($Q:$Q,T28,$O:$O)</f>
        <v>302702.88</v>
      </c>
    </row>
    <row r="29" spans="1:21" ht="15" customHeight="1">
      <c r="A29" s="111"/>
      <c r="B29" s="69"/>
      <c r="C29" s="70"/>
      <c r="D29" s="70"/>
      <c r="E29" s="70"/>
      <c r="F29" s="70"/>
      <c r="G29" s="70"/>
      <c r="H29" s="70"/>
      <c r="I29" s="70"/>
      <c r="J29" s="70"/>
      <c r="K29" s="70"/>
      <c r="L29" s="70"/>
      <c r="M29" s="70"/>
      <c r="N29" s="70"/>
      <c r="O29" s="70"/>
      <c r="Q29" s="186"/>
      <c r="T29" s="37" t="s">
        <v>36</v>
      </c>
      <c r="U29" s="136">
        <f t="shared" si="1"/>
        <v>218571.51999999999</v>
      </c>
    </row>
    <row r="30" spans="1:21" ht="15" customHeight="1">
      <c r="A30" s="111"/>
      <c r="B30" s="69"/>
      <c r="C30" s="70"/>
      <c r="D30" s="70"/>
      <c r="E30" s="70"/>
      <c r="F30" s="70"/>
      <c r="G30" s="70"/>
      <c r="H30" s="70"/>
      <c r="I30" s="70"/>
      <c r="J30" s="70"/>
      <c r="K30" s="70"/>
      <c r="L30" s="70"/>
      <c r="M30" s="70"/>
      <c r="N30" s="70"/>
      <c r="O30" s="70"/>
      <c r="Q30" s="186"/>
      <c r="T30" s="41" t="s">
        <v>37</v>
      </c>
      <c r="U30" s="136">
        <f t="shared" si="1"/>
        <v>387718.2699999999</v>
      </c>
    </row>
    <row r="31" spans="1:21" ht="15" customHeight="1">
      <c r="A31" s="111"/>
      <c r="B31" s="69"/>
      <c r="C31" s="70"/>
      <c r="D31" s="70"/>
      <c r="E31" s="70"/>
      <c r="F31" s="70"/>
      <c r="G31" s="70"/>
      <c r="H31" s="70"/>
      <c r="I31" s="70"/>
      <c r="J31" s="70"/>
      <c r="K31" s="70"/>
      <c r="L31" s="70"/>
      <c r="M31" s="70"/>
      <c r="N31" s="70"/>
      <c r="O31" s="70"/>
      <c r="Q31" s="186"/>
      <c r="T31" s="41" t="s">
        <v>38</v>
      </c>
      <c r="U31" s="136">
        <f t="shared" si="1"/>
        <v>241403.27</v>
      </c>
    </row>
    <row r="32" spans="1:21" ht="15" customHeight="1">
      <c r="A32" s="111"/>
      <c r="B32" s="69"/>
      <c r="C32" s="70"/>
      <c r="D32" s="70"/>
      <c r="E32" s="70"/>
      <c r="F32" s="70"/>
      <c r="G32" s="70"/>
      <c r="H32" s="70"/>
      <c r="I32" s="70"/>
      <c r="J32" s="70"/>
      <c r="K32" s="70"/>
      <c r="L32" s="70"/>
      <c r="M32" s="70"/>
      <c r="N32" s="70"/>
      <c r="O32" s="70"/>
      <c r="Q32" s="186"/>
      <c r="T32" s="37" t="s">
        <v>39</v>
      </c>
      <c r="U32" s="136">
        <f t="shared" si="1"/>
        <v>168764.36</v>
      </c>
    </row>
    <row r="33" spans="1:23" ht="15" customHeight="1">
      <c r="A33" s="111"/>
      <c r="B33" s="69"/>
      <c r="C33" s="70"/>
      <c r="D33" s="70"/>
      <c r="E33" s="70"/>
      <c r="F33" s="70"/>
      <c r="G33" s="70"/>
      <c r="H33" s="70"/>
      <c r="I33" s="70"/>
      <c r="J33" s="70"/>
      <c r="K33" s="70"/>
      <c r="L33" s="70"/>
      <c r="M33" s="70"/>
      <c r="N33" s="70"/>
      <c r="O33" s="70"/>
      <c r="Q33" s="186"/>
      <c r="T33" s="37" t="s">
        <v>40</v>
      </c>
      <c r="U33" s="136">
        <f t="shared" si="1"/>
        <v>537465.12</v>
      </c>
    </row>
    <row r="34" spans="1:23" ht="15" customHeight="1">
      <c r="A34" s="111"/>
      <c r="B34" s="69"/>
      <c r="C34" s="70"/>
      <c r="D34" s="70"/>
      <c r="E34" s="70"/>
      <c r="F34" s="70"/>
      <c r="G34" s="70"/>
      <c r="H34" s="70"/>
      <c r="I34" s="70"/>
      <c r="J34" s="70"/>
      <c r="K34" s="70"/>
      <c r="L34" s="70"/>
      <c r="M34" s="70"/>
      <c r="N34" s="70"/>
      <c r="O34" s="70"/>
      <c r="Q34" s="186"/>
      <c r="T34" s="41" t="s">
        <v>41</v>
      </c>
      <c r="U34" s="136">
        <f t="shared" si="1"/>
        <v>79996.399999999994</v>
      </c>
    </row>
    <row r="35" spans="1:23" ht="15" customHeight="1">
      <c r="A35" s="113"/>
      <c r="B35" s="114"/>
      <c r="C35" s="121"/>
      <c r="D35" s="121"/>
      <c r="E35" s="121"/>
      <c r="F35" s="121"/>
      <c r="G35" s="121"/>
      <c r="H35" s="121"/>
      <c r="I35" s="121"/>
      <c r="J35" s="121"/>
      <c r="K35" s="121"/>
      <c r="L35" s="121"/>
      <c r="M35" s="121"/>
      <c r="N35" s="121"/>
      <c r="O35" s="121"/>
      <c r="T35" s="37" t="s">
        <v>42</v>
      </c>
      <c r="U35" s="136">
        <f t="shared" si="1"/>
        <v>6475.1999999999989</v>
      </c>
    </row>
    <row r="36" spans="1:23" ht="15" customHeight="1">
      <c r="A36" s="111"/>
      <c r="B36" s="69"/>
      <c r="C36" s="111"/>
      <c r="D36" s="111"/>
      <c r="E36" s="111"/>
      <c r="F36" s="111"/>
      <c r="G36" s="111"/>
      <c r="H36" s="111"/>
      <c r="I36" s="111"/>
      <c r="J36" s="111"/>
      <c r="K36" s="111"/>
      <c r="L36" s="111"/>
      <c r="M36" s="111"/>
      <c r="N36" s="111"/>
      <c r="O36" s="111"/>
      <c r="Q36" s="186"/>
      <c r="T36" s="37" t="s">
        <v>43</v>
      </c>
      <c r="U36" s="136">
        <f t="shared" si="1"/>
        <v>134336.84000000003</v>
      </c>
    </row>
    <row r="37" spans="1:23" ht="15" customHeight="1">
      <c r="A37" s="113"/>
      <c r="B37" s="114" t="s">
        <v>66</v>
      </c>
      <c r="C37" s="116"/>
      <c r="D37" s="116"/>
      <c r="E37" s="116"/>
      <c r="F37" s="116"/>
      <c r="G37" s="116"/>
      <c r="H37" s="116"/>
      <c r="I37" s="116"/>
      <c r="J37" s="116"/>
      <c r="K37" s="116"/>
      <c r="L37" s="116"/>
      <c r="M37" s="116"/>
      <c r="N37" s="116"/>
      <c r="O37" s="116"/>
      <c r="Q37" s="186"/>
      <c r="T37" s="37" t="s">
        <v>44</v>
      </c>
      <c r="U37" s="136">
        <f t="shared" si="1"/>
        <v>28944.2</v>
      </c>
    </row>
    <row r="38" spans="1:23" ht="15" customHeight="1">
      <c r="A38" s="111" t="s">
        <v>216</v>
      </c>
      <c r="B38" s="69" t="s">
        <v>67</v>
      </c>
      <c r="C38" s="70">
        <v>-5948.18</v>
      </c>
      <c r="D38" s="70">
        <v>-5948.18</v>
      </c>
      <c r="E38" s="70">
        <v>-5948.18</v>
      </c>
      <c r="F38" s="70">
        <v>-4948.18</v>
      </c>
      <c r="G38" s="70">
        <v>-4948.18</v>
      </c>
      <c r="H38" s="70">
        <v>-4448.18</v>
      </c>
      <c r="I38" s="70">
        <v>-4448.18</v>
      </c>
      <c r="J38" s="70">
        <v>-4448.18</v>
      </c>
      <c r="K38" s="70">
        <v>-4448.18</v>
      </c>
      <c r="L38" s="70">
        <v>-4948.18</v>
      </c>
      <c r="M38" s="70">
        <v>-5948.18</v>
      </c>
      <c r="N38" s="70">
        <v>-5948.18</v>
      </c>
      <c r="O38" s="70">
        <v>-62378.16</v>
      </c>
      <c r="T38" s="37" t="s">
        <v>45</v>
      </c>
      <c r="U38" s="136">
        <f t="shared" si="1"/>
        <v>0</v>
      </c>
    </row>
    <row r="39" spans="1:23" ht="15" customHeight="1">
      <c r="A39" s="111" t="s">
        <v>217</v>
      </c>
      <c r="B39" s="69" t="s">
        <v>68</v>
      </c>
      <c r="C39" s="70">
        <v>-6726.29</v>
      </c>
      <c r="D39" s="70">
        <v>-6726.29</v>
      </c>
      <c r="E39" s="70">
        <v>-6726.29</v>
      </c>
      <c r="F39" s="70">
        <v>-6726.29</v>
      </c>
      <c r="G39" s="70">
        <v>-5326.29</v>
      </c>
      <c r="H39" s="70">
        <v>-5326.29</v>
      </c>
      <c r="I39" s="70">
        <v>-5226.29</v>
      </c>
      <c r="J39" s="70">
        <v>-5226.29</v>
      </c>
      <c r="K39" s="70">
        <v>-5226.29</v>
      </c>
      <c r="L39" s="70">
        <v>-6726.29</v>
      </c>
      <c r="M39" s="70">
        <v>-6726.29</v>
      </c>
      <c r="N39" s="70">
        <v>-6726.29</v>
      </c>
      <c r="O39" s="70">
        <v>-73415.48</v>
      </c>
      <c r="T39" s="46" t="s">
        <v>46</v>
      </c>
      <c r="U39" s="127">
        <f>SUM(U28:U38)</f>
        <v>2106378.06</v>
      </c>
    </row>
    <row r="40" spans="1:23" ht="15" customHeight="1">
      <c r="A40" s="111" t="s">
        <v>218</v>
      </c>
      <c r="B40" s="69" t="s">
        <v>69</v>
      </c>
      <c r="C40" s="112">
        <v>1890.88</v>
      </c>
      <c r="D40" s="112">
        <v>1890.88</v>
      </c>
      <c r="E40" s="112">
        <v>1890.88</v>
      </c>
      <c r="F40" s="112">
        <v>1890.88</v>
      </c>
      <c r="G40" s="112">
        <v>1890.88</v>
      </c>
      <c r="H40" s="112">
        <v>1890.88</v>
      </c>
      <c r="I40" s="112">
        <v>1890.88</v>
      </c>
      <c r="J40" s="112">
        <v>1890.88</v>
      </c>
      <c r="K40" s="112">
        <v>1890.88</v>
      </c>
      <c r="L40" s="112">
        <v>1890.88</v>
      </c>
      <c r="M40" s="112">
        <v>1890.88</v>
      </c>
      <c r="N40" s="112">
        <v>1890.88</v>
      </c>
      <c r="O40" s="112">
        <v>22690.560000000001</v>
      </c>
      <c r="T40" s="41"/>
      <c r="U40" s="394"/>
    </row>
    <row r="41" spans="1:23" ht="15" customHeight="1">
      <c r="A41" s="113" t="s">
        <v>219</v>
      </c>
      <c r="B41" s="114" t="s">
        <v>70</v>
      </c>
      <c r="C41" s="115">
        <v>-10783.59</v>
      </c>
      <c r="D41" s="115">
        <v>-10783.59</v>
      </c>
      <c r="E41" s="115">
        <v>-10783.59</v>
      </c>
      <c r="F41" s="115">
        <v>-9783.59</v>
      </c>
      <c r="G41" s="115">
        <v>-8383.59</v>
      </c>
      <c r="H41" s="115">
        <v>-7883.59</v>
      </c>
      <c r="I41" s="115">
        <v>-7783.59</v>
      </c>
      <c r="J41" s="115">
        <v>-7783.59</v>
      </c>
      <c r="K41" s="115">
        <v>-7783.59</v>
      </c>
      <c r="L41" s="115">
        <v>-9783.59</v>
      </c>
      <c r="M41" s="115">
        <v>-10783.59</v>
      </c>
      <c r="N41" s="115">
        <v>-10783.59</v>
      </c>
      <c r="O41" s="115">
        <v>-113103.08</v>
      </c>
      <c r="Q41" s="186" t="s">
        <v>61</v>
      </c>
      <c r="T41" s="34" t="s">
        <v>47</v>
      </c>
      <c r="U41" s="52">
        <f>U39/U24</f>
        <v>13.559872119752484</v>
      </c>
    </row>
    <row r="42" spans="1:23" ht="15" customHeight="1">
      <c r="A42" s="111"/>
      <c r="B42" s="69"/>
      <c r="C42" s="117"/>
      <c r="D42" s="117"/>
      <c r="E42" s="117"/>
      <c r="F42" s="117"/>
      <c r="G42" s="117"/>
      <c r="H42" s="117"/>
      <c r="I42" s="117"/>
      <c r="J42" s="117"/>
      <c r="K42" s="117"/>
      <c r="L42" s="117"/>
      <c r="M42" s="117"/>
      <c r="N42" s="117"/>
      <c r="O42" s="117"/>
      <c r="Q42" s="134"/>
      <c r="T42" s="41"/>
      <c r="U42" s="399"/>
    </row>
    <row r="43" spans="1:23" ht="15" customHeight="1">
      <c r="A43" s="113"/>
      <c r="B43" s="114" t="s">
        <v>71</v>
      </c>
      <c r="C43" s="115">
        <v>455510.08</v>
      </c>
      <c r="D43" s="115">
        <v>451318.71</v>
      </c>
      <c r="E43" s="115">
        <v>454428.13</v>
      </c>
      <c r="F43" s="115">
        <v>460351.53</v>
      </c>
      <c r="G43" s="115">
        <v>459280.86</v>
      </c>
      <c r="H43" s="115">
        <v>461803.72</v>
      </c>
      <c r="I43" s="115">
        <v>468585.58</v>
      </c>
      <c r="J43" s="115">
        <v>462660.79</v>
      </c>
      <c r="K43" s="115">
        <v>459553.59</v>
      </c>
      <c r="L43" s="115">
        <v>461048.95</v>
      </c>
      <c r="M43" s="115">
        <v>456786.09</v>
      </c>
      <c r="N43" s="115">
        <v>455486.19</v>
      </c>
      <c r="O43" s="115">
        <v>5506814.2199999997</v>
      </c>
      <c r="Q43" s="186" t="s">
        <v>32</v>
      </c>
      <c r="T43" s="46" t="s">
        <v>48</v>
      </c>
      <c r="U43" s="127">
        <f>U24-U39</f>
        <v>-1951038.98</v>
      </c>
      <c r="W43" s="176"/>
    </row>
    <row r="44" spans="1:23" ht="15" customHeight="1">
      <c r="A44" s="111"/>
      <c r="B44" s="69"/>
      <c r="C44" s="111"/>
      <c r="D44" s="111"/>
      <c r="E44" s="111"/>
      <c r="F44" s="111"/>
      <c r="G44" s="111"/>
      <c r="H44" s="111"/>
      <c r="I44" s="111"/>
      <c r="J44" s="111"/>
      <c r="K44" s="111"/>
      <c r="L44" s="111"/>
      <c r="M44" s="111"/>
      <c r="N44" s="111"/>
      <c r="O44" s="111"/>
      <c r="Q44" s="185"/>
      <c r="T44" s="46"/>
      <c r="U44" s="373"/>
    </row>
    <row r="45" spans="1:23" ht="15" customHeight="1">
      <c r="A45" s="113"/>
      <c r="B45" s="114" t="s">
        <v>72</v>
      </c>
      <c r="C45" s="116"/>
      <c r="D45" s="116"/>
      <c r="E45" s="116"/>
      <c r="F45" s="116"/>
      <c r="G45" s="116"/>
      <c r="H45" s="116"/>
      <c r="I45" s="116"/>
      <c r="J45" s="116"/>
      <c r="K45" s="116"/>
      <c r="L45" s="116"/>
      <c r="M45" s="116"/>
      <c r="N45" s="116"/>
      <c r="O45" s="116"/>
      <c r="T45" s="55" t="s">
        <v>49</v>
      </c>
      <c r="U45" s="136">
        <f>'Old OSAR'!K53</f>
        <v>61600</v>
      </c>
    </row>
    <row r="46" spans="1:23" ht="15" customHeight="1">
      <c r="A46" s="113"/>
      <c r="B46" s="114" t="s">
        <v>73</v>
      </c>
      <c r="C46" s="116"/>
      <c r="D46" s="116"/>
      <c r="E46" s="116"/>
      <c r="F46" s="116"/>
      <c r="G46" s="116"/>
      <c r="H46" s="116"/>
      <c r="I46" s="116"/>
      <c r="J46" s="116"/>
      <c r="K46" s="116"/>
      <c r="L46" s="116"/>
      <c r="M46" s="116"/>
      <c r="N46" s="116"/>
      <c r="O46" s="116"/>
      <c r="Q46" s="185"/>
      <c r="T46" s="55" t="s">
        <v>50</v>
      </c>
      <c r="U46" s="367"/>
    </row>
    <row r="47" spans="1:23" ht="15" customHeight="1">
      <c r="A47" s="111" t="s">
        <v>220</v>
      </c>
      <c r="B47" s="69" t="s">
        <v>74</v>
      </c>
      <c r="C47" s="70">
        <v>6841</v>
      </c>
      <c r="D47" s="70">
        <v>6841</v>
      </c>
      <c r="E47" s="70">
        <v>6841</v>
      </c>
      <c r="F47" s="70">
        <v>6841</v>
      </c>
      <c r="G47" s="70">
        <v>6841</v>
      </c>
      <c r="H47" s="70">
        <v>6841</v>
      </c>
      <c r="I47" s="70">
        <v>6841</v>
      </c>
      <c r="J47" s="70">
        <v>6841</v>
      </c>
      <c r="K47" s="70">
        <v>6841</v>
      </c>
      <c r="L47" s="70">
        <v>6841</v>
      </c>
      <c r="M47" s="70">
        <v>6841</v>
      </c>
      <c r="N47" s="70">
        <v>6841</v>
      </c>
      <c r="O47" s="70">
        <v>82092</v>
      </c>
      <c r="Q47" s="186"/>
      <c r="T47" s="56" t="s">
        <v>51</v>
      </c>
      <c r="U47" s="127">
        <f>SUM(U45)</f>
        <v>61600</v>
      </c>
    </row>
    <row r="48" spans="1:23" ht="15" customHeight="1">
      <c r="A48" s="111" t="s">
        <v>221</v>
      </c>
      <c r="B48" s="69" t="s">
        <v>75</v>
      </c>
      <c r="C48" s="70">
        <v>4047</v>
      </c>
      <c r="D48" s="70">
        <v>4047</v>
      </c>
      <c r="E48" s="70">
        <v>4047</v>
      </c>
      <c r="F48" s="70">
        <v>4047</v>
      </c>
      <c r="G48" s="70">
        <v>4047</v>
      </c>
      <c r="H48" s="70">
        <v>4047</v>
      </c>
      <c r="I48" s="70">
        <v>4047</v>
      </c>
      <c r="J48" s="70">
        <v>4047</v>
      </c>
      <c r="K48" s="70">
        <v>4047</v>
      </c>
      <c r="L48" s="70">
        <v>4047</v>
      </c>
      <c r="M48" s="70">
        <v>4047</v>
      </c>
      <c r="N48" s="70">
        <v>4047</v>
      </c>
      <c r="O48" s="70">
        <v>48564</v>
      </c>
      <c r="Q48" s="186"/>
      <c r="T48" s="46"/>
      <c r="U48" s="404"/>
    </row>
    <row r="49" spans="1:21" ht="15" customHeight="1">
      <c r="A49" s="111" t="s">
        <v>222</v>
      </c>
      <c r="B49" s="69" t="s">
        <v>76</v>
      </c>
      <c r="C49" s="70">
        <v>3294</v>
      </c>
      <c r="D49" s="70">
        <v>3294</v>
      </c>
      <c r="E49" s="70">
        <v>3294</v>
      </c>
      <c r="F49" s="70">
        <v>3294</v>
      </c>
      <c r="G49" s="70">
        <v>3294</v>
      </c>
      <c r="H49" s="70">
        <v>3294</v>
      </c>
      <c r="I49" s="70">
        <v>3294</v>
      </c>
      <c r="J49" s="70">
        <v>3294</v>
      </c>
      <c r="K49" s="70">
        <v>3294</v>
      </c>
      <c r="L49" s="70">
        <v>3294</v>
      </c>
      <c r="M49" s="70">
        <v>3294</v>
      </c>
      <c r="N49" s="70">
        <v>3294</v>
      </c>
      <c r="O49" s="70">
        <v>39528</v>
      </c>
      <c r="Q49" s="186"/>
      <c r="T49" s="56" t="s">
        <v>52</v>
      </c>
      <c r="U49" s="127">
        <f>U43-U47</f>
        <v>-2012638.98</v>
      </c>
    </row>
    <row r="50" spans="1:21" ht="15" customHeight="1">
      <c r="A50" s="111" t="s">
        <v>223</v>
      </c>
      <c r="B50" s="69" t="s">
        <v>77</v>
      </c>
      <c r="C50" s="70">
        <v>6107</v>
      </c>
      <c r="D50" s="70">
        <v>6107</v>
      </c>
      <c r="E50" s="70">
        <v>6107</v>
      </c>
      <c r="F50" s="70">
        <v>6107</v>
      </c>
      <c r="G50" s="70">
        <v>6107</v>
      </c>
      <c r="H50" s="70">
        <v>6107</v>
      </c>
      <c r="I50" s="70">
        <v>6107</v>
      </c>
      <c r="J50" s="70">
        <v>6107</v>
      </c>
      <c r="K50" s="70">
        <v>6107</v>
      </c>
      <c r="L50" s="70">
        <v>6107</v>
      </c>
      <c r="M50" s="70">
        <v>6107</v>
      </c>
      <c r="N50" s="70">
        <v>6107</v>
      </c>
      <c r="O50" s="70">
        <v>73284</v>
      </c>
      <c r="Q50" s="186"/>
      <c r="T50" s="46"/>
      <c r="U50" s="404"/>
    </row>
    <row r="51" spans="1:21" ht="15" customHeight="1">
      <c r="A51" s="111" t="s">
        <v>224</v>
      </c>
      <c r="B51" s="69" t="s">
        <v>78</v>
      </c>
      <c r="C51" s="70">
        <v>7915</v>
      </c>
      <c r="D51" s="70">
        <v>7915</v>
      </c>
      <c r="E51" s="70">
        <v>7915</v>
      </c>
      <c r="F51" s="70">
        <v>7915</v>
      </c>
      <c r="G51" s="70">
        <v>7915</v>
      </c>
      <c r="H51" s="70">
        <v>7915</v>
      </c>
      <c r="I51" s="70">
        <v>7915</v>
      </c>
      <c r="J51" s="70">
        <v>7915</v>
      </c>
      <c r="K51" s="70">
        <v>7915</v>
      </c>
      <c r="L51" s="70">
        <v>7915</v>
      </c>
      <c r="M51" s="70">
        <v>7915</v>
      </c>
      <c r="N51" s="70">
        <v>7915</v>
      </c>
      <c r="O51" s="70">
        <v>94980</v>
      </c>
      <c r="Q51" s="186"/>
      <c r="T51" s="34" t="s">
        <v>53</v>
      </c>
      <c r="U51" s="220">
        <f>SUMIF($Q:$Q,T51,$O:$O)</f>
        <v>4857014.96</v>
      </c>
    </row>
    <row r="52" spans="1:21" ht="15" customHeight="1">
      <c r="A52" s="111" t="s">
        <v>225</v>
      </c>
      <c r="B52" s="69" t="s">
        <v>79</v>
      </c>
      <c r="C52" s="70">
        <v>3950</v>
      </c>
      <c r="D52" s="70">
        <v>26588</v>
      </c>
      <c r="E52" s="70">
        <v>4800</v>
      </c>
      <c r="F52" s="70">
        <v>4000</v>
      </c>
      <c r="G52" s="70">
        <v>3900</v>
      </c>
      <c r="H52" s="70">
        <v>4450</v>
      </c>
      <c r="I52" s="70">
        <v>3900</v>
      </c>
      <c r="J52" s="70">
        <v>4700</v>
      </c>
      <c r="K52" s="70">
        <v>4350</v>
      </c>
      <c r="L52" s="70">
        <v>4550</v>
      </c>
      <c r="M52" s="70">
        <v>7050</v>
      </c>
      <c r="N52" s="70">
        <v>4950</v>
      </c>
      <c r="O52" s="70">
        <v>77188</v>
      </c>
      <c r="Q52" s="186"/>
      <c r="T52" s="34"/>
      <c r="U52" s="417"/>
    </row>
    <row r="53" spans="1:21" ht="15" customHeight="1">
      <c r="A53" s="111" t="s">
        <v>226</v>
      </c>
      <c r="B53" s="69" t="s">
        <v>191</v>
      </c>
      <c r="C53" s="70">
        <v>66</v>
      </c>
      <c r="D53" s="70">
        <v>66</v>
      </c>
      <c r="E53" s="70">
        <v>66</v>
      </c>
      <c r="F53" s="70">
        <v>66</v>
      </c>
      <c r="G53" s="70">
        <v>66</v>
      </c>
      <c r="H53" s="70">
        <v>66</v>
      </c>
      <c r="I53" s="70">
        <v>66</v>
      </c>
      <c r="J53" s="70">
        <v>66</v>
      </c>
      <c r="K53" s="70">
        <v>66</v>
      </c>
      <c r="L53" s="70">
        <v>66</v>
      </c>
      <c r="M53" s="70">
        <v>66</v>
      </c>
      <c r="N53" s="70">
        <v>66</v>
      </c>
      <c r="O53" s="70">
        <v>792</v>
      </c>
      <c r="Q53" s="186"/>
      <c r="T53" s="34" t="s">
        <v>54</v>
      </c>
      <c r="U53" s="127">
        <f>U49-U51</f>
        <v>-6869653.9399999995</v>
      </c>
    </row>
    <row r="54" spans="1:21" ht="15" customHeight="1">
      <c r="A54" s="111" t="s">
        <v>227</v>
      </c>
      <c r="B54" s="69" t="s">
        <v>192</v>
      </c>
      <c r="C54" s="70">
        <v>168</v>
      </c>
      <c r="D54" s="70">
        <v>168</v>
      </c>
      <c r="E54" s="70">
        <v>168</v>
      </c>
      <c r="F54" s="70">
        <v>168</v>
      </c>
      <c r="G54" s="70">
        <v>168</v>
      </c>
      <c r="H54" s="70">
        <v>168</v>
      </c>
      <c r="I54" s="70">
        <v>168</v>
      </c>
      <c r="J54" s="70">
        <v>168</v>
      </c>
      <c r="K54" s="70">
        <v>168</v>
      </c>
      <c r="L54" s="70">
        <v>168</v>
      </c>
      <c r="M54" s="70">
        <v>168</v>
      </c>
      <c r="N54" s="70">
        <v>168</v>
      </c>
      <c r="O54" s="70">
        <v>2016</v>
      </c>
      <c r="Q54" s="186"/>
      <c r="T54" s="34"/>
      <c r="U54" s="414"/>
    </row>
    <row r="55" spans="1:21" ht="15" customHeight="1">
      <c r="A55" s="111" t="s">
        <v>228</v>
      </c>
      <c r="B55" s="69" t="s">
        <v>80</v>
      </c>
      <c r="C55" s="70">
        <v>150</v>
      </c>
      <c r="D55" s="70">
        <v>150</v>
      </c>
      <c r="E55" s="70">
        <v>150</v>
      </c>
      <c r="F55" s="70">
        <v>150</v>
      </c>
      <c r="G55" s="70">
        <v>150</v>
      </c>
      <c r="H55" s="70">
        <v>150</v>
      </c>
      <c r="I55" s="70">
        <v>150</v>
      </c>
      <c r="J55" s="70">
        <v>250</v>
      </c>
      <c r="K55" s="70">
        <v>530</v>
      </c>
      <c r="L55" s="70">
        <v>150</v>
      </c>
      <c r="M55" s="70">
        <v>150</v>
      </c>
      <c r="N55" s="70">
        <v>150</v>
      </c>
      <c r="O55" s="70">
        <v>2280</v>
      </c>
      <c r="Q55" s="186"/>
      <c r="T55" s="46" t="s">
        <v>451</v>
      </c>
      <c r="U55" s="426">
        <f>U49/U51</f>
        <v>-0.41437776012120825</v>
      </c>
    </row>
    <row r="56" spans="1:21" ht="15" customHeight="1">
      <c r="A56" s="111" t="s">
        <v>229</v>
      </c>
      <c r="B56" s="69" t="s">
        <v>81</v>
      </c>
      <c r="C56" s="70">
        <v>817</v>
      </c>
      <c r="D56" s="70">
        <v>300</v>
      </c>
      <c r="E56" s="70">
        <v>0</v>
      </c>
      <c r="F56" s="70">
        <v>4107</v>
      </c>
      <c r="G56" s="70">
        <v>0</v>
      </c>
      <c r="H56" s="70">
        <v>0</v>
      </c>
      <c r="I56" s="70">
        <v>817</v>
      </c>
      <c r="J56" s="70">
        <v>0</v>
      </c>
      <c r="K56" s="70">
        <v>0</v>
      </c>
      <c r="L56" s="70">
        <v>1027</v>
      </c>
      <c r="M56" s="70">
        <v>0</v>
      </c>
      <c r="N56" s="70">
        <v>0</v>
      </c>
      <c r="O56" s="70">
        <v>7068</v>
      </c>
      <c r="Q56" s="186"/>
      <c r="T56" s="46"/>
      <c r="U56" s="419"/>
    </row>
    <row r="57" spans="1:21" ht="15" customHeight="1">
      <c r="A57" s="111" t="s">
        <v>230</v>
      </c>
      <c r="B57" s="69" t="s">
        <v>82</v>
      </c>
      <c r="C57" s="70">
        <v>330</v>
      </c>
      <c r="D57" s="70">
        <v>330</v>
      </c>
      <c r="E57" s="70">
        <v>330</v>
      </c>
      <c r="F57" s="70">
        <v>330</v>
      </c>
      <c r="G57" s="70">
        <v>330</v>
      </c>
      <c r="H57" s="70">
        <v>330</v>
      </c>
      <c r="I57" s="70">
        <v>330</v>
      </c>
      <c r="J57" s="70">
        <v>330</v>
      </c>
      <c r="K57" s="70">
        <v>330</v>
      </c>
      <c r="L57" s="70">
        <v>330</v>
      </c>
      <c r="M57" s="70">
        <v>330</v>
      </c>
      <c r="N57" s="70">
        <v>330</v>
      </c>
      <c r="O57" s="70">
        <v>3960</v>
      </c>
      <c r="Q57" s="186"/>
      <c r="T57" s="46" t="s">
        <v>452</v>
      </c>
      <c r="U57" s="418">
        <f>U49/'DSCR Calc'!H17</f>
        <v>-0.7028651489707991</v>
      </c>
    </row>
    <row r="58" spans="1:21" ht="15" customHeight="1">
      <c r="A58" s="111" t="s">
        <v>231</v>
      </c>
      <c r="B58" s="69" t="s">
        <v>83</v>
      </c>
      <c r="C58" s="70">
        <v>3011</v>
      </c>
      <c r="D58" s="70">
        <v>4484</v>
      </c>
      <c r="E58" s="70">
        <v>2179</v>
      </c>
      <c r="F58" s="70">
        <v>2175</v>
      </c>
      <c r="G58" s="70">
        <v>2175</v>
      </c>
      <c r="H58" s="70">
        <v>2175</v>
      </c>
      <c r="I58" s="70">
        <v>2175</v>
      </c>
      <c r="J58" s="70">
        <v>2175</v>
      </c>
      <c r="K58" s="70">
        <v>2175</v>
      </c>
      <c r="L58" s="70">
        <v>2175</v>
      </c>
      <c r="M58" s="70">
        <v>2175</v>
      </c>
      <c r="N58" s="70">
        <v>2175</v>
      </c>
      <c r="O58" s="70">
        <v>29249</v>
      </c>
      <c r="Q58" s="186"/>
      <c r="T58" s="46"/>
      <c r="U58" s="415"/>
    </row>
    <row r="59" spans="1:21" ht="15" customHeight="1">
      <c r="A59" s="111" t="s">
        <v>232</v>
      </c>
      <c r="B59" s="69" t="s">
        <v>84</v>
      </c>
      <c r="C59" s="70">
        <v>546.80999999999995</v>
      </c>
      <c r="D59" s="70">
        <v>546.80999999999995</v>
      </c>
      <c r="E59" s="70">
        <v>546.80999999999995</v>
      </c>
      <c r="F59" s="70">
        <v>546.80999999999995</v>
      </c>
      <c r="G59" s="70">
        <v>546.80999999999995</v>
      </c>
      <c r="H59" s="70">
        <v>546.80999999999995</v>
      </c>
      <c r="I59" s="70">
        <v>546.80999999999995</v>
      </c>
      <c r="J59" s="70">
        <v>546.80999999999995</v>
      </c>
      <c r="K59" s="70">
        <v>546.80999999999995</v>
      </c>
      <c r="L59" s="70">
        <v>546.80999999999995</v>
      </c>
      <c r="M59" s="70">
        <v>546.80999999999995</v>
      </c>
      <c r="N59" s="70">
        <v>546.80999999999995</v>
      </c>
      <c r="O59" s="70">
        <v>6561.72</v>
      </c>
      <c r="Q59" s="186"/>
      <c r="T59" s="46" t="s">
        <v>454</v>
      </c>
      <c r="U59" s="428">
        <f>U49/U9</f>
        <v>-4.2258790880273504E-2</v>
      </c>
    </row>
    <row r="60" spans="1:21" ht="15" customHeight="1">
      <c r="A60" s="111" t="s">
        <v>233</v>
      </c>
      <c r="B60" s="69" t="s">
        <v>85</v>
      </c>
      <c r="C60" s="70">
        <v>5130.2</v>
      </c>
      <c r="D60" s="70">
        <v>5130.2</v>
      </c>
      <c r="E60" s="70">
        <v>5130.2</v>
      </c>
      <c r="F60" s="70">
        <v>5130.2</v>
      </c>
      <c r="G60" s="70">
        <v>5130.2</v>
      </c>
      <c r="H60" s="70">
        <v>5130.2</v>
      </c>
      <c r="I60" s="70">
        <v>5130.2</v>
      </c>
      <c r="J60" s="70">
        <v>5130.2</v>
      </c>
      <c r="K60" s="70">
        <v>5130.2</v>
      </c>
      <c r="L60" s="70">
        <v>5130.2</v>
      </c>
      <c r="M60" s="70">
        <v>5130.2</v>
      </c>
      <c r="N60" s="70">
        <v>5130.2</v>
      </c>
      <c r="O60" s="70">
        <v>61562.400000000001</v>
      </c>
      <c r="Q60" s="186"/>
    </row>
    <row r="61" spans="1:21" ht="15" customHeight="1">
      <c r="A61" s="111" t="s">
        <v>234</v>
      </c>
      <c r="B61" s="69" t="s">
        <v>86</v>
      </c>
      <c r="C61" s="112">
        <v>695</v>
      </c>
      <c r="D61" s="112">
        <v>695</v>
      </c>
      <c r="E61" s="112">
        <v>695</v>
      </c>
      <c r="F61" s="112">
        <v>695</v>
      </c>
      <c r="G61" s="112">
        <v>695</v>
      </c>
      <c r="H61" s="112">
        <v>695</v>
      </c>
      <c r="I61" s="112">
        <v>695</v>
      </c>
      <c r="J61" s="112">
        <v>695</v>
      </c>
      <c r="K61" s="112">
        <v>695</v>
      </c>
      <c r="L61" s="112">
        <v>695</v>
      </c>
      <c r="M61" s="112">
        <v>695</v>
      </c>
      <c r="N61" s="112">
        <v>695</v>
      </c>
      <c r="O61" s="112">
        <v>8340</v>
      </c>
    </row>
    <row r="62" spans="1:21" ht="15" customHeight="1">
      <c r="A62" s="113" t="s">
        <v>235</v>
      </c>
      <c r="B62" s="114" t="s">
        <v>87</v>
      </c>
      <c r="C62" s="115">
        <v>43068.01</v>
      </c>
      <c r="D62" s="115">
        <v>66662.009999999995</v>
      </c>
      <c r="E62" s="115">
        <v>42269.01</v>
      </c>
      <c r="F62" s="115">
        <v>45572.01</v>
      </c>
      <c r="G62" s="115">
        <v>41365.01</v>
      </c>
      <c r="H62" s="115">
        <v>41915.01</v>
      </c>
      <c r="I62" s="115">
        <v>42182.01</v>
      </c>
      <c r="J62" s="115">
        <v>42265.01</v>
      </c>
      <c r="K62" s="115">
        <v>42195.01</v>
      </c>
      <c r="L62" s="115">
        <v>43042.01</v>
      </c>
      <c r="M62" s="115">
        <v>44515.01</v>
      </c>
      <c r="N62" s="115">
        <v>42415.01</v>
      </c>
      <c r="O62" s="115">
        <v>537465.12</v>
      </c>
      <c r="Q62" s="186" t="s">
        <v>40</v>
      </c>
    </row>
    <row r="63" spans="1:21" ht="15" customHeight="1">
      <c r="A63" s="111"/>
      <c r="B63" s="69"/>
      <c r="C63" s="111"/>
      <c r="D63" s="111"/>
      <c r="E63" s="111"/>
      <c r="F63" s="111"/>
      <c r="G63" s="111"/>
      <c r="H63" s="111"/>
      <c r="I63" s="111"/>
      <c r="J63" s="111"/>
      <c r="K63" s="111"/>
      <c r="L63" s="111"/>
      <c r="M63" s="111"/>
      <c r="N63" s="111"/>
      <c r="O63" s="111"/>
      <c r="Q63" s="185"/>
    </row>
    <row r="64" spans="1:21" ht="15" customHeight="1">
      <c r="A64" s="113"/>
      <c r="B64" s="114" t="s">
        <v>88</v>
      </c>
      <c r="C64" s="116"/>
      <c r="D64" s="116"/>
      <c r="E64" s="116"/>
      <c r="F64" s="116"/>
      <c r="G64" s="116"/>
      <c r="H64" s="116"/>
      <c r="I64" s="116"/>
      <c r="J64" s="116"/>
      <c r="K64" s="116"/>
      <c r="L64" s="116"/>
      <c r="M64" s="116"/>
      <c r="N64" s="116"/>
      <c r="O64" s="116"/>
    </row>
    <row r="65" spans="1:17" ht="15" customHeight="1">
      <c r="A65" s="111" t="s">
        <v>236</v>
      </c>
      <c r="B65" s="69" t="s">
        <v>89</v>
      </c>
      <c r="C65" s="70">
        <v>1067.04</v>
      </c>
      <c r="D65" s="70">
        <v>0</v>
      </c>
      <c r="E65" s="70">
        <v>0</v>
      </c>
      <c r="F65" s="70">
        <v>1067.04</v>
      </c>
      <c r="G65" s="70">
        <v>0</v>
      </c>
      <c r="H65" s="70">
        <v>0</v>
      </c>
      <c r="I65" s="70">
        <v>1067.04</v>
      </c>
      <c r="J65" s="70">
        <v>0</v>
      </c>
      <c r="K65" s="70">
        <v>0</v>
      </c>
      <c r="L65" s="70">
        <v>1067.04</v>
      </c>
      <c r="M65" s="70">
        <v>0</v>
      </c>
      <c r="N65" s="70">
        <v>0</v>
      </c>
      <c r="O65" s="70">
        <v>4268.16</v>
      </c>
      <c r="Q65" s="185"/>
    </row>
    <row r="66" spans="1:17" ht="15" customHeight="1">
      <c r="A66" s="111" t="s">
        <v>237</v>
      </c>
      <c r="B66" s="69" t="s">
        <v>90</v>
      </c>
      <c r="C66" s="70">
        <v>2069.04</v>
      </c>
      <c r="D66" s="70">
        <v>199</v>
      </c>
      <c r="E66" s="70">
        <v>199</v>
      </c>
      <c r="F66" s="70">
        <v>1560.04</v>
      </c>
      <c r="G66" s="70">
        <v>199</v>
      </c>
      <c r="H66" s="70">
        <v>199</v>
      </c>
      <c r="I66" s="70">
        <v>1560.04</v>
      </c>
      <c r="J66" s="70">
        <v>199</v>
      </c>
      <c r="K66" s="70">
        <v>199</v>
      </c>
      <c r="L66" s="70">
        <v>1560.04</v>
      </c>
      <c r="M66" s="70">
        <v>199</v>
      </c>
      <c r="N66" s="70">
        <v>199</v>
      </c>
      <c r="O66" s="70">
        <v>8341.16</v>
      </c>
      <c r="Q66" s="185"/>
    </row>
    <row r="67" spans="1:17" ht="15" customHeight="1">
      <c r="A67" s="111" t="s">
        <v>238</v>
      </c>
      <c r="B67" s="69" t="s">
        <v>91</v>
      </c>
      <c r="C67" s="70">
        <v>232.88</v>
      </c>
      <c r="D67" s="70">
        <v>232.88</v>
      </c>
      <c r="E67" s="70">
        <v>232.88</v>
      </c>
      <c r="F67" s="70">
        <v>232.88</v>
      </c>
      <c r="G67" s="70">
        <v>232.88</v>
      </c>
      <c r="H67" s="70">
        <v>232.88</v>
      </c>
      <c r="I67" s="70">
        <v>232.88</v>
      </c>
      <c r="J67" s="70">
        <v>232.88</v>
      </c>
      <c r="K67" s="70">
        <v>232.88</v>
      </c>
      <c r="L67" s="70">
        <v>232.88</v>
      </c>
      <c r="M67" s="70">
        <v>232.88</v>
      </c>
      <c r="N67" s="70">
        <v>232.88</v>
      </c>
      <c r="O67" s="70">
        <v>2794.56</v>
      </c>
      <c r="Q67" s="185"/>
    </row>
    <row r="68" spans="1:17" ht="15" customHeight="1">
      <c r="A68" s="111" t="s">
        <v>239</v>
      </c>
      <c r="B68" s="69" t="s">
        <v>92</v>
      </c>
      <c r="C68" s="70">
        <v>479</v>
      </c>
      <c r="D68" s="70">
        <v>280</v>
      </c>
      <c r="E68" s="70">
        <v>280</v>
      </c>
      <c r="F68" s="70">
        <v>280</v>
      </c>
      <c r="G68" s="70">
        <v>280</v>
      </c>
      <c r="H68" s="70">
        <v>280</v>
      </c>
      <c r="I68" s="70">
        <v>280</v>
      </c>
      <c r="J68" s="70">
        <v>280</v>
      </c>
      <c r="K68" s="70">
        <v>280</v>
      </c>
      <c r="L68" s="70">
        <v>280</v>
      </c>
      <c r="M68" s="70">
        <v>280</v>
      </c>
      <c r="N68" s="70">
        <v>280</v>
      </c>
      <c r="O68" s="70">
        <v>3559</v>
      </c>
    </row>
    <row r="69" spans="1:17" ht="15" customHeight="1">
      <c r="A69" s="111" t="s">
        <v>569</v>
      </c>
      <c r="B69" s="69" t="s">
        <v>570</v>
      </c>
      <c r="C69" s="70">
        <v>240</v>
      </c>
      <c r="D69" s="70">
        <v>0</v>
      </c>
      <c r="E69" s="70">
        <v>0</v>
      </c>
      <c r="F69" s="70">
        <v>240</v>
      </c>
      <c r="G69" s="70">
        <v>0</v>
      </c>
      <c r="H69" s="70">
        <v>0</v>
      </c>
      <c r="I69" s="70">
        <v>240</v>
      </c>
      <c r="J69" s="70">
        <v>0</v>
      </c>
      <c r="K69" s="70">
        <v>0</v>
      </c>
      <c r="L69" s="70">
        <v>240</v>
      </c>
      <c r="M69" s="70">
        <v>0</v>
      </c>
      <c r="N69" s="70">
        <v>0</v>
      </c>
      <c r="O69" s="70">
        <v>960</v>
      </c>
      <c r="Q69" s="185"/>
    </row>
    <row r="70" spans="1:17" ht="15" customHeight="1">
      <c r="A70" s="111" t="s">
        <v>240</v>
      </c>
      <c r="B70" s="69" t="s">
        <v>241</v>
      </c>
      <c r="C70" s="70">
        <v>545</v>
      </c>
      <c r="D70" s="70">
        <v>545</v>
      </c>
      <c r="E70" s="70">
        <v>1090</v>
      </c>
      <c r="F70" s="70">
        <v>545</v>
      </c>
      <c r="G70" s="70">
        <v>545</v>
      </c>
      <c r="H70" s="70">
        <v>1090</v>
      </c>
      <c r="I70" s="70">
        <v>545</v>
      </c>
      <c r="J70" s="70">
        <v>545</v>
      </c>
      <c r="K70" s="70">
        <v>1090</v>
      </c>
      <c r="L70" s="70">
        <v>545</v>
      </c>
      <c r="M70" s="70">
        <v>545</v>
      </c>
      <c r="N70" s="70">
        <v>545</v>
      </c>
      <c r="O70" s="70">
        <v>8175</v>
      </c>
      <c r="Q70" s="185"/>
    </row>
    <row r="71" spans="1:17" ht="15" customHeight="1">
      <c r="A71" s="111" t="s">
        <v>242</v>
      </c>
      <c r="B71" s="69" t="s">
        <v>93</v>
      </c>
      <c r="C71" s="70">
        <v>300</v>
      </c>
      <c r="D71" s="70">
        <v>0</v>
      </c>
      <c r="E71" s="70">
        <v>300</v>
      </c>
      <c r="F71" s="70">
        <v>0</v>
      </c>
      <c r="G71" s="70">
        <v>300</v>
      </c>
      <c r="H71" s="70">
        <v>0</v>
      </c>
      <c r="I71" s="70">
        <v>300</v>
      </c>
      <c r="J71" s="70">
        <v>300</v>
      </c>
      <c r="K71" s="70">
        <v>300</v>
      </c>
      <c r="L71" s="70">
        <v>300</v>
      </c>
      <c r="M71" s="70">
        <v>500</v>
      </c>
      <c r="N71" s="70">
        <v>500</v>
      </c>
      <c r="O71" s="70">
        <v>3100</v>
      </c>
      <c r="Q71" s="185"/>
    </row>
    <row r="72" spans="1:17" ht="15" customHeight="1">
      <c r="A72" s="111" t="s">
        <v>393</v>
      </c>
      <c r="B72" s="69" t="s">
        <v>394</v>
      </c>
      <c r="C72" s="70">
        <v>3527.01</v>
      </c>
      <c r="D72" s="70">
        <v>3527.01</v>
      </c>
      <c r="E72" s="70">
        <v>3527.01</v>
      </c>
      <c r="F72" s="70">
        <v>3527.01</v>
      </c>
      <c r="G72" s="70">
        <v>3527.01</v>
      </c>
      <c r="H72" s="70">
        <v>3527.01</v>
      </c>
      <c r="I72" s="70">
        <v>3527.01</v>
      </c>
      <c r="J72" s="70">
        <v>3527.01</v>
      </c>
      <c r="K72" s="70">
        <v>3527.01</v>
      </c>
      <c r="L72" s="70">
        <v>3527.01</v>
      </c>
      <c r="M72" s="70">
        <v>3527.01</v>
      </c>
      <c r="N72" s="70">
        <v>3527.01</v>
      </c>
      <c r="O72" s="70">
        <v>42324.12</v>
      </c>
      <c r="Q72" s="185"/>
    </row>
    <row r="73" spans="1:17" ht="15" customHeight="1">
      <c r="A73" s="111" t="s">
        <v>243</v>
      </c>
      <c r="B73" s="69" t="s">
        <v>94</v>
      </c>
      <c r="C73" s="70">
        <v>415.6</v>
      </c>
      <c r="D73" s="70">
        <v>0</v>
      </c>
      <c r="E73" s="70">
        <v>0</v>
      </c>
      <c r="F73" s="70">
        <v>415.6</v>
      </c>
      <c r="G73" s="70">
        <v>0</v>
      </c>
      <c r="H73" s="70">
        <v>0</v>
      </c>
      <c r="I73" s="70">
        <v>415.6</v>
      </c>
      <c r="J73" s="70">
        <v>0</v>
      </c>
      <c r="K73" s="70">
        <v>0</v>
      </c>
      <c r="L73" s="70">
        <v>415.6</v>
      </c>
      <c r="M73" s="70">
        <v>0</v>
      </c>
      <c r="N73" s="70">
        <v>0</v>
      </c>
      <c r="O73" s="70">
        <v>1662.4</v>
      </c>
      <c r="Q73" s="185"/>
    </row>
    <row r="74" spans="1:17" ht="15" customHeight="1">
      <c r="A74" s="111" t="s">
        <v>244</v>
      </c>
      <c r="B74" s="69" t="s">
        <v>193</v>
      </c>
      <c r="C74" s="70">
        <v>275</v>
      </c>
      <c r="D74" s="70">
        <v>275</v>
      </c>
      <c r="E74" s="70">
        <v>275</v>
      </c>
      <c r="F74" s="70">
        <v>275</v>
      </c>
      <c r="G74" s="70">
        <v>275</v>
      </c>
      <c r="H74" s="70">
        <v>275</v>
      </c>
      <c r="I74" s="70">
        <v>275</v>
      </c>
      <c r="J74" s="70">
        <v>275</v>
      </c>
      <c r="K74" s="70">
        <v>275</v>
      </c>
      <c r="L74" s="70">
        <v>275</v>
      </c>
      <c r="M74" s="70">
        <v>275</v>
      </c>
      <c r="N74" s="70">
        <v>275</v>
      </c>
      <c r="O74" s="70">
        <v>3300</v>
      </c>
      <c r="Q74" s="185"/>
    </row>
    <row r="75" spans="1:17" ht="15" customHeight="1">
      <c r="A75" s="111" t="s">
        <v>245</v>
      </c>
      <c r="B75" s="69" t="s">
        <v>95</v>
      </c>
      <c r="C75" s="112">
        <v>50</v>
      </c>
      <c r="D75" s="112">
        <v>50</v>
      </c>
      <c r="E75" s="112">
        <v>50</v>
      </c>
      <c r="F75" s="112">
        <v>506</v>
      </c>
      <c r="G75" s="112">
        <v>50</v>
      </c>
      <c r="H75" s="112">
        <v>50</v>
      </c>
      <c r="I75" s="112">
        <v>50</v>
      </c>
      <c r="J75" s="112">
        <v>50</v>
      </c>
      <c r="K75" s="112">
        <v>50</v>
      </c>
      <c r="L75" s="112">
        <v>506</v>
      </c>
      <c r="M75" s="112">
        <v>50</v>
      </c>
      <c r="N75" s="112">
        <v>50</v>
      </c>
      <c r="O75" s="112">
        <v>1512</v>
      </c>
      <c r="Q75" s="185"/>
    </row>
    <row r="76" spans="1:17" ht="15" customHeight="1">
      <c r="A76" s="113" t="s">
        <v>246</v>
      </c>
      <c r="B76" s="114" t="s">
        <v>96</v>
      </c>
      <c r="C76" s="115">
        <v>9200.57</v>
      </c>
      <c r="D76" s="115">
        <v>5108.8900000000003</v>
      </c>
      <c r="E76" s="115">
        <v>5953.89</v>
      </c>
      <c r="F76" s="115">
        <v>8648.57</v>
      </c>
      <c r="G76" s="115">
        <v>5408.89</v>
      </c>
      <c r="H76" s="115">
        <v>5653.89</v>
      </c>
      <c r="I76" s="115">
        <v>8492.57</v>
      </c>
      <c r="J76" s="115">
        <v>5408.89</v>
      </c>
      <c r="K76" s="115">
        <v>5953.89</v>
      </c>
      <c r="L76" s="115">
        <v>8948.57</v>
      </c>
      <c r="M76" s="115">
        <v>5608.89</v>
      </c>
      <c r="N76" s="115">
        <v>5608.89</v>
      </c>
      <c r="O76" s="115">
        <v>79996.399999999994</v>
      </c>
      <c r="Q76" s="186" t="s">
        <v>41</v>
      </c>
    </row>
    <row r="77" spans="1:17" ht="15" customHeight="1">
      <c r="A77" s="111"/>
      <c r="B77" s="69"/>
      <c r="C77" s="111"/>
      <c r="D77" s="111"/>
      <c r="E77" s="111"/>
      <c r="F77" s="111"/>
      <c r="G77" s="111"/>
      <c r="H77" s="111"/>
      <c r="I77" s="111"/>
      <c r="J77" s="111"/>
      <c r="K77" s="111"/>
      <c r="L77" s="111"/>
      <c r="M77" s="111"/>
      <c r="N77" s="111"/>
      <c r="O77" s="111"/>
    </row>
    <row r="78" spans="1:17" ht="15" customHeight="1">
      <c r="A78" s="113"/>
      <c r="B78" s="114" t="s">
        <v>97</v>
      </c>
      <c r="C78" s="116"/>
      <c r="D78" s="116"/>
      <c r="E78" s="116"/>
      <c r="F78" s="116"/>
      <c r="G78" s="116"/>
      <c r="H78" s="116"/>
      <c r="I78" s="116"/>
      <c r="J78" s="116"/>
      <c r="K78" s="116"/>
      <c r="L78" s="116"/>
      <c r="M78" s="116"/>
      <c r="N78" s="116"/>
      <c r="O78" s="116"/>
    </row>
    <row r="79" spans="1:17" ht="15" customHeight="1">
      <c r="A79" s="111" t="s">
        <v>247</v>
      </c>
      <c r="B79" s="69" t="s">
        <v>98</v>
      </c>
      <c r="C79" s="70">
        <v>25225.24</v>
      </c>
      <c r="D79" s="70">
        <v>25225.24</v>
      </c>
      <c r="E79" s="70">
        <v>25225.24</v>
      </c>
      <c r="F79" s="70">
        <v>25225.24</v>
      </c>
      <c r="G79" s="70">
        <v>25225.24</v>
      </c>
      <c r="H79" s="70">
        <v>25225.24</v>
      </c>
      <c r="I79" s="70">
        <v>25225.24</v>
      </c>
      <c r="J79" s="70">
        <v>25225.24</v>
      </c>
      <c r="K79" s="70">
        <v>25225.24</v>
      </c>
      <c r="L79" s="70">
        <v>25225.24</v>
      </c>
      <c r="M79" s="70">
        <v>25225.24</v>
      </c>
      <c r="N79" s="70">
        <v>25225.24</v>
      </c>
      <c r="O79" s="70">
        <v>302702.88</v>
      </c>
      <c r="Q79" s="186" t="s">
        <v>35</v>
      </c>
    </row>
    <row r="80" spans="1:17" ht="15" customHeight="1">
      <c r="A80" s="111" t="s">
        <v>248</v>
      </c>
      <c r="B80" s="69" t="s">
        <v>99</v>
      </c>
      <c r="C80" s="112">
        <v>17915.54</v>
      </c>
      <c r="D80" s="112">
        <v>17915.54</v>
      </c>
      <c r="E80" s="112">
        <v>17915.54</v>
      </c>
      <c r="F80" s="112">
        <v>17915.54</v>
      </c>
      <c r="G80" s="112">
        <v>17915.54</v>
      </c>
      <c r="H80" s="112">
        <v>17915.54</v>
      </c>
      <c r="I80" s="112">
        <v>17915.54</v>
      </c>
      <c r="J80" s="112">
        <v>17915.54</v>
      </c>
      <c r="K80" s="112">
        <v>18811.8</v>
      </c>
      <c r="L80" s="112">
        <v>18811.8</v>
      </c>
      <c r="M80" s="112">
        <v>18811.8</v>
      </c>
      <c r="N80" s="112">
        <v>18811.8</v>
      </c>
      <c r="O80" s="112">
        <v>218571.51999999999</v>
      </c>
      <c r="Q80" s="186" t="s">
        <v>36</v>
      </c>
    </row>
    <row r="81" spans="1:17" ht="15" customHeight="1">
      <c r="A81" s="113" t="s">
        <v>249</v>
      </c>
      <c r="B81" s="114" t="s">
        <v>100</v>
      </c>
      <c r="C81" s="115">
        <v>43140.78</v>
      </c>
      <c r="D81" s="115">
        <v>43140.78</v>
      </c>
      <c r="E81" s="115">
        <v>43140.78</v>
      </c>
      <c r="F81" s="115">
        <v>43140.78</v>
      </c>
      <c r="G81" s="115">
        <v>43140.78</v>
      </c>
      <c r="H81" s="115">
        <v>43140.78</v>
      </c>
      <c r="I81" s="115">
        <v>43140.78</v>
      </c>
      <c r="J81" s="115">
        <v>43140.78</v>
      </c>
      <c r="K81" s="115">
        <v>44037.04</v>
      </c>
      <c r="L81" s="115">
        <v>44037.04</v>
      </c>
      <c r="M81" s="115">
        <v>44037.04</v>
      </c>
      <c r="N81" s="115">
        <v>44037.04</v>
      </c>
      <c r="O81" s="115">
        <v>521274.4</v>
      </c>
    </row>
    <row r="82" spans="1:17" ht="15" customHeight="1">
      <c r="A82" s="111"/>
      <c r="B82" s="69"/>
      <c r="C82" s="111"/>
      <c r="D82" s="111"/>
      <c r="E82" s="111"/>
      <c r="F82" s="111"/>
      <c r="G82" s="111"/>
      <c r="H82" s="111"/>
      <c r="I82" s="111"/>
      <c r="J82" s="111"/>
      <c r="K82" s="111"/>
      <c r="L82" s="111"/>
      <c r="M82" s="111"/>
      <c r="N82" s="111"/>
      <c r="O82" s="111"/>
    </row>
    <row r="83" spans="1:17" ht="15" customHeight="1">
      <c r="A83" s="113"/>
      <c r="B83" s="114" t="s">
        <v>101</v>
      </c>
      <c r="C83" s="116"/>
      <c r="D83" s="116"/>
      <c r="E83" s="116"/>
      <c r="F83" s="116"/>
      <c r="G83" s="116"/>
      <c r="H83" s="116"/>
      <c r="I83" s="116"/>
      <c r="J83" s="116"/>
      <c r="K83" s="116"/>
      <c r="L83" s="116"/>
      <c r="M83" s="116"/>
      <c r="N83" s="116"/>
      <c r="O83" s="116"/>
    </row>
    <row r="84" spans="1:17" ht="15" customHeight="1">
      <c r="A84" s="111" t="s">
        <v>250</v>
      </c>
      <c r="B84" s="69" t="s">
        <v>102</v>
      </c>
      <c r="C84" s="70">
        <v>2800</v>
      </c>
      <c r="D84" s="70">
        <v>2450</v>
      </c>
      <c r="E84" s="70">
        <v>2380</v>
      </c>
      <c r="F84" s="70">
        <v>2072</v>
      </c>
      <c r="G84" s="70">
        <v>3145</v>
      </c>
      <c r="H84" s="70">
        <v>3145</v>
      </c>
      <c r="I84" s="70">
        <v>3145</v>
      </c>
      <c r="J84" s="70">
        <v>3330</v>
      </c>
      <c r="K84" s="70">
        <v>1960</v>
      </c>
      <c r="L84" s="70">
        <v>2520</v>
      </c>
      <c r="M84" s="70">
        <v>2516</v>
      </c>
      <c r="N84" s="70">
        <v>2368</v>
      </c>
      <c r="O84" s="70">
        <v>31831</v>
      </c>
      <c r="Q84" s="185"/>
    </row>
    <row r="85" spans="1:17" ht="15" customHeight="1">
      <c r="A85" s="111" t="s">
        <v>251</v>
      </c>
      <c r="B85" s="69" t="s">
        <v>103</v>
      </c>
      <c r="C85" s="70">
        <v>960</v>
      </c>
      <c r="D85" s="70">
        <v>1120</v>
      </c>
      <c r="E85" s="70">
        <v>1360</v>
      </c>
      <c r="F85" s="70">
        <v>1400</v>
      </c>
      <c r="G85" s="70">
        <v>1700</v>
      </c>
      <c r="H85" s="70">
        <v>1700</v>
      </c>
      <c r="I85" s="70">
        <v>1700</v>
      </c>
      <c r="J85" s="70">
        <v>1800</v>
      </c>
      <c r="K85" s="70">
        <v>1400</v>
      </c>
      <c r="L85" s="70">
        <v>1800</v>
      </c>
      <c r="M85" s="70">
        <v>1360</v>
      </c>
      <c r="N85" s="70">
        <v>960</v>
      </c>
      <c r="O85" s="70">
        <v>17260</v>
      </c>
      <c r="Q85" s="185"/>
    </row>
    <row r="86" spans="1:17" ht="15" customHeight="1">
      <c r="A86" s="111" t="s">
        <v>252</v>
      </c>
      <c r="B86" s="69" t="s">
        <v>104</v>
      </c>
      <c r="C86" s="70">
        <v>-2396.4</v>
      </c>
      <c r="D86" s="70">
        <v>-2396.4</v>
      </c>
      <c r="E86" s="70">
        <v>-2396.4</v>
      </c>
      <c r="F86" s="70">
        <v>-2396.4</v>
      </c>
      <c r="G86" s="70">
        <v>-2396.4</v>
      </c>
      <c r="H86" s="70">
        <v>-2396.4</v>
      </c>
      <c r="I86" s="70">
        <v>-2396.4</v>
      </c>
      <c r="J86" s="70">
        <v>-2396.4</v>
      </c>
      <c r="K86" s="70">
        <v>-2396.4</v>
      </c>
      <c r="L86" s="70">
        <v>-2396.4</v>
      </c>
      <c r="M86" s="70">
        <v>-2396.4</v>
      </c>
      <c r="N86" s="70">
        <v>-2396.4</v>
      </c>
      <c r="O86" s="70">
        <v>-28756.799999999999</v>
      </c>
    </row>
    <row r="87" spans="1:17" ht="15" customHeight="1">
      <c r="A87" s="111" t="s">
        <v>253</v>
      </c>
      <c r="B87" s="69" t="s">
        <v>105</v>
      </c>
      <c r="C87" s="112">
        <v>640</v>
      </c>
      <c r="D87" s="112">
        <v>560</v>
      </c>
      <c r="E87" s="112">
        <v>680</v>
      </c>
      <c r="F87" s="112">
        <v>700</v>
      </c>
      <c r="G87" s="112">
        <v>850</v>
      </c>
      <c r="H87" s="112">
        <v>850</v>
      </c>
      <c r="I87" s="112">
        <v>850</v>
      </c>
      <c r="J87" s="112">
        <v>900</v>
      </c>
      <c r="K87" s="112">
        <v>700</v>
      </c>
      <c r="L87" s="112">
        <v>720</v>
      </c>
      <c r="M87" s="112">
        <v>680</v>
      </c>
      <c r="N87" s="112">
        <v>480</v>
      </c>
      <c r="O87" s="112">
        <v>8610</v>
      </c>
    </row>
    <row r="88" spans="1:17" ht="15" customHeight="1">
      <c r="A88" s="113" t="s">
        <v>254</v>
      </c>
      <c r="B88" s="114" t="s">
        <v>106</v>
      </c>
      <c r="C88" s="115">
        <v>2003.6</v>
      </c>
      <c r="D88" s="115">
        <v>1733.6</v>
      </c>
      <c r="E88" s="115">
        <v>2023.6</v>
      </c>
      <c r="F88" s="115">
        <v>1775.6</v>
      </c>
      <c r="G88" s="115">
        <v>3298.6</v>
      </c>
      <c r="H88" s="115">
        <v>3298.6</v>
      </c>
      <c r="I88" s="115">
        <v>3298.6</v>
      </c>
      <c r="J88" s="115">
        <v>3633.6</v>
      </c>
      <c r="K88" s="115">
        <v>1663.6</v>
      </c>
      <c r="L88" s="115">
        <v>2643.6</v>
      </c>
      <c r="M88" s="115">
        <v>2159.6</v>
      </c>
      <c r="N88" s="115">
        <v>1411.6</v>
      </c>
      <c r="O88" s="115">
        <v>28944.2</v>
      </c>
      <c r="Q88" s="186" t="s">
        <v>44</v>
      </c>
    </row>
    <row r="89" spans="1:17" ht="15" customHeight="1">
      <c r="A89" s="111"/>
      <c r="B89" s="69"/>
      <c r="C89" s="111"/>
      <c r="D89" s="111"/>
      <c r="E89" s="111"/>
      <c r="F89" s="111"/>
      <c r="G89" s="111"/>
      <c r="H89" s="111"/>
      <c r="I89" s="111"/>
      <c r="J89" s="111"/>
      <c r="K89" s="111"/>
      <c r="L89" s="111"/>
      <c r="M89" s="111"/>
      <c r="N89" s="111"/>
      <c r="O89" s="111"/>
    </row>
    <row r="90" spans="1:17" ht="15" customHeight="1">
      <c r="A90" s="113"/>
      <c r="B90" s="114" t="s">
        <v>107</v>
      </c>
      <c r="C90" s="116"/>
      <c r="D90" s="116"/>
      <c r="E90" s="116"/>
      <c r="F90" s="116"/>
      <c r="G90" s="116"/>
      <c r="H90" s="116"/>
      <c r="I90" s="116"/>
      <c r="J90" s="116"/>
      <c r="K90" s="116"/>
      <c r="L90" s="116"/>
      <c r="M90" s="116"/>
      <c r="N90" s="116"/>
      <c r="O90" s="116"/>
      <c r="Q90" s="185"/>
    </row>
    <row r="91" spans="1:17" ht="15" customHeight="1">
      <c r="A91" s="111" t="s">
        <v>255</v>
      </c>
      <c r="B91" s="69" t="s">
        <v>108</v>
      </c>
      <c r="C91" s="70">
        <v>35</v>
      </c>
      <c r="D91" s="70">
        <v>70.900000000000006</v>
      </c>
      <c r="E91" s="70">
        <v>0</v>
      </c>
      <c r="F91" s="70">
        <v>70.900000000000006</v>
      </c>
      <c r="G91" s="70">
        <v>35</v>
      </c>
      <c r="H91" s="70">
        <v>70.900000000000006</v>
      </c>
      <c r="I91" s="70">
        <v>0</v>
      </c>
      <c r="J91" s="70">
        <v>70.900000000000006</v>
      </c>
      <c r="K91" s="70">
        <v>0</v>
      </c>
      <c r="L91" s="70">
        <v>70.900000000000006</v>
      </c>
      <c r="M91" s="70">
        <v>35</v>
      </c>
      <c r="N91" s="70">
        <v>105.9</v>
      </c>
      <c r="O91" s="70">
        <v>565.4</v>
      </c>
    </row>
    <row r="92" spans="1:17" ht="15" customHeight="1">
      <c r="A92" s="111" t="s">
        <v>256</v>
      </c>
      <c r="B92" s="69" t="s">
        <v>109</v>
      </c>
      <c r="C92" s="70">
        <v>3075</v>
      </c>
      <c r="D92" s="70">
        <v>3075</v>
      </c>
      <c r="E92" s="70">
        <v>3075</v>
      </c>
      <c r="F92" s="70">
        <v>3075</v>
      </c>
      <c r="G92" s="70">
        <v>3075</v>
      </c>
      <c r="H92" s="70">
        <v>3075</v>
      </c>
      <c r="I92" s="70">
        <v>3075</v>
      </c>
      <c r="J92" s="70">
        <v>3075</v>
      </c>
      <c r="K92" s="70">
        <v>3075</v>
      </c>
      <c r="L92" s="70">
        <v>3075</v>
      </c>
      <c r="M92" s="70">
        <v>3075</v>
      </c>
      <c r="N92" s="70">
        <v>3075</v>
      </c>
      <c r="O92" s="70">
        <v>36900</v>
      </c>
    </row>
    <row r="93" spans="1:17" ht="15" customHeight="1">
      <c r="A93" s="111" t="s">
        <v>257</v>
      </c>
      <c r="B93" s="69" t="s">
        <v>110</v>
      </c>
      <c r="C93" s="70">
        <v>241.05</v>
      </c>
      <c r="D93" s="70">
        <v>241.05</v>
      </c>
      <c r="E93" s="70">
        <v>241.05</v>
      </c>
      <c r="F93" s="70">
        <v>241.05</v>
      </c>
      <c r="G93" s="70">
        <v>241.05</v>
      </c>
      <c r="H93" s="70">
        <v>241.05</v>
      </c>
      <c r="I93" s="70">
        <v>241.05</v>
      </c>
      <c r="J93" s="70">
        <v>241.05</v>
      </c>
      <c r="K93" s="70">
        <v>241.05</v>
      </c>
      <c r="L93" s="70">
        <v>241.05</v>
      </c>
      <c r="M93" s="70">
        <v>241.05</v>
      </c>
      <c r="N93" s="70">
        <v>241.05</v>
      </c>
      <c r="O93" s="70">
        <v>2892.6</v>
      </c>
      <c r="Q93" s="185"/>
    </row>
    <row r="94" spans="1:17" ht="15" customHeight="1">
      <c r="A94" s="111" t="s">
        <v>330</v>
      </c>
      <c r="B94" s="69" t="s">
        <v>331</v>
      </c>
      <c r="C94" s="70">
        <v>334</v>
      </c>
      <c r="D94" s="70">
        <v>334</v>
      </c>
      <c r="E94" s="70">
        <v>334</v>
      </c>
      <c r="F94" s="70">
        <v>334</v>
      </c>
      <c r="G94" s="70">
        <v>334</v>
      </c>
      <c r="H94" s="70">
        <v>334</v>
      </c>
      <c r="I94" s="70">
        <v>334</v>
      </c>
      <c r="J94" s="70">
        <v>334</v>
      </c>
      <c r="K94" s="70">
        <v>334</v>
      </c>
      <c r="L94" s="70">
        <v>334</v>
      </c>
      <c r="M94" s="70">
        <v>334</v>
      </c>
      <c r="N94" s="70">
        <v>334</v>
      </c>
      <c r="O94" s="70">
        <v>4008</v>
      </c>
      <c r="Q94" s="185"/>
    </row>
    <row r="95" spans="1:17" ht="15" customHeight="1">
      <c r="A95" s="111" t="s">
        <v>571</v>
      </c>
      <c r="B95" s="69" t="s">
        <v>572</v>
      </c>
      <c r="C95" s="70">
        <v>0</v>
      </c>
      <c r="D95" s="70">
        <v>110</v>
      </c>
      <c r="E95" s="70">
        <v>0</v>
      </c>
      <c r="F95" s="70">
        <v>0</v>
      </c>
      <c r="G95" s="70">
        <v>110</v>
      </c>
      <c r="H95" s="70">
        <v>0</v>
      </c>
      <c r="I95" s="70">
        <v>0</v>
      </c>
      <c r="J95" s="70">
        <v>110</v>
      </c>
      <c r="K95" s="70">
        <v>0</v>
      </c>
      <c r="L95" s="70">
        <v>0</v>
      </c>
      <c r="M95" s="70">
        <v>110</v>
      </c>
      <c r="N95" s="70">
        <v>0</v>
      </c>
      <c r="O95" s="70">
        <v>440</v>
      </c>
      <c r="Q95" s="185"/>
    </row>
    <row r="96" spans="1:17" ht="15" customHeight="1">
      <c r="A96" s="111" t="s">
        <v>258</v>
      </c>
      <c r="B96" s="69" t="s">
        <v>111</v>
      </c>
      <c r="C96" s="70">
        <v>104.2</v>
      </c>
      <c r="D96" s="70">
        <v>104.2</v>
      </c>
      <c r="E96" s="70">
        <v>104.2</v>
      </c>
      <c r="F96" s="70">
        <v>104.2</v>
      </c>
      <c r="G96" s="70">
        <v>104.2</v>
      </c>
      <c r="H96" s="70">
        <v>104.2</v>
      </c>
      <c r="I96" s="70">
        <v>104.2</v>
      </c>
      <c r="J96" s="70">
        <v>104.2</v>
      </c>
      <c r="K96" s="70">
        <v>104.2</v>
      </c>
      <c r="L96" s="70">
        <v>104.2</v>
      </c>
      <c r="M96" s="70">
        <v>104.2</v>
      </c>
      <c r="N96" s="70">
        <v>104.2</v>
      </c>
      <c r="O96" s="70">
        <v>1250.4000000000001</v>
      </c>
    </row>
    <row r="97" spans="1:17" ht="15" customHeight="1">
      <c r="A97" s="111" t="s">
        <v>259</v>
      </c>
      <c r="B97" s="69" t="s">
        <v>112</v>
      </c>
      <c r="C97" s="70">
        <v>119.11</v>
      </c>
      <c r="D97" s="70">
        <v>119.11</v>
      </c>
      <c r="E97" s="70">
        <v>119.11</v>
      </c>
      <c r="F97" s="70">
        <v>119.11</v>
      </c>
      <c r="G97" s="70">
        <v>119.11</v>
      </c>
      <c r="H97" s="70">
        <v>119.11</v>
      </c>
      <c r="I97" s="70">
        <v>119.11</v>
      </c>
      <c r="J97" s="70">
        <v>119.11</v>
      </c>
      <c r="K97" s="70">
        <v>119.11</v>
      </c>
      <c r="L97" s="70">
        <v>119.11</v>
      </c>
      <c r="M97" s="70">
        <v>119.11</v>
      </c>
      <c r="N97" s="70">
        <v>119.11</v>
      </c>
      <c r="O97" s="70">
        <v>1429.32</v>
      </c>
      <c r="Q97" s="186"/>
    </row>
    <row r="98" spans="1:17" ht="15" customHeight="1">
      <c r="A98" s="111" t="s">
        <v>260</v>
      </c>
      <c r="B98" s="69" t="s">
        <v>113</v>
      </c>
      <c r="C98" s="70">
        <v>563</v>
      </c>
      <c r="D98" s="70">
        <v>563</v>
      </c>
      <c r="E98" s="70">
        <v>563</v>
      </c>
      <c r="F98" s="70">
        <v>878</v>
      </c>
      <c r="G98" s="70">
        <v>878</v>
      </c>
      <c r="H98" s="70">
        <v>563</v>
      </c>
      <c r="I98" s="70">
        <v>563</v>
      </c>
      <c r="J98" s="70">
        <v>563</v>
      </c>
      <c r="K98" s="70">
        <v>563</v>
      </c>
      <c r="L98" s="70">
        <v>563</v>
      </c>
      <c r="M98" s="70">
        <v>563</v>
      </c>
      <c r="N98" s="70">
        <v>2323</v>
      </c>
      <c r="O98" s="70">
        <v>9146</v>
      </c>
    </row>
    <row r="99" spans="1:17" ht="15" customHeight="1">
      <c r="A99" s="111" t="s">
        <v>261</v>
      </c>
      <c r="B99" s="69" t="s">
        <v>114</v>
      </c>
      <c r="C99" s="70">
        <v>2298</v>
      </c>
      <c r="D99" s="70">
        <v>1430</v>
      </c>
      <c r="E99" s="70">
        <v>0</v>
      </c>
      <c r="F99" s="70">
        <v>160</v>
      </c>
      <c r="G99" s="70">
        <v>1430</v>
      </c>
      <c r="H99" s="70">
        <v>0</v>
      </c>
      <c r="I99" s="70">
        <v>160</v>
      </c>
      <c r="J99" s="70">
        <v>1430</v>
      </c>
      <c r="K99" s="70">
        <v>0</v>
      </c>
      <c r="L99" s="70">
        <v>160</v>
      </c>
      <c r="M99" s="70">
        <v>1430</v>
      </c>
      <c r="N99" s="70">
        <v>0</v>
      </c>
      <c r="O99" s="70">
        <v>8498</v>
      </c>
      <c r="Q99" s="185"/>
    </row>
    <row r="100" spans="1:17" ht="15" customHeight="1">
      <c r="A100" s="111" t="s">
        <v>262</v>
      </c>
      <c r="B100" s="69" t="s">
        <v>115</v>
      </c>
      <c r="C100" s="70">
        <v>96.56</v>
      </c>
      <c r="D100" s="70">
        <v>0</v>
      </c>
      <c r="E100" s="70">
        <v>96.56</v>
      </c>
      <c r="F100" s="70">
        <v>0</v>
      </c>
      <c r="G100" s="70">
        <v>559.02</v>
      </c>
      <c r="H100" s="70">
        <v>863.94</v>
      </c>
      <c r="I100" s="70">
        <v>3236.38</v>
      </c>
      <c r="J100" s="70">
        <v>1060.1099999999999</v>
      </c>
      <c r="K100" s="70">
        <v>1430.58</v>
      </c>
      <c r="L100" s="70">
        <v>152.46</v>
      </c>
      <c r="M100" s="70">
        <v>152.46</v>
      </c>
      <c r="N100" s="70">
        <v>152.46</v>
      </c>
      <c r="O100" s="70">
        <v>7800.53</v>
      </c>
      <c r="Q100" s="186"/>
    </row>
    <row r="101" spans="1:17" ht="15" customHeight="1">
      <c r="A101" s="111" t="s">
        <v>263</v>
      </c>
      <c r="B101" s="69" t="s">
        <v>116</v>
      </c>
      <c r="C101" s="70">
        <v>0</v>
      </c>
      <c r="D101" s="70">
        <v>332.45</v>
      </c>
      <c r="E101" s="70">
        <v>1654.4</v>
      </c>
      <c r="F101" s="70">
        <v>0</v>
      </c>
      <c r="G101" s="70">
        <v>382.13</v>
      </c>
      <c r="H101" s="70">
        <v>752.66</v>
      </c>
      <c r="I101" s="70">
        <v>1589.05</v>
      </c>
      <c r="J101" s="70">
        <v>953.66</v>
      </c>
      <c r="K101" s="70">
        <v>637.80999999999995</v>
      </c>
      <c r="L101" s="70">
        <v>161.94</v>
      </c>
      <c r="M101" s="70">
        <v>161.94</v>
      </c>
      <c r="N101" s="70">
        <v>161.94</v>
      </c>
      <c r="O101" s="70">
        <v>6787.98</v>
      </c>
      <c r="Q101" s="185"/>
    </row>
    <row r="102" spans="1:17" ht="15" customHeight="1">
      <c r="A102" s="111" t="s">
        <v>264</v>
      </c>
      <c r="B102" s="69" t="s">
        <v>117</v>
      </c>
      <c r="C102" s="70">
        <v>151.47999999999999</v>
      </c>
      <c r="D102" s="70">
        <v>151.47999999999999</v>
      </c>
      <c r="E102" s="70">
        <v>151.47999999999999</v>
      </c>
      <c r="F102" s="70">
        <v>151.47999999999999</v>
      </c>
      <c r="G102" s="70">
        <v>151.47999999999999</v>
      </c>
      <c r="H102" s="70">
        <v>151.47999999999999</v>
      </c>
      <c r="I102" s="70">
        <v>151.47999999999999</v>
      </c>
      <c r="J102" s="70">
        <v>151.47999999999999</v>
      </c>
      <c r="K102" s="70">
        <v>151.47999999999999</v>
      </c>
      <c r="L102" s="70">
        <v>151.47999999999999</v>
      </c>
      <c r="M102" s="70">
        <v>151.47999999999999</v>
      </c>
      <c r="N102" s="70">
        <v>151.47999999999999</v>
      </c>
      <c r="O102" s="70">
        <v>1817.76</v>
      </c>
      <c r="Q102" s="185"/>
    </row>
    <row r="103" spans="1:17" ht="15" customHeight="1">
      <c r="A103" s="111" t="s">
        <v>265</v>
      </c>
      <c r="B103" s="69" t="s">
        <v>118</v>
      </c>
      <c r="C103" s="70">
        <v>727.26</v>
      </c>
      <c r="D103" s="70">
        <v>727.26</v>
      </c>
      <c r="E103" s="70">
        <v>727.26</v>
      </c>
      <c r="F103" s="70">
        <v>727.26</v>
      </c>
      <c r="G103" s="70">
        <v>727.26</v>
      </c>
      <c r="H103" s="70">
        <v>727.26</v>
      </c>
      <c r="I103" s="70">
        <v>727.26</v>
      </c>
      <c r="J103" s="70">
        <v>727.26</v>
      </c>
      <c r="K103" s="70">
        <v>727.26</v>
      </c>
      <c r="L103" s="70">
        <v>727.26</v>
      </c>
      <c r="M103" s="70">
        <v>727.26</v>
      </c>
      <c r="N103" s="70">
        <v>727.26</v>
      </c>
      <c r="O103" s="70">
        <v>8727.1200000000008</v>
      </c>
      <c r="Q103" s="185"/>
    </row>
    <row r="104" spans="1:17" ht="15" customHeight="1">
      <c r="A104" s="111" t="s">
        <v>266</v>
      </c>
      <c r="B104" s="69" t="s">
        <v>119</v>
      </c>
      <c r="C104" s="70">
        <v>3785</v>
      </c>
      <c r="D104" s="70">
        <v>3785</v>
      </c>
      <c r="E104" s="70">
        <v>3785</v>
      </c>
      <c r="F104" s="70">
        <v>3785</v>
      </c>
      <c r="G104" s="70">
        <v>3785</v>
      </c>
      <c r="H104" s="70">
        <v>3785</v>
      </c>
      <c r="I104" s="70">
        <v>3785</v>
      </c>
      <c r="J104" s="70">
        <v>3785</v>
      </c>
      <c r="K104" s="70">
        <v>3785</v>
      </c>
      <c r="L104" s="70">
        <v>3785</v>
      </c>
      <c r="M104" s="70">
        <v>3785</v>
      </c>
      <c r="N104" s="70">
        <v>3785</v>
      </c>
      <c r="O104" s="70">
        <v>45420</v>
      </c>
      <c r="Q104" s="185"/>
    </row>
    <row r="105" spans="1:17" ht="15" customHeight="1">
      <c r="A105" s="111" t="s">
        <v>332</v>
      </c>
      <c r="B105" s="69" t="s">
        <v>333</v>
      </c>
      <c r="C105" s="70">
        <v>0</v>
      </c>
      <c r="D105" s="70">
        <v>0</v>
      </c>
      <c r="E105" s="70">
        <v>19308</v>
      </c>
      <c r="F105" s="70">
        <v>4751</v>
      </c>
      <c r="G105" s="70">
        <v>0</v>
      </c>
      <c r="H105" s="70">
        <v>0</v>
      </c>
      <c r="I105" s="70">
        <v>7189</v>
      </c>
      <c r="J105" s="70">
        <v>0</v>
      </c>
      <c r="K105" s="70">
        <v>0</v>
      </c>
      <c r="L105" s="70">
        <v>0</v>
      </c>
      <c r="M105" s="70">
        <v>0</v>
      </c>
      <c r="N105" s="70">
        <v>0</v>
      </c>
      <c r="O105" s="70">
        <v>31248</v>
      </c>
      <c r="Q105" s="185"/>
    </row>
    <row r="106" spans="1:17" ht="15" customHeight="1">
      <c r="A106" s="111" t="s">
        <v>390</v>
      </c>
      <c r="B106" s="69" t="s">
        <v>391</v>
      </c>
      <c r="C106" s="70">
        <v>1750</v>
      </c>
      <c r="D106" s="70">
        <v>675</v>
      </c>
      <c r="E106" s="70">
        <v>0</v>
      </c>
      <c r="F106" s="70">
        <v>675</v>
      </c>
      <c r="G106" s="70">
        <v>0</v>
      </c>
      <c r="H106" s="70">
        <v>675</v>
      </c>
      <c r="I106" s="70">
        <v>1750</v>
      </c>
      <c r="J106" s="70">
        <v>675</v>
      </c>
      <c r="K106" s="70">
        <v>0</v>
      </c>
      <c r="L106" s="70">
        <v>2970</v>
      </c>
      <c r="M106" s="70">
        <v>0</v>
      </c>
      <c r="N106" s="70">
        <v>675</v>
      </c>
      <c r="O106" s="70">
        <v>9845</v>
      </c>
      <c r="Q106" s="185"/>
    </row>
    <row r="107" spans="1:17" ht="15" customHeight="1">
      <c r="A107" s="111" t="s">
        <v>267</v>
      </c>
      <c r="B107" s="69" t="s">
        <v>120</v>
      </c>
      <c r="C107" s="70">
        <v>665.77</v>
      </c>
      <c r="D107" s="70">
        <v>665.77</v>
      </c>
      <c r="E107" s="70">
        <v>665.77</v>
      </c>
      <c r="F107" s="70">
        <v>665.77</v>
      </c>
      <c r="G107" s="70">
        <v>665.77</v>
      </c>
      <c r="H107" s="70">
        <v>665.77</v>
      </c>
      <c r="I107" s="70">
        <v>665.77</v>
      </c>
      <c r="J107" s="70">
        <v>665.77</v>
      </c>
      <c r="K107" s="70">
        <v>665.77</v>
      </c>
      <c r="L107" s="70">
        <v>665.77</v>
      </c>
      <c r="M107" s="70">
        <v>665.77</v>
      </c>
      <c r="N107" s="70">
        <v>665.77</v>
      </c>
      <c r="O107" s="70">
        <v>7989.24</v>
      </c>
      <c r="Q107" s="185"/>
    </row>
    <row r="108" spans="1:17" ht="15" customHeight="1">
      <c r="A108" s="111" t="s">
        <v>268</v>
      </c>
      <c r="B108" s="69" t="s">
        <v>121</v>
      </c>
      <c r="C108" s="70">
        <v>0</v>
      </c>
      <c r="D108" s="70">
        <v>0</v>
      </c>
      <c r="E108" s="70">
        <v>0</v>
      </c>
      <c r="F108" s="70">
        <v>0</v>
      </c>
      <c r="G108" s="70">
        <v>3575</v>
      </c>
      <c r="H108" s="70">
        <v>0</v>
      </c>
      <c r="I108" s="70">
        <v>0</v>
      </c>
      <c r="J108" s="70">
        <v>0</v>
      </c>
      <c r="K108" s="70">
        <v>0</v>
      </c>
      <c r="L108" s="70">
        <v>3575</v>
      </c>
      <c r="M108" s="70">
        <v>0</v>
      </c>
      <c r="N108" s="70">
        <v>0</v>
      </c>
      <c r="O108" s="70">
        <v>7150</v>
      </c>
      <c r="Q108" s="185"/>
    </row>
    <row r="109" spans="1:17" ht="15" customHeight="1">
      <c r="A109" s="111" t="s">
        <v>476</v>
      </c>
      <c r="B109" s="69" t="s">
        <v>477</v>
      </c>
      <c r="C109" s="70">
        <v>150</v>
      </c>
      <c r="D109" s="70">
        <v>0</v>
      </c>
      <c r="E109" s="70">
        <v>0</v>
      </c>
      <c r="F109" s="70">
        <v>150</v>
      </c>
      <c r="G109" s="70">
        <v>0</v>
      </c>
      <c r="H109" s="70">
        <v>0</v>
      </c>
      <c r="I109" s="70">
        <v>150</v>
      </c>
      <c r="J109" s="70">
        <v>0</v>
      </c>
      <c r="K109" s="70">
        <v>0</v>
      </c>
      <c r="L109" s="70">
        <v>150</v>
      </c>
      <c r="M109" s="70">
        <v>0</v>
      </c>
      <c r="N109" s="70">
        <v>0</v>
      </c>
      <c r="O109" s="70">
        <v>600</v>
      </c>
      <c r="Q109" s="185"/>
    </row>
    <row r="110" spans="1:17" ht="15" customHeight="1">
      <c r="A110" s="111" t="s">
        <v>269</v>
      </c>
      <c r="B110" s="69" t="s">
        <v>122</v>
      </c>
      <c r="C110" s="70">
        <v>184.66</v>
      </c>
      <c r="D110" s="70">
        <v>184.66</v>
      </c>
      <c r="E110" s="70">
        <v>184.66</v>
      </c>
      <c r="F110" s="70">
        <v>184.66</v>
      </c>
      <c r="G110" s="70">
        <v>184.66</v>
      </c>
      <c r="H110" s="70">
        <v>184.66</v>
      </c>
      <c r="I110" s="70">
        <v>184.66</v>
      </c>
      <c r="J110" s="70">
        <v>184.66</v>
      </c>
      <c r="K110" s="70">
        <v>184.66</v>
      </c>
      <c r="L110" s="70">
        <v>184.66</v>
      </c>
      <c r="M110" s="70">
        <v>184.66</v>
      </c>
      <c r="N110" s="70">
        <v>184.66</v>
      </c>
      <c r="O110" s="70">
        <v>2215.92</v>
      </c>
      <c r="Q110" s="185"/>
    </row>
    <row r="111" spans="1:17" ht="15" customHeight="1">
      <c r="A111" s="111" t="s">
        <v>396</v>
      </c>
      <c r="B111" s="69" t="s">
        <v>397</v>
      </c>
      <c r="C111" s="70">
        <v>427</v>
      </c>
      <c r="D111" s="70">
        <v>427</v>
      </c>
      <c r="E111" s="70">
        <v>427</v>
      </c>
      <c r="F111" s="70">
        <v>427</v>
      </c>
      <c r="G111" s="70">
        <v>427</v>
      </c>
      <c r="H111" s="70">
        <v>427</v>
      </c>
      <c r="I111" s="70">
        <v>427</v>
      </c>
      <c r="J111" s="70">
        <v>854</v>
      </c>
      <c r="K111" s="70">
        <v>427</v>
      </c>
      <c r="L111" s="70">
        <v>427</v>
      </c>
      <c r="M111" s="70">
        <v>427</v>
      </c>
      <c r="N111" s="70">
        <v>427</v>
      </c>
      <c r="O111" s="70">
        <v>5551</v>
      </c>
      <c r="Q111" s="185"/>
    </row>
    <row r="112" spans="1:17" ht="15" customHeight="1">
      <c r="A112" s="111" t="s">
        <v>270</v>
      </c>
      <c r="B112" s="69" t="s">
        <v>123</v>
      </c>
      <c r="C112" s="70">
        <v>24.33</v>
      </c>
      <c r="D112" s="70">
        <v>24.33</v>
      </c>
      <c r="E112" s="70">
        <v>24.33</v>
      </c>
      <c r="F112" s="70">
        <v>24.33</v>
      </c>
      <c r="G112" s="70">
        <v>24.33</v>
      </c>
      <c r="H112" s="70">
        <v>24.33</v>
      </c>
      <c r="I112" s="70">
        <v>24.33</v>
      </c>
      <c r="J112" s="70">
        <v>24.33</v>
      </c>
      <c r="K112" s="70">
        <v>24.33</v>
      </c>
      <c r="L112" s="70">
        <v>24.33</v>
      </c>
      <c r="M112" s="70">
        <v>24.33</v>
      </c>
      <c r="N112" s="70">
        <v>24.33</v>
      </c>
      <c r="O112" s="70">
        <v>291.95999999999998</v>
      </c>
      <c r="Q112" s="185"/>
    </row>
    <row r="113" spans="1:17" ht="15" customHeight="1">
      <c r="A113" s="111" t="s">
        <v>271</v>
      </c>
      <c r="B113" s="69" t="s">
        <v>124</v>
      </c>
      <c r="C113" s="70">
        <v>699.72</v>
      </c>
      <c r="D113" s="70">
        <v>699.72</v>
      </c>
      <c r="E113" s="70">
        <v>699.72</v>
      </c>
      <c r="F113" s="70">
        <v>699.72</v>
      </c>
      <c r="G113" s="70">
        <v>699.72</v>
      </c>
      <c r="H113" s="70">
        <v>699.72</v>
      </c>
      <c r="I113" s="70">
        <v>699.72</v>
      </c>
      <c r="J113" s="70">
        <v>699.72</v>
      </c>
      <c r="K113" s="70">
        <v>699.72</v>
      </c>
      <c r="L113" s="70">
        <v>699.72</v>
      </c>
      <c r="M113" s="70">
        <v>699.72</v>
      </c>
      <c r="N113" s="70">
        <v>699.72</v>
      </c>
      <c r="O113" s="70">
        <v>8396.64</v>
      </c>
      <c r="Q113" s="185"/>
    </row>
    <row r="114" spans="1:17" ht="15" customHeight="1">
      <c r="A114" s="111" t="s">
        <v>272</v>
      </c>
      <c r="B114" s="69" t="s">
        <v>125</v>
      </c>
      <c r="C114" s="70">
        <v>1128.49</v>
      </c>
      <c r="D114" s="70">
        <v>1128.49</v>
      </c>
      <c r="E114" s="70">
        <v>1128.49</v>
      </c>
      <c r="F114" s="70">
        <v>1128.49</v>
      </c>
      <c r="G114" s="70">
        <v>1128.49</v>
      </c>
      <c r="H114" s="70">
        <v>1128.49</v>
      </c>
      <c r="I114" s="70">
        <v>1128.49</v>
      </c>
      <c r="J114" s="70">
        <v>1128.49</v>
      </c>
      <c r="K114" s="70">
        <v>1128.49</v>
      </c>
      <c r="L114" s="70">
        <v>1128.49</v>
      </c>
      <c r="M114" s="70">
        <v>1128.49</v>
      </c>
      <c r="N114" s="70">
        <v>1128.49</v>
      </c>
      <c r="O114" s="70">
        <v>13541.88</v>
      </c>
      <c r="Q114" s="185"/>
    </row>
    <row r="115" spans="1:17" ht="15" customHeight="1">
      <c r="A115" s="111" t="s">
        <v>273</v>
      </c>
      <c r="B115" s="69" t="s">
        <v>126</v>
      </c>
      <c r="C115" s="70">
        <v>300</v>
      </c>
      <c r="D115" s="70">
        <v>300</v>
      </c>
      <c r="E115" s="70">
        <v>300</v>
      </c>
      <c r="F115" s="70">
        <v>500</v>
      </c>
      <c r="G115" s="70">
        <v>1100</v>
      </c>
      <c r="H115" s="70">
        <v>1200</v>
      </c>
      <c r="I115" s="70">
        <v>1200</v>
      </c>
      <c r="J115" s="70">
        <v>1400</v>
      </c>
      <c r="K115" s="70">
        <v>1400</v>
      </c>
      <c r="L115" s="70">
        <v>400</v>
      </c>
      <c r="M115" s="70">
        <v>400</v>
      </c>
      <c r="N115" s="70">
        <v>400</v>
      </c>
      <c r="O115" s="70">
        <v>8900</v>
      </c>
      <c r="Q115" s="185"/>
    </row>
    <row r="116" spans="1:17" ht="15" customHeight="1">
      <c r="A116" s="111" t="s">
        <v>478</v>
      </c>
      <c r="B116" s="69" t="s">
        <v>479</v>
      </c>
      <c r="C116" s="70">
        <v>100</v>
      </c>
      <c r="D116" s="70">
        <v>100</v>
      </c>
      <c r="E116" s="70">
        <v>100</v>
      </c>
      <c r="F116" s="70">
        <v>100</v>
      </c>
      <c r="G116" s="70">
        <v>100</v>
      </c>
      <c r="H116" s="70">
        <v>100</v>
      </c>
      <c r="I116" s="70">
        <v>100</v>
      </c>
      <c r="J116" s="70">
        <v>100</v>
      </c>
      <c r="K116" s="70">
        <v>100</v>
      </c>
      <c r="L116" s="70">
        <v>100</v>
      </c>
      <c r="M116" s="70">
        <v>100</v>
      </c>
      <c r="N116" s="70">
        <v>100</v>
      </c>
      <c r="O116" s="70">
        <v>1200</v>
      </c>
      <c r="Q116" s="185"/>
    </row>
    <row r="117" spans="1:17" ht="15" customHeight="1">
      <c r="A117" s="111" t="s">
        <v>334</v>
      </c>
      <c r="B117" s="69" t="s">
        <v>168</v>
      </c>
      <c r="C117" s="70">
        <v>130.97</v>
      </c>
      <c r="D117" s="70">
        <v>130.97</v>
      </c>
      <c r="E117" s="70">
        <v>130.97</v>
      </c>
      <c r="F117" s="70">
        <v>130.97</v>
      </c>
      <c r="G117" s="70">
        <v>130.97</v>
      </c>
      <c r="H117" s="70">
        <v>130.97</v>
      </c>
      <c r="I117" s="70">
        <v>130.97</v>
      </c>
      <c r="J117" s="70">
        <v>130.97</v>
      </c>
      <c r="K117" s="70">
        <v>130.97</v>
      </c>
      <c r="L117" s="70">
        <v>130.97</v>
      </c>
      <c r="M117" s="70">
        <v>130.97</v>
      </c>
      <c r="N117" s="70">
        <v>130.97</v>
      </c>
      <c r="O117" s="70">
        <v>1571.64</v>
      </c>
      <c r="Q117" s="185"/>
    </row>
    <row r="118" spans="1:17" ht="15" customHeight="1">
      <c r="A118" s="111" t="s">
        <v>274</v>
      </c>
      <c r="B118" s="69" t="s">
        <v>127</v>
      </c>
      <c r="C118" s="70">
        <v>1020</v>
      </c>
      <c r="D118" s="70">
        <v>1020</v>
      </c>
      <c r="E118" s="70">
        <v>1020</v>
      </c>
      <c r="F118" s="70">
        <v>1020</v>
      </c>
      <c r="G118" s="70">
        <v>1020</v>
      </c>
      <c r="H118" s="70">
        <v>1020</v>
      </c>
      <c r="I118" s="70">
        <v>1020</v>
      </c>
      <c r="J118" s="70">
        <v>1020</v>
      </c>
      <c r="K118" s="70">
        <v>1020</v>
      </c>
      <c r="L118" s="70">
        <v>1020</v>
      </c>
      <c r="M118" s="70">
        <v>1020</v>
      </c>
      <c r="N118" s="70">
        <v>1020</v>
      </c>
      <c r="O118" s="70">
        <v>12240</v>
      </c>
    </row>
    <row r="119" spans="1:17" ht="15" customHeight="1">
      <c r="A119" s="111" t="s">
        <v>275</v>
      </c>
      <c r="B119" s="69" t="s">
        <v>212</v>
      </c>
      <c r="C119" s="70">
        <v>710</v>
      </c>
      <c r="D119" s="70">
        <v>0</v>
      </c>
      <c r="E119" s="70">
        <v>150</v>
      </c>
      <c r="F119" s="70">
        <v>710</v>
      </c>
      <c r="G119" s="70">
        <v>0</v>
      </c>
      <c r="H119" s="70">
        <v>150</v>
      </c>
      <c r="I119" s="70">
        <v>710</v>
      </c>
      <c r="J119" s="70">
        <v>0</v>
      </c>
      <c r="K119" s="70">
        <v>150</v>
      </c>
      <c r="L119" s="70">
        <v>710</v>
      </c>
      <c r="M119" s="70">
        <v>0</v>
      </c>
      <c r="N119" s="70">
        <v>150</v>
      </c>
      <c r="O119" s="70">
        <v>3440</v>
      </c>
    </row>
    <row r="120" spans="1:17" ht="15" customHeight="1">
      <c r="A120" s="111" t="s">
        <v>276</v>
      </c>
      <c r="B120" s="69" t="s">
        <v>128</v>
      </c>
      <c r="C120" s="70">
        <v>0</v>
      </c>
      <c r="D120" s="70">
        <v>155</v>
      </c>
      <c r="E120" s="70">
        <v>0</v>
      </c>
      <c r="F120" s="70">
        <v>0</v>
      </c>
      <c r="G120" s="70">
        <v>155</v>
      </c>
      <c r="H120" s="70">
        <v>0</v>
      </c>
      <c r="I120" s="70">
        <v>0</v>
      </c>
      <c r="J120" s="70">
        <v>155</v>
      </c>
      <c r="K120" s="70">
        <v>0</v>
      </c>
      <c r="L120" s="70">
        <v>0</v>
      </c>
      <c r="M120" s="70">
        <v>155</v>
      </c>
      <c r="N120" s="70">
        <v>0</v>
      </c>
      <c r="O120" s="70">
        <v>620</v>
      </c>
    </row>
    <row r="121" spans="1:17" ht="15" customHeight="1">
      <c r="A121" s="111" t="s">
        <v>277</v>
      </c>
      <c r="B121" s="69" t="s">
        <v>129</v>
      </c>
      <c r="C121" s="70">
        <v>0</v>
      </c>
      <c r="D121" s="70">
        <v>0</v>
      </c>
      <c r="E121" s="70">
        <v>0</v>
      </c>
      <c r="F121" s="70">
        <v>600</v>
      </c>
      <c r="G121" s="70">
        <v>0</v>
      </c>
      <c r="H121" s="70">
        <v>0</v>
      </c>
      <c r="I121" s="70">
        <v>0</v>
      </c>
      <c r="J121" s="70">
        <v>0</v>
      </c>
      <c r="K121" s="70">
        <v>0</v>
      </c>
      <c r="L121" s="70">
        <v>600</v>
      </c>
      <c r="M121" s="70">
        <v>0</v>
      </c>
      <c r="N121" s="70">
        <v>0</v>
      </c>
      <c r="O121" s="70">
        <v>1200</v>
      </c>
    </row>
    <row r="122" spans="1:17" ht="15" customHeight="1">
      <c r="A122" s="111" t="s">
        <v>278</v>
      </c>
      <c r="B122" s="69" t="s">
        <v>130</v>
      </c>
      <c r="C122" s="112">
        <v>-856.76</v>
      </c>
      <c r="D122" s="112">
        <v>-856.76</v>
      </c>
      <c r="E122" s="112">
        <v>-856.76</v>
      </c>
      <c r="F122" s="112">
        <v>-856.76</v>
      </c>
      <c r="G122" s="112">
        <v>-856.76</v>
      </c>
      <c r="H122" s="112">
        <v>-856.76</v>
      </c>
      <c r="I122" s="112">
        <v>-856.76</v>
      </c>
      <c r="J122" s="112">
        <v>-856.76</v>
      </c>
      <c r="K122" s="112">
        <v>-856.76</v>
      </c>
      <c r="L122" s="112">
        <v>-856.76</v>
      </c>
      <c r="M122" s="112">
        <v>-856.76</v>
      </c>
      <c r="N122" s="112">
        <v>-856.76</v>
      </c>
      <c r="O122" s="112">
        <v>-10281.120000000001</v>
      </c>
    </row>
    <row r="123" spans="1:17" ht="15" customHeight="1">
      <c r="A123" s="113" t="s">
        <v>279</v>
      </c>
      <c r="B123" s="114" t="s">
        <v>131</v>
      </c>
      <c r="C123" s="115">
        <v>17963.84</v>
      </c>
      <c r="D123" s="115">
        <v>15697.63</v>
      </c>
      <c r="E123" s="115">
        <v>34133.24</v>
      </c>
      <c r="F123" s="115">
        <v>20556.18</v>
      </c>
      <c r="G123" s="115">
        <v>20285.43</v>
      </c>
      <c r="H123" s="115">
        <v>16336.78</v>
      </c>
      <c r="I123" s="115">
        <v>28608.71</v>
      </c>
      <c r="J123" s="115">
        <v>18905.95</v>
      </c>
      <c r="K123" s="115">
        <v>16242.67</v>
      </c>
      <c r="L123" s="115">
        <v>21574.58</v>
      </c>
      <c r="M123" s="115">
        <v>15068.68</v>
      </c>
      <c r="N123" s="115">
        <v>16029.58</v>
      </c>
      <c r="O123" s="115">
        <v>241403.27</v>
      </c>
      <c r="Q123" s="186" t="s">
        <v>38</v>
      </c>
    </row>
    <row r="124" spans="1:17" ht="15" customHeight="1">
      <c r="A124" s="111"/>
      <c r="B124" s="69"/>
      <c r="C124" s="111"/>
      <c r="D124" s="111"/>
      <c r="E124" s="111"/>
      <c r="F124" s="111"/>
      <c r="G124" s="111"/>
      <c r="H124" s="111"/>
      <c r="I124" s="111"/>
      <c r="J124" s="111"/>
      <c r="K124" s="111"/>
      <c r="L124" s="111"/>
      <c r="M124" s="111"/>
      <c r="N124" s="111"/>
      <c r="O124" s="111"/>
    </row>
    <row r="125" spans="1:17" ht="15" customHeight="1">
      <c r="A125" s="113"/>
      <c r="B125" s="114" t="s">
        <v>132</v>
      </c>
      <c r="C125" s="116"/>
      <c r="D125" s="116"/>
      <c r="E125" s="116"/>
      <c r="F125" s="116"/>
      <c r="G125" s="116"/>
      <c r="H125" s="116"/>
      <c r="I125" s="116"/>
      <c r="J125" s="116"/>
      <c r="K125" s="116"/>
      <c r="L125" s="116"/>
      <c r="M125" s="116"/>
      <c r="N125" s="116"/>
      <c r="O125" s="116"/>
    </row>
    <row r="126" spans="1:17" ht="15" customHeight="1">
      <c r="A126" s="111" t="s">
        <v>280</v>
      </c>
      <c r="B126" s="69" t="s">
        <v>133</v>
      </c>
      <c r="C126" s="70">
        <v>1584.12</v>
      </c>
      <c r="D126" s="70">
        <v>2352.59</v>
      </c>
      <c r="E126" s="70">
        <v>1758.69</v>
      </c>
      <c r="F126" s="70">
        <v>2136.59</v>
      </c>
      <c r="G126" s="70">
        <v>2621.34</v>
      </c>
      <c r="H126" s="70">
        <v>2902.62</v>
      </c>
      <c r="I126" s="70">
        <v>3994.54</v>
      </c>
      <c r="J126" s="70">
        <v>3507.2</v>
      </c>
      <c r="K126" s="70">
        <v>2593.77</v>
      </c>
      <c r="L126" s="70">
        <v>2573.6799999999998</v>
      </c>
      <c r="M126" s="70">
        <v>2738.95</v>
      </c>
      <c r="N126" s="70">
        <v>2478.5700000000002</v>
      </c>
      <c r="O126" s="70">
        <v>31242.66</v>
      </c>
      <c r="Q126" s="186" t="s">
        <v>37</v>
      </c>
    </row>
    <row r="127" spans="1:17" ht="15" customHeight="1">
      <c r="A127" s="111" t="s">
        <v>281</v>
      </c>
      <c r="B127" s="69" t="s">
        <v>134</v>
      </c>
      <c r="C127" s="70">
        <v>758.53</v>
      </c>
      <c r="D127" s="70">
        <v>923.19</v>
      </c>
      <c r="E127" s="70">
        <v>479.75</v>
      </c>
      <c r="F127" s="70">
        <v>590.02</v>
      </c>
      <c r="G127" s="70">
        <v>276.43</v>
      </c>
      <c r="H127" s="70">
        <v>1823.52</v>
      </c>
      <c r="I127" s="70">
        <v>1905</v>
      </c>
      <c r="J127" s="70">
        <v>2165.19</v>
      </c>
      <c r="K127" s="70">
        <v>2035.59</v>
      </c>
      <c r="L127" s="70">
        <v>2011.92</v>
      </c>
      <c r="M127" s="70">
        <v>2194.1999999999998</v>
      </c>
      <c r="N127" s="70">
        <v>1373.19</v>
      </c>
      <c r="O127" s="70">
        <v>16536.53</v>
      </c>
      <c r="Q127" s="186" t="s">
        <v>37</v>
      </c>
    </row>
    <row r="128" spans="1:17" ht="15" customHeight="1">
      <c r="A128" s="111" t="s">
        <v>282</v>
      </c>
      <c r="B128" s="69" t="s">
        <v>135</v>
      </c>
      <c r="C128" s="70">
        <v>1691.16</v>
      </c>
      <c r="D128" s="70">
        <v>2058</v>
      </c>
      <c r="E128" s="70">
        <v>1874</v>
      </c>
      <c r="F128" s="70">
        <v>524.99</v>
      </c>
      <c r="G128" s="70">
        <v>677.55</v>
      </c>
      <c r="H128" s="70">
        <v>319.11</v>
      </c>
      <c r="I128" s="70">
        <v>159.37</v>
      </c>
      <c r="J128" s="70">
        <v>82.85</v>
      </c>
      <c r="K128" s="70">
        <v>249.53</v>
      </c>
      <c r="L128" s="70">
        <v>1822.59</v>
      </c>
      <c r="M128" s="70">
        <v>2885.22</v>
      </c>
      <c r="N128" s="70">
        <v>2885.22</v>
      </c>
      <c r="O128" s="70">
        <v>15229.59</v>
      </c>
      <c r="Q128" s="186" t="s">
        <v>37</v>
      </c>
    </row>
    <row r="129" spans="1:20" ht="15" customHeight="1">
      <c r="A129" s="111" t="s">
        <v>283</v>
      </c>
      <c r="B129" s="69" t="s">
        <v>136</v>
      </c>
      <c r="C129" s="70">
        <v>9251.66</v>
      </c>
      <c r="D129" s="70">
        <v>9149.58</v>
      </c>
      <c r="E129" s="70">
        <v>10800.53</v>
      </c>
      <c r="F129" s="70">
        <v>10919.47</v>
      </c>
      <c r="G129" s="70">
        <v>13268.17</v>
      </c>
      <c r="H129" s="70">
        <v>15313.59</v>
      </c>
      <c r="I129" s="70">
        <v>20120.189999999999</v>
      </c>
      <c r="J129" s="70">
        <v>15842.07</v>
      </c>
      <c r="K129" s="70">
        <v>18858.12</v>
      </c>
      <c r="L129" s="70">
        <v>19043.8</v>
      </c>
      <c r="M129" s="70">
        <v>16152.95</v>
      </c>
      <c r="N129" s="70">
        <v>9627.74</v>
      </c>
      <c r="O129" s="70">
        <v>168347.87</v>
      </c>
      <c r="Q129" s="186" t="s">
        <v>37</v>
      </c>
    </row>
    <row r="130" spans="1:20" ht="15" customHeight="1">
      <c r="A130" s="111" t="s">
        <v>284</v>
      </c>
      <c r="B130" s="69" t="s">
        <v>137</v>
      </c>
      <c r="C130" s="70">
        <v>4138.1400000000003</v>
      </c>
      <c r="D130" s="70">
        <v>5228.1400000000003</v>
      </c>
      <c r="E130" s="70">
        <v>6508.98</v>
      </c>
      <c r="F130" s="70">
        <v>3324.5</v>
      </c>
      <c r="G130" s="70">
        <v>5463.92</v>
      </c>
      <c r="H130" s="70">
        <v>4690.0200000000004</v>
      </c>
      <c r="I130" s="70">
        <v>5052.5600000000004</v>
      </c>
      <c r="J130" s="70">
        <v>5891.86</v>
      </c>
      <c r="K130" s="70">
        <v>4213.26</v>
      </c>
      <c r="L130" s="70">
        <v>6379.77</v>
      </c>
      <c r="M130" s="70">
        <v>5867.47</v>
      </c>
      <c r="N130" s="70">
        <v>5245.08</v>
      </c>
      <c r="O130" s="70">
        <v>62003.7</v>
      </c>
      <c r="Q130" s="186" t="s">
        <v>37</v>
      </c>
    </row>
    <row r="131" spans="1:20" ht="15" customHeight="1">
      <c r="A131" s="111" t="s">
        <v>285</v>
      </c>
      <c r="B131" s="69" t="s">
        <v>138</v>
      </c>
      <c r="C131" s="70">
        <v>5099.28</v>
      </c>
      <c r="D131" s="70">
        <v>5099.28</v>
      </c>
      <c r="E131" s="70">
        <v>5099.28</v>
      </c>
      <c r="F131" s="70">
        <v>5099.28</v>
      </c>
      <c r="G131" s="70">
        <v>5099.28</v>
      </c>
      <c r="H131" s="70">
        <v>5099.28</v>
      </c>
      <c r="I131" s="70">
        <v>5099.28</v>
      </c>
      <c r="J131" s="70">
        <v>5099.28</v>
      </c>
      <c r="K131" s="70">
        <v>5099.28</v>
      </c>
      <c r="L131" s="70">
        <v>5099.28</v>
      </c>
      <c r="M131" s="70">
        <v>5099.28</v>
      </c>
      <c r="N131" s="70">
        <v>5099.28</v>
      </c>
      <c r="O131" s="70">
        <v>61191.360000000001</v>
      </c>
      <c r="Q131" s="186" t="s">
        <v>37</v>
      </c>
    </row>
    <row r="132" spans="1:20" ht="15" customHeight="1">
      <c r="A132" s="111" t="s">
        <v>286</v>
      </c>
      <c r="B132" s="69" t="s">
        <v>139</v>
      </c>
      <c r="C132" s="70">
        <v>2442.67</v>
      </c>
      <c r="D132" s="70">
        <v>2442.67</v>
      </c>
      <c r="E132" s="70">
        <v>2442.67</v>
      </c>
      <c r="F132" s="70">
        <v>2442.67</v>
      </c>
      <c r="G132" s="70">
        <v>2442.67</v>
      </c>
      <c r="H132" s="70">
        <v>2442.67</v>
      </c>
      <c r="I132" s="70">
        <v>2442.67</v>
      </c>
      <c r="J132" s="70">
        <v>2442.67</v>
      </c>
      <c r="K132" s="70">
        <v>2442.67</v>
      </c>
      <c r="L132" s="70">
        <v>2442.67</v>
      </c>
      <c r="M132" s="70">
        <v>2442.67</v>
      </c>
      <c r="N132" s="70">
        <v>2442.67</v>
      </c>
      <c r="O132" s="70">
        <v>29312.04</v>
      </c>
      <c r="Q132" s="186" t="s">
        <v>37</v>
      </c>
    </row>
    <row r="133" spans="1:20" ht="15" customHeight="1">
      <c r="A133" s="111" t="s">
        <v>287</v>
      </c>
      <c r="B133" s="69" t="s">
        <v>140</v>
      </c>
      <c r="C133" s="70">
        <v>1703.18</v>
      </c>
      <c r="D133" s="70">
        <v>1703.18</v>
      </c>
      <c r="E133" s="70">
        <v>1703.18</v>
      </c>
      <c r="F133" s="70">
        <v>1703.18</v>
      </c>
      <c r="G133" s="70">
        <v>1703.18</v>
      </c>
      <c r="H133" s="70">
        <v>1703.18</v>
      </c>
      <c r="I133" s="70">
        <v>1703.18</v>
      </c>
      <c r="J133" s="70">
        <v>1703.18</v>
      </c>
      <c r="K133" s="70">
        <v>1703.18</v>
      </c>
      <c r="L133" s="70">
        <v>1703.18</v>
      </c>
      <c r="M133" s="70">
        <v>1703.18</v>
      </c>
      <c r="N133" s="70">
        <v>1703.18</v>
      </c>
      <c r="O133" s="70">
        <v>20438.16</v>
      </c>
      <c r="Q133" s="186" t="s">
        <v>37</v>
      </c>
    </row>
    <row r="134" spans="1:20" ht="15" customHeight="1">
      <c r="A134" s="111" t="s">
        <v>288</v>
      </c>
      <c r="B134" s="69" t="s">
        <v>141</v>
      </c>
      <c r="C134" s="70">
        <v>-1381.97</v>
      </c>
      <c r="D134" s="70">
        <v>-1381.97</v>
      </c>
      <c r="E134" s="70">
        <v>-1381.97</v>
      </c>
      <c r="F134" s="70">
        <v>-1381.97</v>
      </c>
      <c r="G134" s="70">
        <v>-1381.97</v>
      </c>
      <c r="H134" s="70">
        <v>-1381.97</v>
      </c>
      <c r="I134" s="70">
        <v>-1381.97</v>
      </c>
      <c r="J134" s="70">
        <v>-1381.97</v>
      </c>
      <c r="K134" s="70">
        <v>-1381.97</v>
      </c>
      <c r="L134" s="70">
        <v>-1381.97</v>
      </c>
      <c r="M134" s="70">
        <v>-1381.97</v>
      </c>
      <c r="N134" s="70">
        <v>-1381.97</v>
      </c>
      <c r="O134" s="70">
        <v>-16583.64</v>
      </c>
      <c r="Q134" s="186" t="s">
        <v>37</v>
      </c>
    </row>
    <row r="135" spans="1:20" ht="15" customHeight="1">
      <c r="A135" s="111" t="s">
        <v>289</v>
      </c>
      <c r="B135" s="69" t="s">
        <v>142</v>
      </c>
      <c r="C135" s="112">
        <v>-22370.18</v>
      </c>
      <c r="D135" s="112">
        <v>-22370.18</v>
      </c>
      <c r="E135" s="112">
        <v>-22370.18</v>
      </c>
      <c r="F135" s="112">
        <v>-22370.18</v>
      </c>
      <c r="G135" s="112">
        <v>-22370.18</v>
      </c>
      <c r="H135" s="112">
        <v>-22370.18</v>
      </c>
      <c r="I135" s="112">
        <v>-22370.18</v>
      </c>
      <c r="J135" s="112">
        <v>-22370.18</v>
      </c>
      <c r="K135" s="112">
        <v>-22370.18</v>
      </c>
      <c r="L135" s="112">
        <v>-22370.18</v>
      </c>
      <c r="M135" s="112">
        <v>-22370.18</v>
      </c>
      <c r="N135" s="112">
        <v>-22370.18</v>
      </c>
      <c r="O135" s="578">
        <v>268442.15999999997</v>
      </c>
      <c r="Q135" s="186" t="s">
        <v>31</v>
      </c>
    </row>
    <row r="136" spans="1:20" ht="15" customHeight="1">
      <c r="A136" s="113" t="s">
        <v>290</v>
      </c>
      <c r="B136" s="114" t="s">
        <v>143</v>
      </c>
      <c r="C136" s="115">
        <v>2916.59</v>
      </c>
      <c r="D136" s="115">
        <v>5204.4799999999996</v>
      </c>
      <c r="E136" s="115">
        <v>6914.93</v>
      </c>
      <c r="F136" s="115">
        <v>2988.55</v>
      </c>
      <c r="G136" s="115">
        <v>7800.39</v>
      </c>
      <c r="H136" s="115">
        <v>10541.84</v>
      </c>
      <c r="I136" s="115">
        <v>16724.64</v>
      </c>
      <c r="J136" s="115">
        <v>12982.15</v>
      </c>
      <c r="K136" s="115">
        <v>13443.25</v>
      </c>
      <c r="L136" s="115">
        <v>17324.740000000002</v>
      </c>
      <c r="M136" s="115">
        <v>15331.77</v>
      </c>
      <c r="N136" s="115">
        <v>7102.78</v>
      </c>
      <c r="O136" s="115">
        <v>119276.11</v>
      </c>
    </row>
    <row r="137" spans="1:20" ht="15" customHeight="1">
      <c r="A137" s="111"/>
      <c r="B137" s="69"/>
      <c r="C137" s="111"/>
      <c r="D137" s="111"/>
      <c r="E137" s="111"/>
      <c r="F137" s="111"/>
      <c r="G137" s="111"/>
      <c r="H137" s="111"/>
      <c r="I137" s="111"/>
      <c r="J137" s="111"/>
      <c r="K137" s="111"/>
      <c r="L137" s="111"/>
      <c r="M137" s="111"/>
      <c r="N137" s="111"/>
      <c r="O137" s="111"/>
      <c r="Q137" s="185"/>
    </row>
    <row r="138" spans="1:20" ht="15" customHeight="1">
      <c r="A138" s="113"/>
      <c r="B138" s="114" t="s">
        <v>144</v>
      </c>
      <c r="C138" s="116"/>
      <c r="D138" s="116"/>
      <c r="E138" s="116"/>
      <c r="F138" s="116"/>
      <c r="G138" s="116"/>
      <c r="H138" s="116"/>
      <c r="I138" s="116"/>
      <c r="J138" s="116"/>
      <c r="K138" s="116"/>
      <c r="L138" s="116"/>
      <c r="M138" s="116"/>
      <c r="N138" s="116"/>
      <c r="O138" s="116"/>
      <c r="Q138" s="185"/>
      <c r="S138" s="186"/>
      <c r="T138" s="186"/>
    </row>
    <row r="139" spans="1:20" ht="15" customHeight="1">
      <c r="A139" s="111" t="s">
        <v>291</v>
      </c>
      <c r="B139" s="69" t="s">
        <v>145</v>
      </c>
      <c r="C139" s="70">
        <v>13871.59</v>
      </c>
      <c r="D139" s="70">
        <v>13889.24</v>
      </c>
      <c r="E139" s="70">
        <v>13979.41</v>
      </c>
      <c r="F139" s="70">
        <v>14011.99</v>
      </c>
      <c r="G139" s="70">
        <v>14120.14</v>
      </c>
      <c r="H139" s="70">
        <v>14193.3</v>
      </c>
      <c r="I139" s="70">
        <v>14250.78</v>
      </c>
      <c r="J139" s="70">
        <v>14218.16</v>
      </c>
      <c r="K139" s="70">
        <v>14128.05</v>
      </c>
      <c r="L139" s="70">
        <v>14043.82</v>
      </c>
      <c r="M139" s="70">
        <v>14047.79</v>
      </c>
      <c r="N139" s="70">
        <v>14010.09</v>
      </c>
      <c r="O139" s="70">
        <v>168764.36</v>
      </c>
      <c r="Q139" s="186" t="s">
        <v>39</v>
      </c>
      <c r="T139" s="186"/>
    </row>
    <row r="140" spans="1:20" ht="15" customHeight="1">
      <c r="A140" s="111" t="s">
        <v>292</v>
      </c>
      <c r="B140" s="69" t="s">
        <v>146</v>
      </c>
      <c r="C140" s="70">
        <v>1154.83</v>
      </c>
      <c r="D140" s="70">
        <v>1154.83</v>
      </c>
      <c r="E140" s="70">
        <v>1154.83</v>
      </c>
      <c r="F140" s="70">
        <v>1154.83</v>
      </c>
      <c r="G140" s="70">
        <v>1154.83</v>
      </c>
      <c r="H140" s="70">
        <v>1154.83</v>
      </c>
      <c r="I140" s="70">
        <v>1154.83</v>
      </c>
      <c r="J140" s="70">
        <v>1154.83</v>
      </c>
      <c r="K140" s="70">
        <v>1154.83</v>
      </c>
      <c r="L140" s="70">
        <v>1154.83</v>
      </c>
      <c r="M140" s="70">
        <v>1154.83</v>
      </c>
      <c r="N140" s="70">
        <v>1154.83</v>
      </c>
      <c r="O140" s="70">
        <v>13857.96</v>
      </c>
      <c r="Q140" s="186" t="s">
        <v>42</v>
      </c>
      <c r="T140" s="186"/>
    </row>
    <row r="141" spans="1:20" ht="15" customHeight="1">
      <c r="A141" s="111" t="s">
        <v>293</v>
      </c>
      <c r="B141" s="69" t="s">
        <v>147</v>
      </c>
      <c r="C141" s="70">
        <v>-615.23</v>
      </c>
      <c r="D141" s="70">
        <v>-615.23</v>
      </c>
      <c r="E141" s="70">
        <v>-615.23</v>
      </c>
      <c r="F141" s="70">
        <v>-615.23</v>
      </c>
      <c r="G141" s="70">
        <v>-615.23</v>
      </c>
      <c r="H141" s="70">
        <v>-615.23</v>
      </c>
      <c r="I141" s="70">
        <v>-615.23</v>
      </c>
      <c r="J141" s="70">
        <v>-615.23</v>
      </c>
      <c r="K141" s="70">
        <v>-615.23</v>
      </c>
      <c r="L141" s="70">
        <v>-615.23</v>
      </c>
      <c r="M141" s="70">
        <v>-615.23</v>
      </c>
      <c r="N141" s="70">
        <v>-615.23</v>
      </c>
      <c r="O141" s="70">
        <v>-7382.76</v>
      </c>
      <c r="Q141" s="186" t="s">
        <v>42</v>
      </c>
      <c r="S141" s="186"/>
      <c r="T141" s="186"/>
    </row>
    <row r="142" spans="1:20" ht="15" customHeight="1">
      <c r="A142" s="111" t="s">
        <v>294</v>
      </c>
      <c r="B142" s="69" t="s">
        <v>148</v>
      </c>
      <c r="C142" s="70">
        <v>780.31</v>
      </c>
      <c r="D142" s="70">
        <v>780.31</v>
      </c>
      <c r="E142" s="70">
        <v>780.31</v>
      </c>
      <c r="F142" s="70">
        <v>780.31</v>
      </c>
      <c r="G142" s="70">
        <v>780.31</v>
      </c>
      <c r="H142" s="70">
        <v>780.31</v>
      </c>
      <c r="I142" s="70">
        <v>780.31</v>
      </c>
      <c r="J142" s="70">
        <v>780.31</v>
      </c>
      <c r="K142" s="70">
        <v>780.31</v>
      </c>
      <c r="L142" s="70">
        <v>780.31</v>
      </c>
      <c r="M142" s="70">
        <v>780.31</v>
      </c>
      <c r="N142" s="70">
        <v>780.31</v>
      </c>
      <c r="O142" s="70">
        <v>9363.7199999999993</v>
      </c>
      <c r="Q142" s="186" t="s">
        <v>43</v>
      </c>
      <c r="S142" s="186"/>
      <c r="T142" s="186"/>
    </row>
    <row r="143" spans="1:20" ht="15" customHeight="1">
      <c r="A143" s="111" t="s">
        <v>398</v>
      </c>
      <c r="B143" s="69" t="s">
        <v>399</v>
      </c>
      <c r="C143" s="70">
        <v>14331</v>
      </c>
      <c r="D143" s="70">
        <v>0</v>
      </c>
      <c r="E143" s="70">
        <v>0</v>
      </c>
      <c r="F143" s="70">
        <v>14331</v>
      </c>
      <c r="G143" s="70">
        <v>0</v>
      </c>
      <c r="H143" s="70">
        <v>0</v>
      </c>
      <c r="I143" s="70">
        <v>14331</v>
      </c>
      <c r="J143" s="70">
        <v>0</v>
      </c>
      <c r="K143" s="70">
        <v>0</v>
      </c>
      <c r="L143" s="70">
        <v>14331</v>
      </c>
      <c r="M143" s="70">
        <v>0</v>
      </c>
      <c r="N143" s="70">
        <v>0</v>
      </c>
      <c r="O143" s="70">
        <v>57324</v>
      </c>
      <c r="Q143" s="186" t="s">
        <v>43</v>
      </c>
      <c r="S143" s="186"/>
      <c r="T143" s="186"/>
    </row>
    <row r="144" spans="1:20" ht="15" customHeight="1">
      <c r="A144" s="111" t="s">
        <v>295</v>
      </c>
      <c r="B144" s="69" t="s">
        <v>194</v>
      </c>
      <c r="C144" s="70">
        <v>13378.04</v>
      </c>
      <c r="D144" s="70">
        <v>1981.04</v>
      </c>
      <c r="E144" s="70">
        <v>1981.04</v>
      </c>
      <c r="F144" s="70">
        <v>5842.04</v>
      </c>
      <c r="G144" s="70">
        <v>1981.04</v>
      </c>
      <c r="H144" s="70">
        <v>1981.04</v>
      </c>
      <c r="I144" s="70">
        <v>5842.04</v>
      </c>
      <c r="J144" s="70">
        <v>2703.04</v>
      </c>
      <c r="K144" s="70">
        <v>1981.04</v>
      </c>
      <c r="L144" s="70">
        <v>5842.04</v>
      </c>
      <c r="M144" s="70">
        <v>1981.04</v>
      </c>
      <c r="N144" s="70">
        <v>1981.04</v>
      </c>
      <c r="O144" s="70">
        <v>47474.48</v>
      </c>
      <c r="Q144" s="186" t="s">
        <v>43</v>
      </c>
      <c r="S144" s="186"/>
      <c r="T144" s="186"/>
    </row>
    <row r="145" spans="1:20" ht="15" customHeight="1">
      <c r="A145" s="111" t="s">
        <v>296</v>
      </c>
      <c r="B145" s="69" t="s">
        <v>149</v>
      </c>
      <c r="C145" s="70">
        <v>145</v>
      </c>
      <c r="D145" s="70">
        <v>145</v>
      </c>
      <c r="E145" s="70">
        <v>145</v>
      </c>
      <c r="F145" s="70">
        <v>145</v>
      </c>
      <c r="G145" s="70">
        <v>145</v>
      </c>
      <c r="H145" s="70">
        <v>3103</v>
      </c>
      <c r="I145" s="70">
        <v>145</v>
      </c>
      <c r="J145" s="70">
        <v>145</v>
      </c>
      <c r="K145" s="70">
        <v>145</v>
      </c>
      <c r="L145" s="70">
        <v>145</v>
      </c>
      <c r="M145" s="70">
        <v>145</v>
      </c>
      <c r="N145" s="70">
        <v>145</v>
      </c>
      <c r="O145" s="70">
        <v>4698</v>
      </c>
      <c r="Q145" s="186" t="s">
        <v>43</v>
      </c>
      <c r="S145" s="186"/>
      <c r="T145" s="186"/>
    </row>
    <row r="146" spans="1:20" ht="15" customHeight="1">
      <c r="A146" s="111" t="s">
        <v>297</v>
      </c>
      <c r="B146" s="69" t="s">
        <v>150</v>
      </c>
      <c r="C146" s="70">
        <v>0</v>
      </c>
      <c r="D146" s="70">
        <v>0</v>
      </c>
      <c r="E146" s="70">
        <v>0</v>
      </c>
      <c r="F146" s="70">
        <v>0</v>
      </c>
      <c r="G146" s="70">
        <v>0</v>
      </c>
      <c r="H146" s="70">
        <v>0</v>
      </c>
      <c r="I146" s="70">
        <v>40</v>
      </c>
      <c r="J146" s="70">
        <v>0</v>
      </c>
      <c r="K146" s="70">
        <v>0</v>
      </c>
      <c r="L146" s="70">
        <v>0</v>
      </c>
      <c r="M146" s="70">
        <v>0</v>
      </c>
      <c r="N146" s="70">
        <v>0</v>
      </c>
      <c r="O146" s="70">
        <v>40</v>
      </c>
      <c r="Q146" s="186" t="s">
        <v>43</v>
      </c>
      <c r="S146" s="186"/>
      <c r="T146" s="186"/>
    </row>
    <row r="147" spans="1:20" ht="15" customHeight="1">
      <c r="A147" s="111" t="s">
        <v>298</v>
      </c>
      <c r="B147" s="69" t="s">
        <v>151</v>
      </c>
      <c r="C147" s="70">
        <v>584.12</v>
      </c>
      <c r="D147" s="70">
        <v>584.12</v>
      </c>
      <c r="E147" s="70">
        <v>584.12</v>
      </c>
      <c r="F147" s="70">
        <v>584.12</v>
      </c>
      <c r="G147" s="70">
        <v>584.12</v>
      </c>
      <c r="H147" s="70">
        <v>584.12</v>
      </c>
      <c r="I147" s="70">
        <v>584.12</v>
      </c>
      <c r="J147" s="70">
        <v>584.12</v>
      </c>
      <c r="K147" s="70">
        <v>584.12</v>
      </c>
      <c r="L147" s="70">
        <v>584.12</v>
      </c>
      <c r="M147" s="70">
        <v>584.12</v>
      </c>
      <c r="N147" s="70">
        <v>584.12</v>
      </c>
      <c r="O147" s="70">
        <v>7009.44</v>
      </c>
      <c r="Q147" s="186" t="s">
        <v>43</v>
      </c>
      <c r="S147" s="186"/>
      <c r="T147" s="186"/>
    </row>
    <row r="148" spans="1:20" ht="15" customHeight="1">
      <c r="A148" s="111" t="s">
        <v>299</v>
      </c>
      <c r="B148" s="69" t="s">
        <v>152</v>
      </c>
      <c r="C148" s="70">
        <v>1504</v>
      </c>
      <c r="D148" s="70">
        <v>0</v>
      </c>
      <c r="E148" s="70">
        <v>0</v>
      </c>
      <c r="F148" s="70">
        <v>0</v>
      </c>
      <c r="G148" s="70">
        <v>0</v>
      </c>
      <c r="H148" s="70">
        <v>0</v>
      </c>
      <c r="I148" s="70">
        <v>0</v>
      </c>
      <c r="J148" s="70">
        <v>0</v>
      </c>
      <c r="K148" s="70">
        <v>0</v>
      </c>
      <c r="L148" s="70">
        <v>0</v>
      </c>
      <c r="M148" s="70">
        <v>0</v>
      </c>
      <c r="N148" s="70">
        <v>0</v>
      </c>
      <c r="O148" s="70">
        <v>1504</v>
      </c>
      <c r="Q148" s="186" t="s">
        <v>43</v>
      </c>
      <c r="S148" s="186"/>
      <c r="T148" s="186"/>
    </row>
    <row r="149" spans="1:20" ht="15" customHeight="1">
      <c r="A149" s="111" t="s">
        <v>300</v>
      </c>
      <c r="B149" s="69" t="s">
        <v>153</v>
      </c>
      <c r="C149" s="70">
        <v>488</v>
      </c>
      <c r="D149" s="70">
        <v>29</v>
      </c>
      <c r="E149" s="70">
        <v>79</v>
      </c>
      <c r="F149" s="70">
        <v>29</v>
      </c>
      <c r="G149" s="70">
        <v>1886</v>
      </c>
      <c r="H149" s="70">
        <v>29</v>
      </c>
      <c r="I149" s="70">
        <v>29</v>
      </c>
      <c r="J149" s="70">
        <v>29</v>
      </c>
      <c r="K149" s="70">
        <v>29</v>
      </c>
      <c r="L149" s="70">
        <v>592</v>
      </c>
      <c r="M149" s="70">
        <v>29</v>
      </c>
      <c r="N149" s="70">
        <v>29</v>
      </c>
      <c r="O149" s="70">
        <v>3277</v>
      </c>
      <c r="Q149" s="186" t="s">
        <v>43</v>
      </c>
      <c r="S149" s="186"/>
      <c r="T149" s="186"/>
    </row>
    <row r="150" spans="1:20" ht="15" customHeight="1">
      <c r="A150" s="111" t="s">
        <v>301</v>
      </c>
      <c r="B150" s="69" t="s">
        <v>154</v>
      </c>
      <c r="C150" s="70">
        <v>253.85</v>
      </c>
      <c r="D150" s="70">
        <v>253.85</v>
      </c>
      <c r="E150" s="70">
        <v>253.85</v>
      </c>
      <c r="F150" s="70">
        <v>253.85</v>
      </c>
      <c r="G150" s="70">
        <v>253.85</v>
      </c>
      <c r="H150" s="70">
        <v>253.85</v>
      </c>
      <c r="I150" s="70">
        <v>253.85</v>
      </c>
      <c r="J150" s="70">
        <v>253.85</v>
      </c>
      <c r="K150" s="70">
        <v>253.85</v>
      </c>
      <c r="L150" s="70">
        <v>253.85</v>
      </c>
      <c r="M150" s="70">
        <v>253.85</v>
      </c>
      <c r="N150" s="70">
        <v>253.85</v>
      </c>
      <c r="O150" s="70">
        <v>3046.2</v>
      </c>
      <c r="Q150" s="186" t="s">
        <v>43</v>
      </c>
      <c r="T150" s="186"/>
    </row>
    <row r="151" spans="1:20" ht="15" customHeight="1">
      <c r="A151" s="111" t="s">
        <v>302</v>
      </c>
      <c r="B151" s="69" t="s">
        <v>155</v>
      </c>
      <c r="C151" s="112">
        <v>50</v>
      </c>
      <c r="D151" s="112">
        <v>50</v>
      </c>
      <c r="E151" s="112">
        <v>50</v>
      </c>
      <c r="F151" s="112">
        <v>50</v>
      </c>
      <c r="G151" s="112">
        <v>50</v>
      </c>
      <c r="H151" s="112">
        <v>50</v>
      </c>
      <c r="I151" s="112">
        <v>50</v>
      </c>
      <c r="J151" s="112">
        <v>50</v>
      </c>
      <c r="K151" s="112">
        <v>50</v>
      </c>
      <c r="L151" s="112">
        <v>50</v>
      </c>
      <c r="M151" s="112">
        <v>50</v>
      </c>
      <c r="N151" s="112">
        <v>50</v>
      </c>
      <c r="O151" s="112">
        <v>600</v>
      </c>
      <c r="Q151" s="186" t="s">
        <v>43</v>
      </c>
      <c r="S151" s="186"/>
      <c r="T151" s="186"/>
    </row>
    <row r="152" spans="1:20" ht="15" customHeight="1">
      <c r="A152" s="113" t="s">
        <v>303</v>
      </c>
      <c r="B152" s="114" t="s">
        <v>156</v>
      </c>
      <c r="C152" s="115">
        <v>45925.51</v>
      </c>
      <c r="D152" s="115">
        <v>18252.16</v>
      </c>
      <c r="E152" s="115">
        <v>18392.330000000002</v>
      </c>
      <c r="F152" s="115">
        <v>36566.910000000003</v>
      </c>
      <c r="G152" s="115">
        <v>20340.060000000001</v>
      </c>
      <c r="H152" s="115">
        <v>21514.22</v>
      </c>
      <c r="I152" s="115">
        <v>36845.699999999997</v>
      </c>
      <c r="J152" s="115">
        <v>19303.080000000002</v>
      </c>
      <c r="K152" s="115">
        <v>18490.97</v>
      </c>
      <c r="L152" s="115">
        <v>37161.74</v>
      </c>
      <c r="M152" s="115">
        <v>18410.71</v>
      </c>
      <c r="N152" s="115">
        <v>18373.009999999998</v>
      </c>
      <c r="O152" s="115">
        <v>309576.40000000002</v>
      </c>
      <c r="S152" s="186"/>
      <c r="T152" s="186"/>
    </row>
    <row r="153" spans="1:20" ht="15" customHeight="1">
      <c r="A153" s="111"/>
      <c r="B153" s="69"/>
      <c r="C153" s="117"/>
      <c r="D153" s="117"/>
      <c r="E153" s="117"/>
      <c r="F153" s="117"/>
      <c r="G153" s="117"/>
      <c r="H153" s="117"/>
      <c r="I153" s="117"/>
      <c r="J153" s="117"/>
      <c r="K153" s="117"/>
      <c r="L153" s="117"/>
      <c r="M153" s="117"/>
      <c r="N153" s="117"/>
      <c r="O153" s="117"/>
      <c r="S153" s="186"/>
      <c r="T153" s="186"/>
    </row>
    <row r="154" spans="1:20" ht="15" customHeight="1">
      <c r="A154" s="113"/>
      <c r="B154" s="114" t="s">
        <v>157</v>
      </c>
      <c r="C154" s="115">
        <v>164218.9</v>
      </c>
      <c r="D154" s="115">
        <v>155799.54999999999</v>
      </c>
      <c r="E154" s="115">
        <v>152827.78</v>
      </c>
      <c r="F154" s="115">
        <v>159248.6</v>
      </c>
      <c r="G154" s="115">
        <v>141639.16</v>
      </c>
      <c r="H154" s="115">
        <v>142401.12</v>
      </c>
      <c r="I154" s="115">
        <v>179293.01</v>
      </c>
      <c r="J154" s="115">
        <v>145639.46</v>
      </c>
      <c r="K154" s="115">
        <v>142026.43</v>
      </c>
      <c r="L154" s="115">
        <v>174732.28</v>
      </c>
      <c r="M154" s="115">
        <v>145131.70000000001</v>
      </c>
      <c r="N154" s="115">
        <v>134977.91</v>
      </c>
      <c r="O154" s="115">
        <v>1837935.9</v>
      </c>
      <c r="Q154" s="186" t="s">
        <v>46</v>
      </c>
      <c r="S154" s="186"/>
      <c r="T154" s="186"/>
    </row>
    <row r="155" spans="1:20" ht="15" customHeight="1">
      <c r="A155" s="111"/>
      <c r="B155" s="69"/>
      <c r="C155" s="118"/>
      <c r="D155" s="118"/>
      <c r="E155" s="118"/>
      <c r="F155" s="118"/>
      <c r="G155" s="118"/>
      <c r="H155" s="118"/>
      <c r="I155" s="118"/>
      <c r="J155" s="118"/>
      <c r="K155" s="118"/>
      <c r="L155" s="118"/>
      <c r="M155" s="118"/>
      <c r="N155" s="118"/>
      <c r="O155" s="118"/>
      <c r="Q155" s="186"/>
      <c r="S155" s="186"/>
      <c r="T155" s="186"/>
    </row>
    <row r="156" spans="1:20" ht="15" customHeight="1" thickBot="1">
      <c r="A156" s="113"/>
      <c r="B156" s="114" t="s">
        <v>158</v>
      </c>
      <c r="C156" s="119">
        <v>291291.18</v>
      </c>
      <c r="D156" s="119">
        <v>295519.15999999997</v>
      </c>
      <c r="E156" s="119">
        <v>301600.34999999998</v>
      </c>
      <c r="F156" s="119">
        <v>301102.93</v>
      </c>
      <c r="G156" s="119">
        <v>317641.7</v>
      </c>
      <c r="H156" s="119">
        <v>319402.59999999998</v>
      </c>
      <c r="I156" s="119">
        <v>289292.57</v>
      </c>
      <c r="J156" s="119">
        <v>317021.33</v>
      </c>
      <c r="K156" s="119">
        <v>317527.15999999997</v>
      </c>
      <c r="L156" s="119">
        <v>286316.67</v>
      </c>
      <c r="M156" s="119">
        <v>311654.39</v>
      </c>
      <c r="N156" s="119">
        <v>320508.28000000003</v>
      </c>
      <c r="O156" s="119">
        <v>3668878.32</v>
      </c>
      <c r="Q156" s="186" t="s">
        <v>48</v>
      </c>
      <c r="S156" s="186"/>
      <c r="T156" s="186"/>
    </row>
    <row r="157" spans="1:20" ht="15" customHeight="1" thickTop="1">
      <c r="A157" s="111"/>
      <c r="B157" s="69"/>
      <c r="C157" s="120"/>
      <c r="D157" s="120"/>
      <c r="E157" s="120"/>
      <c r="F157" s="120"/>
      <c r="G157" s="120"/>
      <c r="H157" s="120"/>
      <c r="I157" s="120"/>
      <c r="J157" s="120"/>
      <c r="K157" s="120"/>
      <c r="L157" s="120"/>
      <c r="M157" s="120"/>
      <c r="N157" s="120"/>
      <c r="O157" s="120"/>
      <c r="S157" s="186"/>
      <c r="T157" s="186"/>
    </row>
    <row r="158" spans="1:20" ht="15" customHeight="1">
      <c r="A158" s="113"/>
      <c r="B158" s="114" t="s">
        <v>159</v>
      </c>
      <c r="C158" s="116"/>
      <c r="D158" s="116"/>
      <c r="E158" s="116"/>
      <c r="F158" s="116"/>
      <c r="G158" s="116"/>
      <c r="H158" s="116"/>
      <c r="I158" s="116"/>
      <c r="J158" s="116"/>
      <c r="K158" s="116"/>
      <c r="L158" s="116"/>
      <c r="M158" s="116"/>
      <c r="N158" s="116"/>
      <c r="O158" s="116"/>
    </row>
    <row r="159" spans="1:20" ht="15" customHeight="1">
      <c r="A159" s="111" t="s">
        <v>304</v>
      </c>
      <c r="B159" s="69" t="s">
        <v>160</v>
      </c>
      <c r="C159" s="70">
        <v>396679</v>
      </c>
      <c r="D159" s="70">
        <v>358291</v>
      </c>
      <c r="E159" s="70">
        <v>396679</v>
      </c>
      <c r="F159" s="70">
        <v>383883</v>
      </c>
      <c r="G159" s="70">
        <v>396679</v>
      </c>
      <c r="H159" s="70">
        <v>383883</v>
      </c>
      <c r="I159" s="70">
        <v>396679</v>
      </c>
      <c r="J159" s="70">
        <v>396679</v>
      </c>
      <c r="K159" s="70">
        <v>383883</v>
      </c>
      <c r="L159" s="70">
        <v>396679</v>
      </c>
      <c r="M159" s="70">
        <v>383883</v>
      </c>
      <c r="N159" s="70">
        <v>396679</v>
      </c>
      <c r="O159" s="70">
        <v>4670576</v>
      </c>
    </row>
    <row r="160" spans="1:20" ht="15" customHeight="1">
      <c r="A160" s="111" t="s">
        <v>480</v>
      </c>
      <c r="B160" s="69" t="s">
        <v>481</v>
      </c>
      <c r="C160" s="70">
        <v>168939</v>
      </c>
      <c r="D160" s="70">
        <v>0</v>
      </c>
      <c r="E160" s="70">
        <v>0</v>
      </c>
      <c r="F160" s="70">
        <v>0</v>
      </c>
      <c r="G160" s="70">
        <v>0</v>
      </c>
      <c r="H160" s="70">
        <v>0</v>
      </c>
      <c r="I160" s="70">
        <v>0</v>
      </c>
      <c r="J160" s="70">
        <v>0</v>
      </c>
      <c r="K160" s="70">
        <v>0</v>
      </c>
      <c r="L160" s="70">
        <v>0</v>
      </c>
      <c r="M160" s="70">
        <v>0</v>
      </c>
      <c r="N160" s="70">
        <v>0</v>
      </c>
      <c r="O160" s="70">
        <v>168939</v>
      </c>
    </row>
    <row r="161" spans="1:17" ht="15" customHeight="1">
      <c r="A161" s="111" t="s">
        <v>351</v>
      </c>
      <c r="B161" s="69" t="s">
        <v>352</v>
      </c>
      <c r="C161" s="112">
        <v>1458.33</v>
      </c>
      <c r="D161" s="112">
        <v>1458.33</v>
      </c>
      <c r="E161" s="112">
        <v>1458.33</v>
      </c>
      <c r="F161" s="112">
        <v>1458.33</v>
      </c>
      <c r="G161" s="112">
        <v>1458.33</v>
      </c>
      <c r="H161" s="112">
        <v>1458.33</v>
      </c>
      <c r="I161" s="112">
        <v>1458.33</v>
      </c>
      <c r="J161" s="112">
        <v>1458.33</v>
      </c>
      <c r="K161" s="112">
        <v>1458.33</v>
      </c>
      <c r="L161" s="112">
        <v>1458.33</v>
      </c>
      <c r="M161" s="112">
        <v>1458.33</v>
      </c>
      <c r="N161" s="112">
        <v>1458.33</v>
      </c>
      <c r="O161" s="112">
        <v>17499.96</v>
      </c>
    </row>
    <row r="162" spans="1:17" ht="15" customHeight="1">
      <c r="A162" s="113" t="s">
        <v>305</v>
      </c>
      <c r="B162" s="114" t="s">
        <v>161</v>
      </c>
      <c r="C162" s="115">
        <v>567076.32999999996</v>
      </c>
      <c r="D162" s="115">
        <v>359749.33</v>
      </c>
      <c r="E162" s="115">
        <v>398137.33</v>
      </c>
      <c r="F162" s="115">
        <v>385341.33</v>
      </c>
      <c r="G162" s="115">
        <v>398137.33</v>
      </c>
      <c r="H162" s="115">
        <v>385341.33</v>
      </c>
      <c r="I162" s="115">
        <v>398137.33</v>
      </c>
      <c r="J162" s="115">
        <v>398137.33</v>
      </c>
      <c r="K162" s="115">
        <v>385341.33</v>
      </c>
      <c r="L162" s="115">
        <v>398137.33</v>
      </c>
      <c r="M162" s="115">
        <v>385341.33</v>
      </c>
      <c r="N162" s="115">
        <v>398137.33</v>
      </c>
      <c r="O162" s="115">
        <v>4857014.96</v>
      </c>
      <c r="Q162" s="186" t="s">
        <v>53</v>
      </c>
    </row>
    <row r="163" spans="1:17" ht="15" customHeight="1">
      <c r="A163" s="111"/>
      <c r="B163" s="69"/>
      <c r="C163" s="117"/>
      <c r="D163" s="117"/>
      <c r="E163" s="117"/>
      <c r="F163" s="117"/>
      <c r="G163" s="117"/>
      <c r="H163" s="117"/>
      <c r="I163" s="117"/>
      <c r="J163" s="117"/>
      <c r="K163" s="117"/>
      <c r="L163" s="117"/>
      <c r="M163" s="117"/>
      <c r="N163" s="117"/>
      <c r="O163" s="117"/>
    </row>
    <row r="164" spans="1:17" ht="15" customHeight="1">
      <c r="A164" s="113"/>
      <c r="B164" s="114" t="s">
        <v>162</v>
      </c>
      <c r="C164" s="115">
        <v>-275785.15000000002</v>
      </c>
      <c r="D164" s="115">
        <v>-64230.17</v>
      </c>
      <c r="E164" s="115">
        <v>-96536.98</v>
      </c>
      <c r="F164" s="115">
        <v>-84238.399999999994</v>
      </c>
      <c r="G164" s="115">
        <v>-80495.63</v>
      </c>
      <c r="H164" s="115">
        <v>-65938.73</v>
      </c>
      <c r="I164" s="115">
        <v>-108844.76</v>
      </c>
      <c r="J164" s="115">
        <v>-81116</v>
      </c>
      <c r="K164" s="115">
        <v>-67814.17</v>
      </c>
      <c r="L164" s="115">
        <v>-111820.66</v>
      </c>
      <c r="M164" s="115">
        <v>-73686.94</v>
      </c>
      <c r="N164" s="115">
        <v>-77629.05</v>
      </c>
      <c r="O164" s="115">
        <v>-1188136.6399999999</v>
      </c>
    </row>
    <row r="165" spans="1:17" ht="15" customHeight="1">
      <c r="A165" s="111"/>
      <c r="B165" s="69"/>
      <c r="C165" s="111"/>
      <c r="D165" s="111"/>
      <c r="E165" s="111"/>
      <c r="F165" s="111"/>
      <c r="G165" s="111"/>
      <c r="H165" s="111"/>
      <c r="I165" s="111"/>
      <c r="J165" s="111"/>
      <c r="K165" s="111"/>
      <c r="L165" s="111"/>
      <c r="M165" s="111"/>
      <c r="N165" s="111"/>
      <c r="O165" s="111"/>
    </row>
    <row r="166" spans="1:17" ht="15" customHeight="1">
      <c r="A166" s="113"/>
      <c r="B166" s="114" t="s">
        <v>163</v>
      </c>
      <c r="C166" s="116"/>
      <c r="D166" s="116"/>
      <c r="E166" s="116"/>
      <c r="F166" s="116"/>
      <c r="G166" s="116"/>
      <c r="H166" s="116"/>
      <c r="I166" s="116"/>
      <c r="J166" s="116"/>
      <c r="K166" s="116"/>
      <c r="L166" s="116"/>
      <c r="M166" s="116"/>
      <c r="N166" s="116"/>
      <c r="O166" s="116"/>
      <c r="Q166" s="186"/>
    </row>
    <row r="167" spans="1:17" ht="15" customHeight="1">
      <c r="A167" s="111" t="s">
        <v>306</v>
      </c>
      <c r="B167" s="69" t="s">
        <v>108</v>
      </c>
      <c r="C167" s="70">
        <v>4687</v>
      </c>
      <c r="D167" s="70">
        <v>4687</v>
      </c>
      <c r="E167" s="70">
        <v>4687</v>
      </c>
      <c r="F167" s="70">
        <v>4687</v>
      </c>
      <c r="G167" s="70">
        <v>4687</v>
      </c>
      <c r="H167" s="70">
        <v>4687</v>
      </c>
      <c r="I167" s="70">
        <v>4687</v>
      </c>
      <c r="J167" s="70">
        <v>4687</v>
      </c>
      <c r="K167" s="70">
        <v>4687</v>
      </c>
      <c r="L167" s="70">
        <v>4687</v>
      </c>
      <c r="M167" s="70">
        <v>4687</v>
      </c>
      <c r="N167" s="70">
        <v>4687</v>
      </c>
      <c r="O167" s="70">
        <v>56244</v>
      </c>
      <c r="Q167" s="186"/>
    </row>
    <row r="168" spans="1:17" ht="15" customHeight="1">
      <c r="A168" s="111" t="s">
        <v>307</v>
      </c>
      <c r="B168" s="69" t="s">
        <v>164</v>
      </c>
      <c r="C168" s="70">
        <v>460</v>
      </c>
      <c r="D168" s="70">
        <v>460</v>
      </c>
      <c r="E168" s="70">
        <v>460</v>
      </c>
      <c r="F168" s="70">
        <v>460</v>
      </c>
      <c r="G168" s="70">
        <v>460</v>
      </c>
      <c r="H168" s="70">
        <v>460</v>
      </c>
      <c r="I168" s="70">
        <v>460</v>
      </c>
      <c r="J168" s="70">
        <v>460</v>
      </c>
      <c r="K168" s="70">
        <v>460</v>
      </c>
      <c r="L168" s="70">
        <v>460</v>
      </c>
      <c r="M168" s="70">
        <v>460</v>
      </c>
      <c r="N168" s="70">
        <v>460</v>
      </c>
      <c r="O168" s="70">
        <v>5520</v>
      </c>
    </row>
    <row r="169" spans="1:17" ht="15" customHeight="1">
      <c r="A169" s="111" t="s">
        <v>308</v>
      </c>
      <c r="B169" s="69" t="s">
        <v>165</v>
      </c>
      <c r="C169" s="70">
        <v>1885</v>
      </c>
      <c r="D169" s="70">
        <v>0</v>
      </c>
      <c r="E169" s="70">
        <v>0</v>
      </c>
      <c r="F169" s="70">
        <v>1885</v>
      </c>
      <c r="G169" s="70">
        <v>0</v>
      </c>
      <c r="H169" s="70">
        <v>0</v>
      </c>
      <c r="I169" s="70">
        <v>1885</v>
      </c>
      <c r="J169" s="70">
        <v>0</v>
      </c>
      <c r="K169" s="70">
        <v>0</v>
      </c>
      <c r="L169" s="70">
        <v>1885</v>
      </c>
      <c r="M169" s="70">
        <v>0</v>
      </c>
      <c r="N169" s="70">
        <v>0</v>
      </c>
      <c r="O169" s="70">
        <v>7540</v>
      </c>
    </row>
    <row r="170" spans="1:17" ht="15" customHeight="1">
      <c r="A170" s="111" t="s">
        <v>309</v>
      </c>
      <c r="B170" s="69" t="s">
        <v>166</v>
      </c>
      <c r="C170" s="70">
        <v>1500</v>
      </c>
      <c r="D170" s="70">
        <v>1500</v>
      </c>
      <c r="E170" s="70">
        <v>1500</v>
      </c>
      <c r="F170" s="70">
        <v>3300</v>
      </c>
      <c r="G170" s="70">
        <v>9600</v>
      </c>
      <c r="H170" s="70">
        <v>16200</v>
      </c>
      <c r="I170" s="70">
        <v>22800</v>
      </c>
      <c r="J170" s="70">
        <v>22800</v>
      </c>
      <c r="K170" s="70">
        <v>16500</v>
      </c>
      <c r="L170" s="70">
        <v>6600</v>
      </c>
      <c r="M170" s="70">
        <v>1500</v>
      </c>
      <c r="N170" s="70">
        <v>1500</v>
      </c>
      <c r="O170" s="70">
        <v>105300</v>
      </c>
    </row>
    <row r="171" spans="1:17" ht="15" customHeight="1">
      <c r="A171" s="111" t="s">
        <v>310</v>
      </c>
      <c r="B171" s="69" t="s">
        <v>167</v>
      </c>
      <c r="C171" s="70">
        <v>4425</v>
      </c>
      <c r="D171" s="70">
        <v>4425</v>
      </c>
      <c r="E171" s="70">
        <v>4425</v>
      </c>
      <c r="F171" s="70">
        <v>4425</v>
      </c>
      <c r="G171" s="70">
        <v>4425</v>
      </c>
      <c r="H171" s="70">
        <v>4425</v>
      </c>
      <c r="I171" s="70">
        <v>4425</v>
      </c>
      <c r="J171" s="70">
        <v>4425</v>
      </c>
      <c r="K171" s="70">
        <v>4425</v>
      </c>
      <c r="L171" s="70">
        <v>4425</v>
      </c>
      <c r="M171" s="70">
        <v>4425</v>
      </c>
      <c r="N171" s="70">
        <v>4425</v>
      </c>
      <c r="O171" s="70">
        <v>53100</v>
      </c>
      <c r="Q171" s="185"/>
    </row>
    <row r="172" spans="1:17" ht="15" customHeight="1">
      <c r="A172" s="111" t="s">
        <v>353</v>
      </c>
      <c r="B172" s="69" t="s">
        <v>354</v>
      </c>
      <c r="C172" s="112">
        <v>6087</v>
      </c>
      <c r="D172" s="112">
        <v>6087</v>
      </c>
      <c r="E172" s="112">
        <v>6087</v>
      </c>
      <c r="F172" s="112">
        <v>6087</v>
      </c>
      <c r="G172" s="112">
        <v>6087</v>
      </c>
      <c r="H172" s="112">
        <v>6087</v>
      </c>
      <c r="I172" s="112">
        <v>6087</v>
      </c>
      <c r="J172" s="112">
        <v>6087</v>
      </c>
      <c r="K172" s="112">
        <v>6087</v>
      </c>
      <c r="L172" s="112">
        <v>6087</v>
      </c>
      <c r="M172" s="112">
        <v>6087</v>
      </c>
      <c r="N172" s="112">
        <v>6087</v>
      </c>
      <c r="O172" s="112">
        <v>73044</v>
      </c>
    </row>
    <row r="173" spans="1:17" ht="15" customHeight="1">
      <c r="A173" s="113" t="s">
        <v>311</v>
      </c>
      <c r="B173" s="114" t="s">
        <v>169</v>
      </c>
      <c r="C173" s="115">
        <v>19044</v>
      </c>
      <c r="D173" s="115">
        <v>17159</v>
      </c>
      <c r="E173" s="115">
        <v>17159</v>
      </c>
      <c r="F173" s="115">
        <v>20844</v>
      </c>
      <c r="G173" s="115">
        <v>25259</v>
      </c>
      <c r="H173" s="115">
        <v>31859</v>
      </c>
      <c r="I173" s="115">
        <v>40344</v>
      </c>
      <c r="J173" s="115">
        <v>38459</v>
      </c>
      <c r="K173" s="115">
        <v>32159</v>
      </c>
      <c r="L173" s="115">
        <v>24144</v>
      </c>
      <c r="M173" s="115">
        <v>17159</v>
      </c>
      <c r="N173" s="115">
        <v>17159</v>
      </c>
      <c r="O173" s="115">
        <v>300748</v>
      </c>
      <c r="Q173" s="186" t="s">
        <v>49</v>
      </c>
    </row>
    <row r="174" spans="1:17" ht="15" customHeight="1">
      <c r="A174" s="111"/>
      <c r="B174" s="69"/>
      <c r="C174" s="117"/>
      <c r="D174" s="117"/>
      <c r="E174" s="117"/>
      <c r="F174" s="117"/>
      <c r="G174" s="117"/>
      <c r="H174" s="117"/>
      <c r="I174" s="117"/>
      <c r="J174" s="117"/>
      <c r="K174" s="117"/>
      <c r="L174" s="117"/>
      <c r="M174" s="117"/>
      <c r="N174" s="117"/>
      <c r="O174" s="117"/>
    </row>
    <row r="175" spans="1:17" ht="15" customHeight="1">
      <c r="A175" s="113"/>
      <c r="B175" s="114" t="s">
        <v>170</v>
      </c>
      <c r="C175" s="115">
        <v>-294829.15000000002</v>
      </c>
      <c r="D175" s="115">
        <v>-81389.17</v>
      </c>
      <c r="E175" s="115">
        <v>-113695.98</v>
      </c>
      <c r="F175" s="115">
        <v>-105082.4</v>
      </c>
      <c r="G175" s="115">
        <v>-105754.63</v>
      </c>
      <c r="H175" s="115">
        <v>-97797.73</v>
      </c>
      <c r="I175" s="115">
        <v>-149188.76</v>
      </c>
      <c r="J175" s="115">
        <v>-119575</v>
      </c>
      <c r="K175" s="115">
        <v>-99973.17</v>
      </c>
      <c r="L175" s="115">
        <v>-135964.66</v>
      </c>
      <c r="M175" s="115">
        <v>-90845.94</v>
      </c>
      <c r="N175" s="115">
        <v>-94788.05</v>
      </c>
      <c r="O175" s="115">
        <v>-1488884.64</v>
      </c>
      <c r="Q175" s="185"/>
    </row>
    <row r="176" spans="1:17" ht="15" customHeight="1">
      <c r="A176" s="111"/>
      <c r="B176" s="69"/>
      <c r="C176" s="111"/>
      <c r="D176" s="111"/>
      <c r="E176" s="111"/>
      <c r="F176" s="111"/>
      <c r="G176" s="111"/>
      <c r="H176" s="111"/>
      <c r="I176" s="111"/>
      <c r="J176" s="111"/>
      <c r="K176" s="111"/>
      <c r="L176" s="111"/>
      <c r="M176" s="111"/>
      <c r="N176" s="111"/>
      <c r="O176" s="111"/>
    </row>
    <row r="177" spans="1:15" ht="15" customHeight="1">
      <c r="A177" s="113"/>
      <c r="B177" s="114" t="s">
        <v>171</v>
      </c>
      <c r="C177" s="116"/>
      <c r="D177" s="116"/>
      <c r="E177" s="116"/>
      <c r="F177" s="116"/>
      <c r="G177" s="116"/>
      <c r="H177" s="116"/>
      <c r="I177" s="116"/>
      <c r="J177" s="116"/>
      <c r="K177" s="116"/>
      <c r="L177" s="116"/>
      <c r="M177" s="116"/>
      <c r="N177" s="116"/>
      <c r="O177" s="116"/>
    </row>
    <row r="178" spans="1:15" ht="15" customHeight="1">
      <c r="A178" s="111" t="s">
        <v>312</v>
      </c>
      <c r="B178" s="69" t="s">
        <v>172</v>
      </c>
      <c r="C178" s="112">
        <v>3771</v>
      </c>
      <c r="D178" s="112">
        <v>3771</v>
      </c>
      <c r="E178" s="112">
        <v>3771</v>
      </c>
      <c r="F178" s="112">
        <v>3771</v>
      </c>
      <c r="G178" s="112">
        <v>3771</v>
      </c>
      <c r="H178" s="112">
        <v>3771</v>
      </c>
      <c r="I178" s="112">
        <v>0</v>
      </c>
      <c r="J178" s="112">
        <v>0</v>
      </c>
      <c r="K178" s="112">
        <v>0</v>
      </c>
      <c r="L178" s="112">
        <v>0</v>
      </c>
      <c r="M178" s="112">
        <v>0</v>
      </c>
      <c r="N178" s="112">
        <v>0</v>
      </c>
      <c r="O178" s="112">
        <v>22626</v>
      </c>
    </row>
    <row r="179" spans="1:15" ht="15" customHeight="1">
      <c r="A179" s="113" t="s">
        <v>313</v>
      </c>
      <c r="B179" s="114" t="s">
        <v>173</v>
      </c>
      <c r="C179" s="115">
        <v>3771</v>
      </c>
      <c r="D179" s="115">
        <v>3771</v>
      </c>
      <c r="E179" s="115">
        <v>3771</v>
      </c>
      <c r="F179" s="115">
        <v>3771</v>
      </c>
      <c r="G179" s="115">
        <v>3771</v>
      </c>
      <c r="H179" s="115">
        <v>3771</v>
      </c>
      <c r="I179" s="115">
        <v>0</v>
      </c>
      <c r="J179" s="115">
        <v>0</v>
      </c>
      <c r="K179" s="115">
        <v>0</v>
      </c>
      <c r="L179" s="115">
        <v>0</v>
      </c>
      <c r="M179" s="115">
        <v>0</v>
      </c>
      <c r="N179" s="115">
        <v>0</v>
      </c>
      <c r="O179" s="115">
        <v>22626</v>
      </c>
    </row>
    <row r="180" spans="1:15" ht="15" customHeight="1">
      <c r="A180" s="111"/>
      <c r="B180" s="69"/>
      <c r="C180" s="117"/>
      <c r="D180" s="117"/>
      <c r="E180" s="117"/>
      <c r="F180" s="117"/>
      <c r="G180" s="117"/>
      <c r="H180" s="117"/>
      <c r="I180" s="117"/>
      <c r="J180" s="117"/>
      <c r="K180" s="117"/>
      <c r="L180" s="117"/>
      <c r="M180" s="117"/>
      <c r="N180" s="117"/>
      <c r="O180" s="117"/>
    </row>
    <row r="181" spans="1:15" ht="15" customHeight="1">
      <c r="A181" s="113"/>
      <c r="B181" s="114" t="s">
        <v>174</v>
      </c>
      <c r="C181" s="115">
        <v>-298600.15000000002</v>
      </c>
      <c r="D181" s="115">
        <v>-85160.17</v>
      </c>
      <c r="E181" s="115">
        <v>-117466.98</v>
      </c>
      <c r="F181" s="115">
        <v>-108853.4</v>
      </c>
      <c r="G181" s="115">
        <v>-109525.63</v>
      </c>
      <c r="H181" s="115">
        <v>-101568.73</v>
      </c>
      <c r="I181" s="115">
        <v>-149188.76</v>
      </c>
      <c r="J181" s="115">
        <v>-119575</v>
      </c>
      <c r="K181" s="115">
        <v>-99973.17</v>
      </c>
      <c r="L181" s="115">
        <v>-135964.66</v>
      </c>
      <c r="M181" s="115">
        <v>-90845.94</v>
      </c>
      <c r="N181" s="115">
        <v>-94788.05</v>
      </c>
      <c r="O181" s="115">
        <v>-1511510.64</v>
      </c>
    </row>
    <row r="182" spans="1:15" ht="15" customHeight="1">
      <c r="A182" s="111"/>
      <c r="B182" s="69"/>
      <c r="C182" s="111"/>
      <c r="D182" s="111"/>
      <c r="E182" s="111"/>
      <c r="F182" s="111"/>
      <c r="G182" s="111"/>
      <c r="H182" s="111"/>
      <c r="I182" s="111"/>
      <c r="J182" s="111"/>
      <c r="K182" s="111"/>
      <c r="L182" s="111"/>
      <c r="M182" s="111"/>
      <c r="N182" s="111"/>
      <c r="O182" s="111"/>
    </row>
    <row r="183" spans="1:15" ht="15" customHeight="1">
      <c r="A183" s="113"/>
      <c r="B183" s="114" t="s">
        <v>175</v>
      </c>
      <c r="C183" s="116"/>
      <c r="D183" s="116"/>
      <c r="E183" s="116"/>
      <c r="F183" s="116"/>
      <c r="G183" s="116"/>
      <c r="H183" s="116"/>
      <c r="I183" s="116"/>
      <c r="J183" s="116"/>
      <c r="K183" s="116"/>
      <c r="L183" s="116"/>
      <c r="M183" s="116"/>
      <c r="N183" s="116"/>
      <c r="O183" s="116"/>
    </row>
    <row r="184" spans="1:15" ht="15" customHeight="1">
      <c r="A184" s="111" t="s">
        <v>314</v>
      </c>
      <c r="B184" s="69" t="s">
        <v>176</v>
      </c>
      <c r="C184" s="112">
        <v>1152939</v>
      </c>
      <c r="D184" s="112">
        <v>0</v>
      </c>
      <c r="E184" s="112">
        <v>0</v>
      </c>
      <c r="F184" s="112">
        <v>0</v>
      </c>
      <c r="G184" s="112">
        <v>0</v>
      </c>
      <c r="H184" s="112">
        <v>0</v>
      </c>
      <c r="I184" s="112">
        <v>0</v>
      </c>
      <c r="J184" s="112">
        <v>0</v>
      </c>
      <c r="K184" s="112">
        <v>0</v>
      </c>
      <c r="L184" s="112">
        <v>0</v>
      </c>
      <c r="M184" s="112">
        <v>0</v>
      </c>
      <c r="N184" s="112">
        <v>0</v>
      </c>
      <c r="O184" s="112">
        <v>1152939</v>
      </c>
    </row>
    <row r="185" spans="1:15" ht="15" customHeight="1">
      <c r="A185" s="113" t="s">
        <v>315</v>
      </c>
      <c r="B185" s="114" t="s">
        <v>177</v>
      </c>
      <c r="C185" s="115">
        <v>1152939</v>
      </c>
      <c r="D185" s="115">
        <v>0</v>
      </c>
      <c r="E185" s="115">
        <v>0</v>
      </c>
      <c r="F185" s="115">
        <v>0</v>
      </c>
      <c r="G185" s="115">
        <v>0</v>
      </c>
      <c r="H185" s="115">
        <v>0</v>
      </c>
      <c r="I185" s="115">
        <v>0</v>
      </c>
      <c r="J185" s="115">
        <v>0</v>
      </c>
      <c r="K185" s="115">
        <v>0</v>
      </c>
      <c r="L185" s="115">
        <v>0</v>
      </c>
      <c r="M185" s="115">
        <v>0</v>
      </c>
      <c r="N185" s="115">
        <v>0</v>
      </c>
      <c r="O185" s="115">
        <v>1152939</v>
      </c>
    </row>
    <row r="186" spans="1:15" ht="15" customHeight="1">
      <c r="A186" s="111"/>
      <c r="B186" s="69"/>
      <c r="C186" s="117"/>
      <c r="D186" s="117"/>
      <c r="E186" s="117"/>
      <c r="F186" s="117"/>
      <c r="G186" s="117"/>
      <c r="H186" s="117"/>
      <c r="I186" s="117"/>
      <c r="J186" s="117"/>
      <c r="K186" s="117"/>
      <c r="L186" s="117"/>
      <c r="M186" s="117"/>
      <c r="N186" s="117"/>
      <c r="O186" s="117"/>
    </row>
    <row r="187" spans="1:15" ht="15" customHeight="1">
      <c r="A187" s="113"/>
      <c r="B187" s="114" t="s">
        <v>178</v>
      </c>
      <c r="C187" s="115">
        <v>854338.85</v>
      </c>
      <c r="D187" s="115">
        <v>-85160.17</v>
      </c>
      <c r="E187" s="115">
        <v>-117466.98</v>
      </c>
      <c r="F187" s="115">
        <v>-108853.4</v>
      </c>
      <c r="G187" s="115">
        <v>-109525.63</v>
      </c>
      <c r="H187" s="115">
        <v>-101568.73</v>
      </c>
      <c r="I187" s="115">
        <v>-149188.76</v>
      </c>
      <c r="J187" s="115">
        <v>-119575</v>
      </c>
      <c r="K187" s="115">
        <v>-99973.17</v>
      </c>
      <c r="L187" s="115">
        <v>-135964.66</v>
      </c>
      <c r="M187" s="115">
        <v>-90845.94</v>
      </c>
      <c r="N187" s="115">
        <v>-94788.05</v>
      </c>
      <c r="O187" s="115">
        <v>-358571.64</v>
      </c>
    </row>
    <row r="188" spans="1:15" ht="15" customHeight="1">
      <c r="A188" s="111"/>
      <c r="B188" s="69"/>
      <c r="C188" s="118"/>
      <c r="D188" s="118"/>
      <c r="E188" s="118"/>
      <c r="F188" s="118"/>
      <c r="G188" s="118"/>
      <c r="H188" s="118"/>
      <c r="I188" s="118"/>
      <c r="J188" s="118"/>
      <c r="K188" s="118"/>
      <c r="L188" s="118"/>
      <c r="M188" s="118"/>
      <c r="N188" s="118"/>
      <c r="O188" s="118"/>
    </row>
    <row r="189" spans="1:15" ht="15" customHeight="1" thickBot="1">
      <c r="A189" s="113"/>
      <c r="B189" s="114" t="s">
        <v>180</v>
      </c>
      <c r="C189" s="119">
        <v>854338.85</v>
      </c>
      <c r="D189" s="119">
        <v>-85160.17</v>
      </c>
      <c r="E189" s="119">
        <v>-117466.98</v>
      </c>
      <c r="F189" s="119">
        <v>-108853.4</v>
      </c>
      <c r="G189" s="119">
        <v>-109525.63</v>
      </c>
      <c r="H189" s="119">
        <v>-101568.73</v>
      </c>
      <c r="I189" s="119">
        <v>-149188.76</v>
      </c>
      <c r="J189" s="119">
        <v>-119575</v>
      </c>
      <c r="K189" s="119">
        <v>-99973.17</v>
      </c>
      <c r="L189" s="119">
        <v>-135964.66</v>
      </c>
      <c r="M189" s="119">
        <v>-90845.94</v>
      </c>
      <c r="N189" s="119">
        <v>-94788.05</v>
      </c>
      <c r="O189" s="119">
        <v>-358571.64</v>
      </c>
    </row>
    <row r="190" spans="1:15" ht="15" customHeight="1" thickTop="1">
      <c r="A190"/>
      <c r="B190"/>
      <c r="C190"/>
      <c r="D190"/>
      <c r="E190"/>
      <c r="F190"/>
      <c r="G190"/>
      <c r="H190"/>
      <c r="I190"/>
      <c r="J190"/>
      <c r="K190"/>
      <c r="L190"/>
      <c r="M190"/>
      <c r="N190"/>
      <c r="O190"/>
    </row>
    <row r="191" spans="1:15" ht="15" customHeight="1">
      <c r="A191"/>
      <c r="B191"/>
      <c r="C191"/>
      <c r="D191"/>
      <c r="E191"/>
      <c r="F191"/>
      <c r="G191"/>
      <c r="H191"/>
      <c r="I191"/>
      <c r="J191"/>
      <c r="K191"/>
      <c r="L191"/>
      <c r="M191"/>
      <c r="N191"/>
      <c r="O191"/>
    </row>
    <row r="192" spans="1:15" ht="15" customHeight="1">
      <c r="A192"/>
      <c r="B192"/>
      <c r="C192"/>
      <c r="D192"/>
      <c r="E192"/>
      <c r="F192"/>
      <c r="G192"/>
      <c r="H192"/>
      <c r="I192"/>
      <c r="J192"/>
      <c r="K192"/>
      <c r="L192"/>
      <c r="M192"/>
      <c r="N192"/>
      <c r="O192"/>
    </row>
    <row r="193" spans="1:17" ht="15" customHeight="1">
      <c r="A193"/>
      <c r="B193"/>
      <c r="C193"/>
      <c r="D193"/>
      <c r="E193"/>
      <c r="F193"/>
      <c r="G193"/>
      <c r="H193"/>
      <c r="I193"/>
      <c r="J193"/>
      <c r="K193"/>
      <c r="L193"/>
      <c r="M193"/>
      <c r="N193"/>
      <c r="O193"/>
    </row>
    <row r="194" spans="1:17" ht="15" customHeight="1">
      <c r="A194"/>
      <c r="B194"/>
      <c r="C194"/>
      <c r="D194"/>
      <c r="E194"/>
      <c r="F194"/>
      <c r="G194"/>
      <c r="H194"/>
      <c r="I194"/>
      <c r="J194"/>
      <c r="K194"/>
      <c r="L194"/>
      <c r="M194"/>
      <c r="N194"/>
      <c r="O194"/>
      <c r="Q194" s="185"/>
    </row>
    <row r="195" spans="1:17" ht="15" customHeight="1">
      <c r="A195"/>
      <c r="B195"/>
      <c r="C195"/>
      <c r="D195"/>
      <c r="E195"/>
      <c r="F195"/>
      <c r="G195"/>
      <c r="H195"/>
      <c r="I195"/>
      <c r="J195"/>
      <c r="K195"/>
      <c r="L195"/>
      <c r="M195"/>
      <c r="N195"/>
      <c r="O195"/>
      <c r="Q195" s="185"/>
    </row>
    <row r="196" spans="1:17" ht="15" customHeight="1">
      <c r="A196"/>
      <c r="B196"/>
      <c r="C196"/>
      <c r="D196"/>
      <c r="E196"/>
      <c r="F196"/>
      <c r="G196"/>
      <c r="H196"/>
      <c r="I196"/>
      <c r="J196"/>
      <c r="K196"/>
      <c r="L196"/>
      <c r="M196"/>
      <c r="N196"/>
      <c r="O196"/>
    </row>
    <row r="197" spans="1:17" ht="15" customHeight="1">
      <c r="A197"/>
      <c r="B197"/>
      <c r="C197"/>
      <c r="D197"/>
      <c r="E197"/>
      <c r="F197"/>
      <c r="G197"/>
      <c r="H197"/>
      <c r="I197"/>
      <c r="J197"/>
      <c r="K197"/>
      <c r="L197"/>
      <c r="M197"/>
      <c r="N197"/>
      <c r="O197"/>
      <c r="Q197" s="185"/>
    </row>
    <row r="198" spans="1:17" ht="15" customHeight="1">
      <c r="A198"/>
      <c r="B198"/>
      <c r="C198"/>
      <c r="D198"/>
      <c r="E198"/>
      <c r="F198"/>
      <c r="G198"/>
      <c r="H198"/>
      <c r="I198"/>
      <c r="J198"/>
      <c r="K198"/>
      <c r="L198"/>
      <c r="M198"/>
      <c r="N198"/>
      <c r="O198"/>
    </row>
    <row r="199" spans="1:17" ht="15" customHeight="1">
      <c r="A199"/>
      <c r="B199"/>
      <c r="C199"/>
      <c r="D199"/>
      <c r="E199"/>
      <c r="F199"/>
      <c r="G199"/>
      <c r="H199"/>
      <c r="I199"/>
      <c r="J199"/>
      <c r="K199"/>
      <c r="L199"/>
      <c r="M199"/>
      <c r="N199"/>
      <c r="O199"/>
      <c r="Q199" s="185"/>
    </row>
    <row r="200" spans="1:17" ht="15" customHeight="1">
      <c r="A200"/>
      <c r="B200"/>
      <c r="C200"/>
      <c r="D200"/>
      <c r="E200"/>
      <c r="F200"/>
      <c r="G200"/>
      <c r="H200"/>
      <c r="I200"/>
      <c r="J200"/>
      <c r="K200"/>
      <c r="L200"/>
      <c r="M200"/>
      <c r="N200"/>
      <c r="O200"/>
      <c r="Q200" s="185"/>
    </row>
    <row r="201" spans="1:17" ht="15" customHeight="1">
      <c r="A201"/>
      <c r="B201"/>
      <c r="C201"/>
      <c r="D201"/>
      <c r="E201"/>
      <c r="F201"/>
      <c r="G201"/>
      <c r="H201"/>
      <c r="I201"/>
      <c r="J201"/>
      <c r="K201"/>
      <c r="L201"/>
      <c r="M201"/>
      <c r="N201"/>
      <c r="O201"/>
      <c r="Q201" s="185"/>
    </row>
    <row r="202" spans="1:17" ht="15" customHeight="1">
      <c r="A202"/>
      <c r="B202"/>
      <c r="C202"/>
      <c r="D202"/>
      <c r="E202"/>
      <c r="F202"/>
      <c r="G202"/>
      <c r="H202"/>
      <c r="I202"/>
      <c r="J202"/>
      <c r="K202"/>
      <c r="L202"/>
      <c r="M202"/>
      <c r="N202"/>
      <c r="O202"/>
      <c r="Q202" s="185"/>
    </row>
    <row r="203" spans="1:17" ht="15" customHeight="1">
      <c r="A203"/>
      <c r="B203"/>
      <c r="C203"/>
      <c r="D203"/>
      <c r="E203"/>
      <c r="F203"/>
      <c r="G203"/>
      <c r="H203"/>
      <c r="I203"/>
      <c r="J203"/>
      <c r="K203"/>
      <c r="L203"/>
      <c r="M203"/>
      <c r="N203"/>
      <c r="O203"/>
    </row>
    <row r="204" spans="1:17" ht="15" customHeight="1">
      <c r="A204"/>
      <c r="B204"/>
      <c r="C204"/>
      <c r="D204"/>
      <c r="E204"/>
      <c r="F204"/>
      <c r="G204"/>
      <c r="H204"/>
      <c r="I204"/>
      <c r="J204"/>
      <c r="K204"/>
      <c r="L204"/>
      <c r="M204"/>
      <c r="N204"/>
      <c r="O204"/>
    </row>
    <row r="205" spans="1:17" ht="15" customHeight="1">
      <c r="A205"/>
      <c r="B205"/>
      <c r="C205"/>
      <c r="D205"/>
      <c r="E205"/>
      <c r="F205"/>
      <c r="G205"/>
      <c r="H205"/>
      <c r="I205"/>
      <c r="J205"/>
      <c r="K205"/>
      <c r="L205"/>
      <c r="M205"/>
      <c r="N205"/>
      <c r="O205"/>
    </row>
    <row r="206" spans="1:17">
      <c r="A206"/>
      <c r="B206"/>
      <c r="C206"/>
      <c r="D206"/>
      <c r="E206"/>
      <c r="F206"/>
      <c r="G206"/>
      <c r="H206"/>
      <c r="I206"/>
      <c r="J206"/>
      <c r="K206"/>
      <c r="L206"/>
      <c r="M206"/>
      <c r="N206"/>
      <c r="O206"/>
    </row>
    <row r="207" spans="1:17">
      <c r="A207"/>
      <c r="B207"/>
      <c r="C207"/>
      <c r="D207"/>
      <c r="E207"/>
      <c r="F207"/>
      <c r="G207"/>
      <c r="H207"/>
      <c r="I207"/>
      <c r="J207"/>
      <c r="K207"/>
      <c r="L207"/>
      <c r="M207"/>
      <c r="N207"/>
      <c r="O207"/>
    </row>
    <row r="208" spans="1:17">
      <c r="A208"/>
      <c r="B208"/>
      <c r="C208"/>
      <c r="D208"/>
      <c r="E208"/>
      <c r="F208"/>
      <c r="G208"/>
      <c r="H208"/>
      <c r="I208"/>
      <c r="J208"/>
      <c r="K208"/>
      <c r="L208"/>
      <c r="M208"/>
      <c r="N208"/>
      <c r="O208"/>
    </row>
    <row r="209" spans="1:17">
      <c r="A209"/>
      <c r="B209"/>
      <c r="C209"/>
      <c r="D209"/>
      <c r="E209"/>
      <c r="F209"/>
      <c r="G209"/>
      <c r="H209"/>
      <c r="I209"/>
      <c r="J209"/>
      <c r="K209"/>
      <c r="L209"/>
      <c r="M209"/>
      <c r="N209"/>
      <c r="O209"/>
    </row>
    <row r="210" spans="1:17">
      <c r="A210"/>
      <c r="B210"/>
      <c r="C210"/>
      <c r="D210"/>
      <c r="E210"/>
      <c r="F210"/>
      <c r="G210"/>
      <c r="H210"/>
      <c r="I210"/>
      <c r="J210"/>
      <c r="K210"/>
      <c r="L210"/>
      <c r="M210"/>
      <c r="N210"/>
      <c r="O210"/>
    </row>
    <row r="211" spans="1:17">
      <c r="A211"/>
      <c r="B211"/>
      <c r="C211"/>
      <c r="D211"/>
      <c r="E211"/>
      <c r="F211"/>
      <c r="G211"/>
      <c r="H211"/>
      <c r="I211"/>
      <c r="J211"/>
      <c r="K211"/>
      <c r="L211"/>
      <c r="M211"/>
      <c r="N211"/>
      <c r="O211"/>
    </row>
    <row r="212" spans="1:17">
      <c r="A212"/>
      <c r="B212"/>
      <c r="C212"/>
      <c r="D212"/>
      <c r="E212"/>
      <c r="F212"/>
      <c r="G212"/>
      <c r="H212"/>
      <c r="I212"/>
      <c r="J212"/>
      <c r="K212"/>
      <c r="L212"/>
      <c r="M212"/>
      <c r="N212"/>
      <c r="O212"/>
    </row>
    <row r="213" spans="1:17">
      <c r="A213"/>
      <c r="B213"/>
      <c r="C213"/>
      <c r="D213"/>
      <c r="E213"/>
      <c r="F213"/>
      <c r="G213"/>
      <c r="H213"/>
      <c r="I213"/>
      <c r="J213"/>
      <c r="K213"/>
      <c r="L213"/>
      <c r="M213"/>
      <c r="N213"/>
      <c r="O213"/>
      <c r="Q213" s="134"/>
    </row>
    <row r="214" spans="1:17">
      <c r="A214"/>
      <c r="B214"/>
      <c r="C214"/>
      <c r="D214"/>
      <c r="E214"/>
      <c r="F214"/>
      <c r="G214"/>
      <c r="H214"/>
      <c r="I214"/>
      <c r="J214"/>
      <c r="K214"/>
      <c r="L214"/>
      <c r="M214"/>
      <c r="N214"/>
      <c r="O214"/>
      <c r="Q214" s="134"/>
    </row>
    <row r="215" spans="1:17">
      <c r="A215"/>
      <c r="B215"/>
      <c r="C215"/>
      <c r="D215"/>
      <c r="E215"/>
      <c r="F215"/>
      <c r="G215"/>
      <c r="H215"/>
      <c r="I215"/>
      <c r="J215"/>
      <c r="K215"/>
      <c r="L215"/>
      <c r="M215"/>
      <c r="N215"/>
      <c r="O215"/>
      <c r="Q215" s="134"/>
    </row>
    <row r="216" spans="1:17">
      <c r="A216"/>
      <c r="B216"/>
      <c r="C216"/>
      <c r="D216"/>
      <c r="E216"/>
      <c r="F216"/>
      <c r="G216"/>
      <c r="H216"/>
      <c r="I216"/>
      <c r="J216"/>
      <c r="K216"/>
      <c r="L216"/>
      <c r="M216"/>
      <c r="N216"/>
      <c r="O216"/>
      <c r="Q216" s="134"/>
    </row>
    <row r="217" spans="1:17">
      <c r="A217"/>
      <c r="B217"/>
      <c r="C217"/>
      <c r="D217"/>
      <c r="E217"/>
      <c r="F217"/>
      <c r="G217"/>
      <c r="H217"/>
      <c r="I217"/>
      <c r="J217"/>
      <c r="K217"/>
      <c r="L217"/>
      <c r="M217"/>
      <c r="N217"/>
      <c r="O217"/>
      <c r="Q217" s="134"/>
    </row>
    <row r="218" spans="1:17">
      <c r="A218"/>
      <c r="B218"/>
      <c r="C218"/>
      <c r="D218"/>
      <c r="E218"/>
      <c r="F218"/>
      <c r="G218"/>
      <c r="H218"/>
      <c r="I218"/>
      <c r="J218"/>
      <c r="K218"/>
      <c r="L218"/>
      <c r="M218"/>
      <c r="N218"/>
      <c r="O218"/>
      <c r="Q218" s="134"/>
    </row>
    <row r="219" spans="1:17">
      <c r="A219"/>
      <c r="B219"/>
      <c r="C219"/>
      <c r="D219"/>
      <c r="E219"/>
      <c r="F219"/>
      <c r="G219"/>
      <c r="H219"/>
      <c r="I219"/>
      <c r="J219"/>
      <c r="K219"/>
      <c r="L219"/>
      <c r="M219"/>
      <c r="N219"/>
      <c r="O219"/>
      <c r="Q219" s="134"/>
    </row>
    <row r="220" spans="1:17">
      <c r="A220"/>
      <c r="B220"/>
      <c r="C220"/>
      <c r="D220"/>
      <c r="E220"/>
      <c r="F220"/>
      <c r="G220"/>
      <c r="H220"/>
      <c r="I220"/>
      <c r="J220"/>
      <c r="K220"/>
      <c r="L220"/>
      <c r="M220"/>
      <c r="N220"/>
      <c r="O220"/>
      <c r="Q220" s="134"/>
    </row>
    <row r="221" spans="1:17">
      <c r="A221"/>
      <c r="B221"/>
      <c r="C221"/>
      <c r="D221"/>
      <c r="E221"/>
      <c r="F221"/>
      <c r="G221"/>
      <c r="H221"/>
      <c r="I221"/>
      <c r="J221"/>
      <c r="K221"/>
      <c r="L221"/>
      <c r="M221"/>
      <c r="N221"/>
      <c r="O221"/>
      <c r="Q221" s="134"/>
    </row>
    <row r="222" spans="1:17">
      <c r="A222"/>
      <c r="B222"/>
      <c r="C222"/>
      <c r="D222"/>
      <c r="E222"/>
      <c r="F222"/>
      <c r="G222"/>
      <c r="H222"/>
      <c r="I222"/>
      <c r="J222"/>
      <c r="K222"/>
      <c r="L222"/>
      <c r="M222"/>
      <c r="N222"/>
      <c r="O222"/>
      <c r="Q222" s="134"/>
    </row>
    <row r="223" spans="1:17">
      <c r="A223"/>
      <c r="B223"/>
      <c r="C223"/>
      <c r="D223"/>
      <c r="E223"/>
      <c r="F223"/>
      <c r="G223"/>
      <c r="H223"/>
      <c r="I223"/>
      <c r="J223"/>
      <c r="K223"/>
      <c r="L223"/>
      <c r="M223"/>
      <c r="N223"/>
      <c r="O223"/>
      <c r="Q223" s="134"/>
    </row>
    <row r="224" spans="1:17">
      <c r="A224"/>
      <c r="B224"/>
      <c r="C224"/>
      <c r="D224"/>
      <c r="E224"/>
      <c r="F224"/>
      <c r="G224"/>
      <c r="H224"/>
      <c r="I224"/>
      <c r="J224"/>
      <c r="K224"/>
      <c r="L224"/>
      <c r="M224"/>
      <c r="N224"/>
      <c r="O224"/>
      <c r="Q224" s="134"/>
    </row>
    <row r="225" spans="1:17">
      <c r="A225"/>
      <c r="B225"/>
      <c r="C225"/>
      <c r="D225"/>
      <c r="E225"/>
      <c r="F225"/>
      <c r="G225"/>
      <c r="H225"/>
      <c r="I225"/>
      <c r="J225"/>
      <c r="K225"/>
      <c r="L225"/>
      <c r="M225"/>
      <c r="N225"/>
      <c r="O225"/>
      <c r="Q225" s="134"/>
    </row>
    <row r="226" spans="1:17">
      <c r="A226"/>
      <c r="B226"/>
      <c r="C226"/>
      <c r="D226"/>
      <c r="E226"/>
      <c r="F226"/>
      <c r="G226"/>
      <c r="H226"/>
      <c r="I226"/>
      <c r="J226"/>
      <c r="K226"/>
      <c r="L226"/>
      <c r="M226"/>
      <c r="N226"/>
      <c r="O226"/>
      <c r="Q226" s="134"/>
    </row>
    <row r="227" spans="1:17">
      <c r="A227"/>
      <c r="B227"/>
      <c r="C227"/>
      <c r="D227"/>
      <c r="E227"/>
      <c r="F227"/>
      <c r="G227"/>
      <c r="H227"/>
      <c r="I227"/>
      <c r="J227"/>
      <c r="K227"/>
      <c r="L227"/>
      <c r="M227"/>
      <c r="N227"/>
      <c r="O227"/>
      <c r="Q227" s="134"/>
    </row>
    <row r="228" spans="1:17">
      <c r="A228"/>
      <c r="B228"/>
      <c r="C228"/>
      <c r="D228"/>
      <c r="E228"/>
      <c r="F228"/>
      <c r="G228"/>
      <c r="H228"/>
      <c r="I228"/>
      <c r="J228"/>
      <c r="K228"/>
      <c r="L228"/>
      <c r="M228"/>
      <c r="N228"/>
      <c r="O228"/>
      <c r="Q228" s="134"/>
    </row>
    <row r="229" spans="1:17">
      <c r="A229"/>
      <c r="B229"/>
      <c r="C229"/>
      <c r="D229"/>
      <c r="E229"/>
      <c r="F229"/>
      <c r="G229"/>
      <c r="H229"/>
      <c r="I229"/>
      <c r="J229"/>
      <c r="K229"/>
      <c r="L229"/>
      <c r="M229"/>
      <c r="N229"/>
      <c r="O229"/>
      <c r="Q229" s="134"/>
    </row>
    <row r="230" spans="1:17">
      <c r="A230"/>
      <c r="B230"/>
      <c r="C230"/>
      <c r="D230"/>
      <c r="E230"/>
      <c r="F230"/>
      <c r="G230"/>
      <c r="H230"/>
      <c r="I230"/>
      <c r="J230"/>
      <c r="K230"/>
      <c r="L230"/>
      <c r="M230"/>
      <c r="N230"/>
      <c r="O230"/>
      <c r="Q230" s="134"/>
    </row>
    <row r="231" spans="1:17">
      <c r="A231"/>
      <c r="B231"/>
      <c r="C231"/>
      <c r="D231"/>
      <c r="E231"/>
      <c r="F231"/>
      <c r="G231"/>
      <c r="H231"/>
      <c r="I231"/>
      <c r="J231"/>
      <c r="K231"/>
      <c r="L231"/>
      <c r="M231"/>
      <c r="N231"/>
      <c r="O231"/>
      <c r="Q231" s="134"/>
    </row>
    <row r="232" spans="1:17">
      <c r="A232"/>
      <c r="B232"/>
      <c r="C232"/>
      <c r="D232"/>
      <c r="E232"/>
      <c r="F232"/>
      <c r="G232"/>
      <c r="H232"/>
      <c r="I232"/>
      <c r="J232"/>
      <c r="K232"/>
      <c r="L232"/>
      <c r="M232"/>
      <c r="N232"/>
      <c r="O232"/>
      <c r="Q232" s="134"/>
    </row>
    <row r="233" spans="1:17">
      <c r="A233"/>
      <c r="B233"/>
      <c r="C233"/>
      <c r="D233"/>
      <c r="E233"/>
      <c r="F233"/>
      <c r="G233"/>
      <c r="H233"/>
      <c r="I233"/>
      <c r="J233"/>
      <c r="K233"/>
      <c r="L233"/>
      <c r="M233"/>
      <c r="N233"/>
      <c r="O233"/>
      <c r="Q233" s="134"/>
    </row>
    <row r="234" spans="1:17">
      <c r="A234"/>
      <c r="B234"/>
      <c r="C234"/>
      <c r="D234"/>
      <c r="E234"/>
      <c r="F234"/>
      <c r="G234"/>
      <c r="H234"/>
      <c r="I234"/>
      <c r="J234"/>
      <c r="K234"/>
      <c r="L234"/>
      <c r="M234"/>
      <c r="N234"/>
      <c r="O234"/>
      <c r="Q234" s="134"/>
    </row>
    <row r="235" spans="1:17">
      <c r="A235"/>
      <c r="B235"/>
      <c r="C235"/>
      <c r="D235"/>
      <c r="E235"/>
      <c r="F235"/>
      <c r="G235"/>
      <c r="H235"/>
      <c r="I235"/>
      <c r="J235"/>
      <c r="K235"/>
      <c r="L235"/>
      <c r="M235"/>
      <c r="N235"/>
      <c r="O235"/>
      <c r="Q235" s="134"/>
    </row>
    <row r="236" spans="1:17">
      <c r="A236"/>
      <c r="B236"/>
      <c r="C236"/>
      <c r="D236"/>
      <c r="E236"/>
      <c r="F236"/>
      <c r="G236"/>
      <c r="H236"/>
      <c r="I236"/>
      <c r="J236"/>
      <c r="K236"/>
      <c r="L236"/>
      <c r="M236"/>
      <c r="N236"/>
      <c r="O236"/>
      <c r="Q236" s="134"/>
    </row>
    <row r="237" spans="1:17">
      <c r="A237"/>
      <c r="B237"/>
      <c r="C237"/>
      <c r="D237"/>
      <c r="E237"/>
      <c r="F237"/>
      <c r="G237"/>
      <c r="H237"/>
      <c r="I237"/>
      <c r="J237"/>
      <c r="K237"/>
      <c r="L237"/>
      <c r="M237"/>
      <c r="N237"/>
      <c r="O237"/>
      <c r="Q237" s="134"/>
    </row>
    <row r="238" spans="1:17">
      <c r="A238"/>
      <c r="B238"/>
      <c r="C238"/>
      <c r="D238"/>
      <c r="E238"/>
      <c r="F238"/>
      <c r="G238"/>
      <c r="H238"/>
      <c r="I238"/>
      <c r="J238"/>
      <c r="K238"/>
      <c r="L238"/>
      <c r="M238"/>
      <c r="N238"/>
      <c r="O238"/>
      <c r="Q238" s="134"/>
    </row>
    <row r="239" spans="1:17">
      <c r="A239"/>
      <c r="B239"/>
      <c r="C239"/>
      <c r="D239"/>
      <c r="E239"/>
      <c r="F239"/>
      <c r="G239"/>
      <c r="H239"/>
      <c r="I239"/>
      <c r="J239"/>
      <c r="K239"/>
      <c r="L239"/>
      <c r="M239"/>
      <c r="N239"/>
      <c r="O239"/>
      <c r="Q239" s="134"/>
    </row>
    <row r="240" spans="1:17">
      <c r="A240"/>
      <c r="B240"/>
      <c r="C240"/>
      <c r="D240"/>
      <c r="E240"/>
      <c r="F240"/>
      <c r="G240"/>
      <c r="H240"/>
      <c r="I240"/>
      <c r="J240"/>
      <c r="K240"/>
      <c r="L240"/>
      <c r="M240"/>
      <c r="N240"/>
      <c r="O240"/>
      <c r="Q240" s="134"/>
    </row>
    <row r="241" spans="1:17">
      <c r="A241"/>
      <c r="B241"/>
      <c r="C241"/>
      <c r="D241"/>
      <c r="E241"/>
      <c r="F241"/>
      <c r="G241"/>
      <c r="H241"/>
      <c r="I241"/>
      <c r="J241"/>
      <c r="K241"/>
      <c r="L241"/>
      <c r="M241"/>
      <c r="N241"/>
      <c r="O241"/>
      <c r="Q241" s="134"/>
    </row>
    <row r="242" spans="1:17">
      <c r="A242"/>
      <c r="B242"/>
      <c r="C242"/>
      <c r="D242"/>
      <c r="E242"/>
      <c r="F242"/>
      <c r="G242"/>
      <c r="H242"/>
      <c r="I242"/>
      <c r="J242"/>
      <c r="K242"/>
      <c r="L242"/>
      <c r="M242"/>
      <c r="N242"/>
      <c r="O242"/>
      <c r="Q242" s="134"/>
    </row>
    <row r="243" spans="1:17">
      <c r="A243"/>
      <c r="B243"/>
      <c r="C243"/>
      <c r="D243"/>
      <c r="E243"/>
      <c r="F243"/>
      <c r="G243"/>
      <c r="H243"/>
      <c r="I243"/>
      <c r="J243"/>
      <c r="K243"/>
      <c r="L243"/>
      <c r="M243"/>
      <c r="N243"/>
      <c r="O243"/>
      <c r="Q243" s="134"/>
    </row>
    <row r="244" spans="1:17">
      <c r="A244"/>
      <c r="B244"/>
      <c r="C244"/>
      <c r="D244"/>
      <c r="E244"/>
      <c r="F244"/>
      <c r="G244"/>
      <c r="H244"/>
      <c r="I244"/>
      <c r="J244"/>
      <c r="K244"/>
      <c r="L244"/>
      <c r="M244"/>
      <c r="N244"/>
      <c r="O244"/>
      <c r="Q244" s="134"/>
    </row>
    <row r="245" spans="1:17">
      <c r="A245"/>
      <c r="B245"/>
      <c r="C245"/>
      <c r="D245"/>
      <c r="E245"/>
      <c r="F245"/>
      <c r="G245"/>
      <c r="H245"/>
      <c r="I245"/>
      <c r="J245"/>
      <c r="K245"/>
      <c r="L245"/>
      <c r="M245"/>
      <c r="N245"/>
      <c r="O245"/>
      <c r="Q245" s="134"/>
    </row>
    <row r="246" spans="1:17">
      <c r="A246"/>
      <c r="B246"/>
      <c r="C246"/>
      <c r="D246"/>
      <c r="E246"/>
      <c r="F246"/>
      <c r="G246"/>
      <c r="H246"/>
      <c r="I246"/>
      <c r="J246"/>
      <c r="K246"/>
      <c r="L246"/>
      <c r="M246"/>
      <c r="N246"/>
      <c r="O246"/>
      <c r="Q246" s="134"/>
    </row>
    <row r="247" spans="1:17">
      <c r="A247"/>
      <c r="B247"/>
      <c r="C247"/>
      <c r="D247"/>
      <c r="E247"/>
      <c r="F247"/>
      <c r="G247"/>
      <c r="H247"/>
      <c r="I247"/>
      <c r="J247"/>
      <c r="K247"/>
      <c r="L247"/>
      <c r="M247"/>
      <c r="N247"/>
      <c r="O247"/>
      <c r="Q247" s="134"/>
    </row>
    <row r="248" spans="1:17">
      <c r="A248"/>
      <c r="B248"/>
      <c r="C248"/>
      <c r="D248"/>
      <c r="E248"/>
      <c r="F248"/>
      <c r="G248"/>
      <c r="H248"/>
      <c r="I248"/>
      <c r="J248"/>
      <c r="K248"/>
      <c r="L248"/>
      <c r="M248"/>
      <c r="N248"/>
      <c r="O248"/>
      <c r="Q248" s="134"/>
    </row>
    <row r="249" spans="1:17">
      <c r="A249"/>
      <c r="B249"/>
      <c r="C249"/>
      <c r="D249"/>
      <c r="E249"/>
      <c r="F249"/>
      <c r="G249"/>
      <c r="H249"/>
      <c r="I249"/>
      <c r="J249"/>
      <c r="K249"/>
      <c r="L249"/>
      <c r="M249"/>
      <c r="N249"/>
      <c r="O249"/>
      <c r="Q249" s="134"/>
    </row>
    <row r="250" spans="1:17">
      <c r="A250"/>
      <c r="B250"/>
      <c r="C250"/>
      <c r="D250"/>
      <c r="E250"/>
      <c r="F250"/>
      <c r="G250"/>
      <c r="H250"/>
      <c r="I250"/>
      <c r="J250"/>
      <c r="K250"/>
      <c r="L250"/>
      <c r="M250"/>
      <c r="N250"/>
      <c r="O250"/>
      <c r="Q250" s="134"/>
    </row>
    <row r="251" spans="1:17">
      <c r="A251"/>
      <c r="B251"/>
      <c r="C251"/>
      <c r="D251"/>
      <c r="E251"/>
      <c r="F251"/>
      <c r="G251"/>
      <c r="H251"/>
      <c r="I251"/>
      <c r="J251"/>
      <c r="K251"/>
      <c r="L251"/>
      <c r="M251"/>
      <c r="N251"/>
      <c r="O251"/>
      <c r="Q251" s="134"/>
    </row>
    <row r="252" spans="1:17">
      <c r="A252"/>
      <c r="B252"/>
      <c r="C252"/>
      <c r="D252"/>
      <c r="E252"/>
      <c r="F252"/>
      <c r="G252"/>
      <c r="H252"/>
      <c r="I252"/>
      <c r="J252"/>
      <c r="K252"/>
      <c r="L252"/>
      <c r="M252"/>
      <c r="N252"/>
      <c r="O252"/>
      <c r="Q252" s="134"/>
    </row>
    <row r="253" spans="1:17">
      <c r="A253"/>
      <c r="B253"/>
      <c r="C253"/>
      <c r="D253"/>
      <c r="E253"/>
      <c r="F253"/>
      <c r="G253"/>
      <c r="H253"/>
      <c r="I253"/>
      <c r="J253"/>
      <c r="K253"/>
      <c r="L253"/>
      <c r="M253"/>
      <c r="N253"/>
      <c r="O253"/>
      <c r="Q253" s="134"/>
    </row>
    <row r="254" spans="1:17">
      <c r="A254"/>
      <c r="B254"/>
      <c r="C254"/>
      <c r="D254"/>
      <c r="E254"/>
      <c r="F254"/>
      <c r="G254"/>
      <c r="H254"/>
      <c r="I254"/>
      <c r="J254"/>
      <c r="K254"/>
      <c r="L254"/>
      <c r="M254"/>
      <c r="N254"/>
      <c r="O254"/>
      <c r="Q254" s="134"/>
    </row>
    <row r="255" spans="1:17">
      <c r="A255"/>
      <c r="B255"/>
      <c r="C255"/>
      <c r="D255"/>
      <c r="E255"/>
      <c r="F255"/>
      <c r="G255"/>
      <c r="H255"/>
      <c r="I255"/>
      <c r="J255"/>
      <c r="K255"/>
      <c r="L255"/>
      <c r="M255"/>
      <c r="N255"/>
      <c r="O255"/>
      <c r="Q255"/>
    </row>
    <row r="256" spans="1:17">
      <c r="A256"/>
      <c r="B256"/>
      <c r="C256"/>
      <c r="D256"/>
      <c r="E256"/>
      <c r="F256"/>
      <c r="G256"/>
      <c r="H256"/>
      <c r="I256"/>
      <c r="J256"/>
      <c r="K256"/>
      <c r="L256"/>
      <c r="M256"/>
      <c r="N256"/>
      <c r="O256"/>
      <c r="Q256"/>
    </row>
    <row r="257" spans="1:17">
      <c r="A257"/>
      <c r="B257"/>
      <c r="C257"/>
      <c r="D257"/>
      <c r="E257"/>
      <c r="F257"/>
      <c r="G257"/>
      <c r="H257"/>
      <c r="I257"/>
      <c r="J257"/>
      <c r="K257"/>
      <c r="L257"/>
      <c r="M257"/>
      <c r="N257"/>
      <c r="O257"/>
      <c r="Q257"/>
    </row>
    <row r="258" spans="1:17">
      <c r="A258"/>
      <c r="B258"/>
      <c r="C258"/>
      <c r="D258"/>
      <c r="E258"/>
      <c r="F258"/>
      <c r="G258"/>
      <c r="H258"/>
      <c r="I258"/>
      <c r="J258"/>
      <c r="K258"/>
      <c r="L258"/>
      <c r="M258"/>
      <c r="N258"/>
      <c r="O258"/>
      <c r="Q258"/>
    </row>
    <row r="259" spans="1:17">
      <c r="A259"/>
      <c r="B259"/>
      <c r="C259"/>
      <c r="D259"/>
      <c r="E259"/>
      <c r="F259"/>
      <c r="G259"/>
      <c r="H259"/>
      <c r="I259"/>
      <c r="J259"/>
      <c r="K259"/>
      <c r="L259"/>
      <c r="M259"/>
      <c r="N259"/>
      <c r="O259"/>
      <c r="Q259"/>
    </row>
    <row r="260" spans="1:17">
      <c r="A260"/>
      <c r="B260"/>
      <c r="C260"/>
      <c r="D260"/>
      <c r="E260"/>
      <c r="F260"/>
      <c r="G260"/>
      <c r="H260"/>
      <c r="I260"/>
      <c r="J260"/>
      <c r="K260"/>
      <c r="L260"/>
      <c r="M260"/>
      <c r="N260"/>
      <c r="O260"/>
      <c r="Q260"/>
    </row>
    <row r="261" spans="1:17">
      <c r="A261"/>
      <c r="B261"/>
      <c r="C261"/>
      <c r="D261"/>
      <c r="E261"/>
      <c r="F261"/>
      <c r="G261"/>
      <c r="H261"/>
      <c r="I261"/>
      <c r="J261"/>
      <c r="K261"/>
      <c r="L261"/>
      <c r="M261"/>
      <c r="N261"/>
      <c r="O261"/>
      <c r="Q261"/>
    </row>
    <row r="262" spans="1:17">
      <c r="A262"/>
      <c r="B262"/>
      <c r="C262"/>
      <c r="D262"/>
      <c r="E262"/>
      <c r="F262"/>
      <c r="G262"/>
      <c r="H262"/>
      <c r="I262"/>
      <c r="J262"/>
      <c r="K262"/>
      <c r="L262"/>
      <c r="M262"/>
      <c r="N262"/>
      <c r="O262"/>
      <c r="Q262"/>
    </row>
    <row r="263" spans="1:17">
      <c r="A263"/>
      <c r="B263"/>
      <c r="C263"/>
      <c r="D263"/>
      <c r="E263"/>
      <c r="F263"/>
      <c r="G263"/>
      <c r="H263"/>
      <c r="I263"/>
      <c r="J263"/>
      <c r="K263"/>
      <c r="L263"/>
      <c r="M263"/>
      <c r="N263"/>
      <c r="O263"/>
      <c r="Q263"/>
    </row>
    <row r="264" spans="1:17">
      <c r="A264"/>
      <c r="B264"/>
      <c r="C264"/>
      <c r="D264"/>
      <c r="E264"/>
      <c r="F264"/>
      <c r="G264"/>
      <c r="H264"/>
      <c r="I264"/>
      <c r="J264"/>
      <c r="K264"/>
      <c r="L264"/>
      <c r="M264"/>
      <c r="N264"/>
      <c r="O264"/>
      <c r="Q264"/>
    </row>
    <row r="265" spans="1:17">
      <c r="A265"/>
      <c r="B265"/>
      <c r="C265"/>
      <c r="D265"/>
      <c r="E265"/>
      <c r="F265"/>
      <c r="G265"/>
      <c r="H265"/>
      <c r="I265"/>
      <c r="J265"/>
      <c r="K265"/>
      <c r="L265"/>
      <c r="M265"/>
      <c r="N265"/>
      <c r="O265"/>
      <c r="Q265"/>
    </row>
    <row r="266" spans="1:17">
      <c r="A266"/>
      <c r="B266"/>
      <c r="C266"/>
      <c r="D266"/>
      <c r="E266"/>
      <c r="F266"/>
      <c r="G266"/>
      <c r="H266"/>
      <c r="I266"/>
      <c r="J266"/>
      <c r="K266"/>
      <c r="L266"/>
      <c r="M266"/>
      <c r="N266"/>
      <c r="O266"/>
      <c r="Q266"/>
    </row>
    <row r="267" spans="1:17">
      <c r="A267"/>
      <c r="B267"/>
      <c r="C267"/>
      <c r="D267"/>
      <c r="E267"/>
      <c r="F267"/>
      <c r="G267"/>
      <c r="H267"/>
      <c r="I267"/>
      <c r="J267"/>
      <c r="K267"/>
      <c r="L267"/>
      <c r="M267"/>
      <c r="N267"/>
      <c r="O267"/>
      <c r="Q267"/>
    </row>
    <row r="268" spans="1:17">
      <c r="A268"/>
      <c r="B268"/>
      <c r="C268"/>
      <c r="D268"/>
      <c r="E268"/>
      <c r="F268"/>
      <c r="G268"/>
      <c r="H268"/>
      <c r="I268"/>
      <c r="J268"/>
      <c r="K268"/>
      <c r="L268"/>
      <c r="M268"/>
      <c r="N268"/>
      <c r="O268"/>
      <c r="Q268"/>
    </row>
    <row r="269" spans="1:17">
      <c r="A269"/>
      <c r="B269"/>
      <c r="C269"/>
      <c r="D269"/>
      <c r="E269"/>
      <c r="F269"/>
      <c r="G269"/>
      <c r="H269"/>
      <c r="I269"/>
      <c r="J269"/>
      <c r="K269"/>
      <c r="L269"/>
      <c r="M269"/>
      <c r="N269"/>
      <c r="O269"/>
      <c r="Q269"/>
    </row>
    <row r="270" spans="1:17">
      <c r="A270"/>
      <c r="B270"/>
      <c r="C270"/>
      <c r="D270"/>
      <c r="E270"/>
      <c r="F270"/>
      <c r="G270"/>
      <c r="H270"/>
      <c r="I270"/>
      <c r="J270"/>
      <c r="K270"/>
      <c r="L270"/>
      <c r="M270"/>
      <c r="N270"/>
      <c r="O270"/>
      <c r="Q270"/>
    </row>
    <row r="271" spans="1:17">
      <c r="A271"/>
      <c r="B271"/>
      <c r="C271"/>
      <c r="D271"/>
      <c r="E271"/>
      <c r="F271"/>
      <c r="G271"/>
      <c r="H271"/>
      <c r="I271"/>
      <c r="J271"/>
      <c r="K271"/>
      <c r="L271"/>
      <c r="M271"/>
      <c r="N271"/>
      <c r="O271"/>
      <c r="Q271"/>
    </row>
    <row r="272" spans="1:17">
      <c r="A272"/>
      <c r="B272"/>
      <c r="C272"/>
      <c r="D272"/>
      <c r="E272"/>
      <c r="F272"/>
      <c r="G272"/>
      <c r="H272"/>
      <c r="I272"/>
      <c r="J272"/>
      <c r="K272"/>
      <c r="L272"/>
      <c r="M272"/>
      <c r="N272"/>
      <c r="O272"/>
      <c r="Q272"/>
    </row>
    <row r="273" spans="1:17">
      <c r="A273"/>
      <c r="B273"/>
      <c r="C273"/>
      <c r="D273"/>
      <c r="E273"/>
      <c r="F273"/>
      <c r="G273"/>
      <c r="H273"/>
      <c r="I273"/>
      <c r="J273"/>
      <c r="K273"/>
      <c r="L273"/>
      <c r="M273"/>
      <c r="N273"/>
      <c r="O273"/>
      <c r="Q273"/>
    </row>
    <row r="274" spans="1:17">
      <c r="A274"/>
      <c r="B274"/>
      <c r="C274"/>
      <c r="D274"/>
      <c r="E274"/>
      <c r="F274"/>
      <c r="G274"/>
      <c r="H274"/>
      <c r="I274"/>
      <c r="J274"/>
      <c r="K274"/>
      <c r="L274"/>
      <c r="M274"/>
      <c r="N274"/>
      <c r="O274"/>
      <c r="Q274"/>
    </row>
    <row r="275" spans="1:17">
      <c r="A275"/>
      <c r="B275"/>
      <c r="C275"/>
      <c r="D275"/>
      <c r="E275"/>
      <c r="F275"/>
      <c r="G275"/>
      <c r="H275"/>
      <c r="I275"/>
      <c r="J275"/>
      <c r="K275"/>
      <c r="L275"/>
      <c r="M275"/>
      <c r="N275"/>
      <c r="O275"/>
      <c r="Q275"/>
    </row>
    <row r="276" spans="1:17">
      <c r="A276"/>
      <c r="B276"/>
      <c r="C276"/>
      <c r="D276"/>
      <c r="E276"/>
      <c r="F276"/>
      <c r="G276"/>
      <c r="H276"/>
      <c r="I276"/>
      <c r="J276"/>
      <c r="K276"/>
      <c r="L276"/>
      <c r="M276"/>
      <c r="N276"/>
      <c r="O276"/>
      <c r="Q276"/>
    </row>
    <row r="277" spans="1:17">
      <c r="A277"/>
      <c r="B277"/>
      <c r="C277"/>
      <c r="D277"/>
      <c r="E277"/>
      <c r="F277"/>
      <c r="G277"/>
      <c r="H277"/>
      <c r="I277"/>
      <c r="J277"/>
      <c r="K277"/>
      <c r="L277"/>
      <c r="M277"/>
      <c r="N277"/>
      <c r="O277"/>
      <c r="Q277"/>
    </row>
    <row r="278" spans="1:17">
      <c r="A278"/>
      <c r="B278"/>
      <c r="C278"/>
      <c r="D278"/>
      <c r="E278"/>
      <c r="F278"/>
      <c r="G278"/>
      <c r="H278"/>
      <c r="I278"/>
      <c r="J278"/>
      <c r="K278"/>
      <c r="L278"/>
      <c r="M278"/>
      <c r="N278"/>
      <c r="O278"/>
      <c r="Q278"/>
    </row>
    <row r="279" spans="1:17">
      <c r="A279"/>
      <c r="B279"/>
      <c r="C279"/>
      <c r="D279"/>
      <c r="E279"/>
      <c r="F279"/>
      <c r="G279"/>
      <c r="H279"/>
      <c r="I279"/>
      <c r="J279"/>
      <c r="K279"/>
      <c r="L279"/>
      <c r="M279"/>
      <c r="N279"/>
      <c r="O279"/>
      <c r="Q279"/>
    </row>
    <row r="280" spans="1:17">
      <c r="A280"/>
      <c r="B280"/>
      <c r="C280"/>
      <c r="D280"/>
      <c r="E280"/>
      <c r="F280"/>
      <c r="G280"/>
      <c r="H280"/>
      <c r="I280"/>
      <c r="J280"/>
      <c r="K280"/>
      <c r="L280"/>
      <c r="M280"/>
      <c r="N280"/>
      <c r="O280"/>
      <c r="Q280"/>
    </row>
    <row r="281" spans="1:17">
      <c r="A281"/>
      <c r="B281"/>
      <c r="C281"/>
      <c r="D281"/>
      <c r="E281"/>
      <c r="F281"/>
      <c r="G281"/>
      <c r="H281"/>
      <c r="I281"/>
      <c r="J281"/>
      <c r="K281"/>
      <c r="L281"/>
      <c r="M281"/>
      <c r="N281"/>
      <c r="O281"/>
      <c r="Q281"/>
    </row>
    <row r="282" spans="1:17">
      <c r="A282"/>
      <c r="B282"/>
      <c r="C282"/>
      <c r="D282"/>
      <c r="E282"/>
      <c r="F282"/>
      <c r="G282"/>
      <c r="H282"/>
      <c r="I282"/>
      <c r="J282"/>
      <c r="K282"/>
      <c r="L282"/>
      <c r="M282"/>
      <c r="N282"/>
      <c r="O282"/>
      <c r="Q282"/>
    </row>
    <row r="283" spans="1:17">
      <c r="A283"/>
      <c r="B283"/>
      <c r="C283"/>
      <c r="D283"/>
      <c r="E283"/>
      <c r="F283"/>
      <c r="G283"/>
      <c r="H283"/>
      <c r="I283"/>
      <c r="J283"/>
      <c r="K283"/>
      <c r="L283"/>
      <c r="M283"/>
      <c r="N283"/>
      <c r="O283"/>
      <c r="Q283"/>
    </row>
    <row r="284" spans="1:17">
      <c r="A284"/>
      <c r="B284"/>
      <c r="C284"/>
      <c r="D284"/>
      <c r="E284"/>
      <c r="F284"/>
      <c r="G284"/>
      <c r="H284"/>
      <c r="I284"/>
      <c r="J284"/>
      <c r="K284"/>
      <c r="L284"/>
      <c r="M284"/>
      <c r="N284"/>
      <c r="O284"/>
      <c r="Q284"/>
    </row>
    <row r="285" spans="1:17">
      <c r="A285"/>
      <c r="B285"/>
      <c r="C285"/>
      <c r="D285"/>
      <c r="E285"/>
      <c r="F285"/>
      <c r="G285"/>
      <c r="H285"/>
      <c r="I285"/>
      <c r="J285"/>
      <c r="K285"/>
      <c r="L285"/>
      <c r="M285"/>
      <c r="N285"/>
      <c r="O285"/>
      <c r="Q285"/>
    </row>
    <row r="286" spans="1:17">
      <c r="A286"/>
      <c r="B286"/>
      <c r="C286"/>
      <c r="D286"/>
      <c r="E286"/>
      <c r="F286"/>
      <c r="G286"/>
      <c r="H286"/>
      <c r="I286"/>
      <c r="J286"/>
      <c r="K286"/>
      <c r="L286"/>
      <c r="M286"/>
      <c r="N286"/>
      <c r="O286"/>
      <c r="Q286"/>
    </row>
    <row r="287" spans="1:17">
      <c r="A287"/>
      <c r="B287"/>
      <c r="C287"/>
      <c r="D287"/>
      <c r="E287"/>
      <c r="F287"/>
      <c r="G287"/>
      <c r="H287"/>
      <c r="I287"/>
      <c r="J287"/>
      <c r="K287"/>
      <c r="L287"/>
      <c r="M287"/>
      <c r="N287"/>
      <c r="O287"/>
      <c r="Q287"/>
    </row>
    <row r="288" spans="1:17">
      <c r="A288"/>
      <c r="B288"/>
      <c r="C288"/>
      <c r="D288"/>
      <c r="E288"/>
      <c r="F288"/>
      <c r="G288"/>
      <c r="H288"/>
      <c r="I288"/>
      <c r="J288"/>
      <c r="K288"/>
      <c r="L288"/>
      <c r="M288"/>
      <c r="N288"/>
      <c r="O288"/>
      <c r="Q288"/>
    </row>
    <row r="289" spans="1:17">
      <c r="A289"/>
      <c r="B289"/>
      <c r="C289"/>
      <c r="D289"/>
      <c r="E289"/>
      <c r="F289"/>
      <c r="G289"/>
      <c r="H289"/>
      <c r="I289"/>
      <c r="J289"/>
      <c r="K289"/>
      <c r="L289"/>
      <c r="M289"/>
      <c r="N289"/>
      <c r="O289"/>
      <c r="Q289"/>
    </row>
    <row r="290" spans="1:17">
      <c r="A290"/>
      <c r="B290"/>
      <c r="C290"/>
      <c r="D290"/>
      <c r="E290"/>
      <c r="F290"/>
      <c r="G290"/>
      <c r="H290"/>
      <c r="I290"/>
      <c r="J290"/>
      <c r="K290"/>
      <c r="L290"/>
      <c r="M290"/>
      <c r="N290"/>
      <c r="O290"/>
      <c r="Q290"/>
    </row>
    <row r="291" spans="1:17">
      <c r="A291"/>
      <c r="B291"/>
      <c r="C291"/>
      <c r="D291"/>
      <c r="E291"/>
      <c r="F291"/>
      <c r="G291"/>
      <c r="H291"/>
      <c r="I291"/>
      <c r="J291"/>
      <c r="K291"/>
      <c r="L291"/>
      <c r="M291"/>
      <c r="N291"/>
      <c r="O291"/>
      <c r="Q291"/>
    </row>
    <row r="292" spans="1:17">
      <c r="Q292"/>
    </row>
    <row r="293" spans="1:17">
      <c r="Q293"/>
    </row>
    <row r="294" spans="1:17">
      <c r="Q294"/>
    </row>
    <row r="295" spans="1:17">
      <c r="Q295"/>
    </row>
    <row r="296" spans="1:17">
      <c r="Q296"/>
    </row>
    <row r="297" spans="1:17">
      <c r="Q297"/>
    </row>
    <row r="298" spans="1:17">
      <c r="Q298"/>
    </row>
    <row r="299" spans="1:17">
      <c r="Q299"/>
    </row>
    <row r="300" spans="1:17">
      <c r="Q300"/>
    </row>
    <row r="301" spans="1:17">
      <c r="Q301"/>
    </row>
    <row r="302" spans="1:17">
      <c r="Q302"/>
    </row>
    <row r="303" spans="1:17">
      <c r="Q303"/>
    </row>
    <row r="304" spans="1:17">
      <c r="Q304"/>
    </row>
    <row r="305" spans="17:17">
      <c r="Q305"/>
    </row>
    <row r="306" spans="17:17">
      <c r="Q306"/>
    </row>
    <row r="307" spans="17:17">
      <c r="Q307"/>
    </row>
    <row r="308" spans="17:17">
      <c r="Q308"/>
    </row>
    <row r="309" spans="17:17">
      <c r="Q309"/>
    </row>
    <row r="310" spans="17:17">
      <c r="Q310"/>
    </row>
    <row r="311" spans="17:17">
      <c r="Q311"/>
    </row>
    <row r="312" spans="17:17">
      <c r="Q312"/>
    </row>
    <row r="313" spans="17:17">
      <c r="Q313"/>
    </row>
    <row r="314" spans="17:17">
      <c r="Q314"/>
    </row>
    <row r="315" spans="17:17">
      <c r="Q315"/>
    </row>
    <row r="316" spans="17:17">
      <c r="Q316"/>
    </row>
    <row r="317" spans="17:17">
      <c r="Q317"/>
    </row>
    <row r="318" spans="17:17">
      <c r="Q318"/>
    </row>
    <row r="319" spans="17:17">
      <c r="Q319"/>
    </row>
    <row r="320" spans="17:17">
      <c r="Q320"/>
    </row>
    <row r="321" spans="17:17">
      <c r="Q321"/>
    </row>
    <row r="322" spans="17:17">
      <c r="Q322"/>
    </row>
    <row r="323" spans="17:17">
      <c r="Q323"/>
    </row>
    <row r="324" spans="17:17">
      <c r="Q324"/>
    </row>
    <row r="325" spans="17:17">
      <c r="Q325"/>
    </row>
    <row r="326" spans="17:17">
      <c r="Q326"/>
    </row>
    <row r="327" spans="17:17">
      <c r="Q327"/>
    </row>
    <row r="328" spans="17:17">
      <c r="Q328"/>
    </row>
    <row r="329" spans="17:17">
      <c r="Q329"/>
    </row>
    <row r="330" spans="17:17">
      <c r="Q330"/>
    </row>
    <row r="331" spans="17:17">
      <c r="Q331"/>
    </row>
    <row r="332" spans="17:17">
      <c r="Q332"/>
    </row>
    <row r="333" spans="17:17">
      <c r="Q333"/>
    </row>
    <row r="334" spans="17:17">
      <c r="Q334"/>
    </row>
    <row r="335" spans="17:17">
      <c r="Q335"/>
    </row>
    <row r="336" spans="17:17">
      <c r="Q336"/>
    </row>
    <row r="337" spans="17:17">
      <c r="Q337"/>
    </row>
    <row r="338" spans="17:17">
      <c r="Q338"/>
    </row>
    <row r="339" spans="17:17">
      <c r="Q339"/>
    </row>
    <row r="340" spans="17:17">
      <c r="Q340"/>
    </row>
    <row r="341" spans="17:17">
      <c r="Q341"/>
    </row>
    <row r="342" spans="17:17">
      <c r="Q342"/>
    </row>
    <row r="343" spans="17:17">
      <c r="Q343"/>
    </row>
    <row r="344" spans="17:17">
      <c r="Q344"/>
    </row>
    <row r="345" spans="17:17">
      <c r="Q345"/>
    </row>
    <row r="346" spans="17:17">
      <c r="Q346"/>
    </row>
    <row r="347" spans="17:17">
      <c r="Q347"/>
    </row>
    <row r="348" spans="17:17">
      <c r="Q348"/>
    </row>
    <row r="349" spans="17:17">
      <c r="Q349"/>
    </row>
    <row r="350" spans="17:17">
      <c r="Q350"/>
    </row>
    <row r="351" spans="17:17">
      <c r="Q351"/>
    </row>
    <row r="352" spans="17:17">
      <c r="Q352"/>
    </row>
    <row r="353" spans="17:17">
      <c r="Q353"/>
    </row>
    <row r="354" spans="17:17">
      <c r="Q354"/>
    </row>
    <row r="355" spans="17:17">
      <c r="Q355"/>
    </row>
    <row r="356" spans="17:17">
      <c r="Q356"/>
    </row>
    <row r="357" spans="17:17">
      <c r="Q357"/>
    </row>
    <row r="358" spans="17:17">
      <c r="Q358"/>
    </row>
    <row r="359" spans="17:17">
      <c r="Q359"/>
    </row>
    <row r="360" spans="17:17">
      <c r="Q360"/>
    </row>
    <row r="361" spans="17:17">
      <c r="Q361"/>
    </row>
  </sheetData>
  <conditionalFormatting sqref="T51 T52:U57">
    <cfRule type="expression" dxfId="3" priority="3">
      <formula>$A$2=1</formula>
    </cfRule>
  </conditionalFormatting>
  <conditionalFormatting sqref="U9">
    <cfRule type="expression" dxfId="2" priority="2">
      <formula>$B$2=1</formula>
    </cfRule>
  </conditionalFormatting>
  <conditionalFormatting sqref="U11:U12 T12:T50">
    <cfRule type="expression" dxfId="1" priority="7">
      <formula>$B$2=1</formula>
    </cfRule>
  </conditionalFormatting>
  <conditionalFormatting sqref="U14:U51">
    <cfRule type="expression" dxfId="0" priority="4">
      <formula>$B$2=1</formula>
    </cfRule>
  </conditionalFormatting>
  <pageMargins left="0.7" right="0.7" top="0.7" bottom="0.7" header="0.5" footer="0.5"/>
  <pageSetup paperSize="5" scale="50" fitToHeight="990" orientation="landscape" useFirstPageNumber="1" r:id="rId1"/>
  <headerFooter alignWithMargins="0">
    <oddHeader>&amp;R&amp;B&amp;D &amp;T</oddHeader>
    <oddFooter>&amp;C&amp;B Page &amp;P of &amp;N</oddFooter>
  </headerFooter>
  <rowBreaks count="1" manualBreakCount="1">
    <brk id="45" max="16383" man="1"/>
  </row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9EE1-9304-46F4-8174-73506ADDC4B9}">
  <dimension ref="A2:D38"/>
  <sheetViews>
    <sheetView workbookViewId="0"/>
  </sheetViews>
  <sheetFormatPr defaultRowHeight="12.75"/>
  <cols>
    <col min="2" max="2" width="35.7109375" customWidth="1"/>
    <col min="3" max="3" width="130.5703125" customWidth="1"/>
    <col min="4" max="4" width="11.140625" customWidth="1"/>
  </cols>
  <sheetData>
    <row r="2" spans="2:3">
      <c r="B2" s="275" t="s">
        <v>412</v>
      </c>
      <c r="C2" s="1365" t="s">
        <v>442</v>
      </c>
    </row>
    <row r="3" spans="2:3">
      <c r="B3" s="276"/>
      <c r="C3" s="1366"/>
    </row>
    <row r="4" spans="2:3">
      <c r="B4" s="276"/>
      <c r="C4" s="311" t="s">
        <v>439</v>
      </c>
    </row>
    <row r="5" spans="2:3">
      <c r="B5" s="276"/>
      <c r="C5" s="277"/>
    </row>
    <row r="6" spans="2:3">
      <c r="B6" s="275" t="s">
        <v>414</v>
      </c>
      <c r="C6" s="284" t="s">
        <v>437</v>
      </c>
    </row>
    <row r="7" spans="2:3">
      <c r="B7" s="278"/>
      <c r="C7" s="279"/>
    </row>
    <row r="8" spans="2:3">
      <c r="B8" s="275" t="s">
        <v>413</v>
      </c>
      <c r="C8" s="1369" t="s">
        <v>438</v>
      </c>
    </row>
    <row r="9" spans="2:3">
      <c r="B9" s="276"/>
      <c r="C9" s="1370"/>
    </row>
    <row r="10" spans="2:3">
      <c r="B10" s="278"/>
      <c r="C10" s="279"/>
    </row>
    <row r="11" spans="2:3">
      <c r="B11" s="283" t="s">
        <v>420</v>
      </c>
      <c r="C11" s="1367" t="s">
        <v>443</v>
      </c>
    </row>
    <row r="12" spans="2:3">
      <c r="B12" s="285"/>
      <c r="C12" s="1368"/>
    </row>
    <row r="13" spans="2:3">
      <c r="B13" s="285"/>
      <c r="C13" s="312"/>
    </row>
    <row r="14" spans="2:3" ht="12.75" customHeight="1">
      <c r="B14" s="314"/>
      <c r="C14" s="1366" t="s">
        <v>440</v>
      </c>
    </row>
    <row r="15" spans="2:3">
      <c r="B15" s="314"/>
      <c r="C15" s="1366"/>
    </row>
    <row r="16" spans="2:3">
      <c r="B16" s="285"/>
      <c r="C16" s="313"/>
    </row>
    <row r="17" spans="1:4">
      <c r="B17" s="283" t="s">
        <v>435</v>
      </c>
      <c r="C17" s="1369" t="s">
        <v>445</v>
      </c>
    </row>
    <row r="18" spans="1:4">
      <c r="B18" s="285"/>
      <c r="C18" s="1370"/>
    </row>
    <row r="19" spans="1:4">
      <c r="B19" s="278"/>
      <c r="C19" s="279"/>
    </row>
    <row r="20" spans="1:4">
      <c r="A20" s="317"/>
      <c r="B20" s="317"/>
      <c r="C20" s="317"/>
      <c r="D20" s="317"/>
    </row>
    <row r="21" spans="1:4">
      <c r="A21" s="317"/>
      <c r="B21" s="317"/>
      <c r="C21" s="317"/>
      <c r="D21" s="317"/>
    </row>
    <row r="22" spans="1:4" ht="25.5">
      <c r="B22" s="283" t="s">
        <v>434</v>
      </c>
      <c r="C22" s="315" t="s">
        <v>441</v>
      </c>
    </row>
    <row r="23" spans="1:4" ht="12.75" customHeight="1">
      <c r="B23" s="285"/>
      <c r="C23" s="316"/>
    </row>
    <row r="24" spans="1:4">
      <c r="B24" s="278"/>
      <c r="C24" s="279"/>
    </row>
    <row r="25" spans="1:4" ht="12.75" customHeight="1">
      <c r="B25" s="283" t="s">
        <v>436</v>
      </c>
      <c r="C25" s="315" t="s">
        <v>444</v>
      </c>
    </row>
    <row r="26" spans="1:4">
      <c r="B26" s="285"/>
      <c r="C26" s="316"/>
    </row>
    <row r="27" spans="1:4">
      <c r="B27" s="275" t="s">
        <v>415</v>
      </c>
      <c r="C27" s="281" t="s">
        <v>432</v>
      </c>
    </row>
    <row r="28" spans="1:4">
      <c r="B28" s="278"/>
      <c r="C28" s="279"/>
    </row>
    <row r="29" spans="1:4" ht="38.25">
      <c r="B29" s="282" t="s">
        <v>416</v>
      </c>
      <c r="C29" s="288" t="s">
        <v>431</v>
      </c>
    </row>
    <row r="30" spans="1:4">
      <c r="B30" s="278"/>
      <c r="C30" s="280"/>
    </row>
    <row r="32" spans="1:4">
      <c r="B32" t="s">
        <v>417</v>
      </c>
    </row>
    <row r="33" spans="2:2">
      <c r="B33" s="72" t="s">
        <v>446</v>
      </c>
    </row>
    <row r="34" spans="2:2">
      <c r="B34" t="s">
        <v>418</v>
      </c>
    </row>
    <row r="35" spans="2:2">
      <c r="B35" t="s">
        <v>419</v>
      </c>
    </row>
    <row r="38" spans="2:2">
      <c r="B38" s="72" t="s">
        <v>433</v>
      </c>
    </row>
  </sheetData>
  <mergeCells count="5">
    <mergeCell ref="C2:C3"/>
    <mergeCell ref="C11:C12"/>
    <mergeCell ref="C14:C15"/>
    <mergeCell ref="C8:C9"/>
    <mergeCell ref="C17:C1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A8E7-7F55-43F1-969E-FCD5C293E2B3}">
  <dimension ref="B2:C13"/>
  <sheetViews>
    <sheetView workbookViewId="0">
      <selection activeCell="J14" sqref="J14"/>
    </sheetView>
  </sheetViews>
  <sheetFormatPr defaultRowHeight="12.75"/>
  <sheetData>
    <row r="2" spans="2:3">
      <c r="B2" s="72" t="s">
        <v>483</v>
      </c>
    </row>
    <row r="3" spans="2:3">
      <c r="B3" s="72" t="s">
        <v>484</v>
      </c>
    </row>
    <row r="5" spans="2:3">
      <c r="B5" s="72" t="s">
        <v>485</v>
      </c>
    </row>
    <row r="6" spans="2:3">
      <c r="C6" s="72" t="s">
        <v>486</v>
      </c>
    </row>
    <row r="7" spans="2:3">
      <c r="C7" s="72" t="s">
        <v>487</v>
      </c>
    </row>
    <row r="8" spans="2:3">
      <c r="C8" s="72" t="s">
        <v>488</v>
      </c>
    </row>
    <row r="9" spans="2:3">
      <c r="C9" s="72" t="s">
        <v>492</v>
      </c>
    </row>
    <row r="11" spans="2:3">
      <c r="B11" s="72" t="s">
        <v>489</v>
      </c>
    </row>
    <row r="12" spans="2:3">
      <c r="C12" s="72" t="s">
        <v>491</v>
      </c>
    </row>
    <row r="13" spans="2:3">
      <c r="B13" s="72" t="s">
        <v>490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1FE58-2E99-4AAD-A2C5-1A8083E6BE22}">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9</vt:i4>
      </vt:variant>
    </vt:vector>
  </HeadingPairs>
  <TitlesOfParts>
    <vt:vector size="32" baseType="lpstr">
      <vt:lpstr>MF OSAR</vt:lpstr>
      <vt:lpstr>Old OSAR</vt:lpstr>
      <vt:lpstr>DSCR Calc</vt:lpstr>
      <vt:lpstr>QoQ Variance</vt:lpstr>
      <vt:lpstr>Operating Statement</vt:lpstr>
      <vt:lpstr>Rent Roll</vt:lpstr>
      <vt:lpstr>Paydown Analysis</vt:lpstr>
      <vt:lpstr>Aged Receivables</vt:lpstr>
      <vt:lpstr>Market Rate</vt:lpstr>
      <vt:lpstr>Coding</vt:lpstr>
      <vt:lpstr>RE Tax</vt:lpstr>
      <vt:lpstr>Insurance</vt:lpstr>
      <vt:lpstr>NOI Projection</vt:lpstr>
      <vt:lpstr>UW Comparison</vt:lpstr>
      <vt:lpstr>UW Pro Forma CF</vt:lpstr>
      <vt:lpstr>Stab. Appraisal CF</vt:lpstr>
      <vt:lpstr>Lease Tradeout</vt:lpstr>
      <vt:lpstr>redIQ</vt:lpstr>
      <vt:lpstr>1</vt:lpstr>
      <vt:lpstr>2025 Budget</vt:lpstr>
      <vt:lpstr>Portfolio Review Notes</vt:lpstr>
      <vt:lpstr>Mod Discussions</vt:lpstr>
      <vt:lpstr>Argus Comm Rollover Schedule</vt:lpstr>
      <vt:lpstr>'1'!Print_Area</vt:lpstr>
      <vt:lpstr>'DSCR Calc'!Print_Area</vt:lpstr>
      <vt:lpstr>'MF OSAR'!Print_Area</vt:lpstr>
      <vt:lpstr>'Old OSAR'!Print_Area</vt:lpstr>
      <vt:lpstr>'QoQ Variance'!Print_Area</vt:lpstr>
      <vt:lpstr>'2025 Budget'!Print_Titles</vt:lpstr>
      <vt:lpstr>'Aged Receivables'!Print_Titles</vt:lpstr>
      <vt:lpstr>'Operating Statement'!Print_Titles</vt:lpstr>
      <vt:lpstr>'Rent Roll'!Print_Titles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Altman, Rivka</dc:creator>
  <cp:lastModifiedBy>Ben Stamp</cp:lastModifiedBy>
  <cp:lastPrinted>2023-08-15T20:42:19Z</cp:lastPrinted>
  <dcterms:created xsi:type="dcterms:W3CDTF">2022-08-10T13:13:46Z</dcterms:created>
  <dcterms:modified xsi:type="dcterms:W3CDTF">2026-08-11T10:55:35Z</dcterms:modified>
</cp:coreProperties>
</file>