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kansas-my.sharepoint.com/personal/ben_neely_kansas_gov/Documents/Desktop/BCF pop character paper/pop models/age structured models/"/>
    </mc:Choice>
  </mc:AlternateContent>
  <xr:revisionPtr revIDLastSave="121" documentId="13_ncr:1_{871B92D9-FBB7-41B3-81CD-88E30161B4DA}" xr6:coauthVersionLast="47" xr6:coauthVersionMax="47" xr10:uidLastSave="{EA36542E-0C95-48A7-BF4E-4958BF60C7D1}"/>
  <bookViews>
    <workbookView xWindow="28680" yWindow="-120" windowWidth="29040" windowHeight="15720" activeTab="1" xr2:uid="{A1F43D1B-5E26-48D9-A86E-BCA1B1606665}"/>
  </bookViews>
  <sheets>
    <sheet name="no_length" sheetId="5" r:id="rId1"/>
    <sheet name="protected_slot" sheetId="6" r:id="rId2"/>
    <sheet name="maximum" sheetId="8" r:id="rId3"/>
  </sheets>
  <definedNames>
    <definedName name="a_wl" localSheetId="2">maximum!$B$8</definedName>
    <definedName name="a_wl" localSheetId="0">no_length!$B$8</definedName>
    <definedName name="a_wl" localSheetId="1">protected_slot!$B$8</definedName>
    <definedName name="a_wl">#REF!</definedName>
    <definedName name="Age" localSheetId="2">maximum!$E$2:$AC$2</definedName>
    <definedName name="Age" localSheetId="0">no_length!$E$2:$AC$2</definedName>
    <definedName name="Age" localSheetId="1">protected_slot!$E$2:$AC$2</definedName>
    <definedName name="Age">#REF!</definedName>
    <definedName name="b_wl" localSheetId="2">maximum!$B$9</definedName>
    <definedName name="b_wl" localSheetId="0">no_length!$B$9</definedName>
    <definedName name="b_wl" localSheetId="1">protected_slot!$B$9</definedName>
    <definedName name="b_wl">#REF!</definedName>
    <definedName name="Harvest_Slot" localSheetId="2">maximum!#REF!</definedName>
    <definedName name="Harvest_Slot" localSheetId="0">no_length!$B$34</definedName>
    <definedName name="Harvest_Slot" localSheetId="1">protected_slot!#REF!</definedName>
    <definedName name="Harvest_Slot">#REF!</definedName>
    <definedName name="K" localSheetId="2">maximum!$B$5</definedName>
    <definedName name="K" localSheetId="0">no_length!$B$5</definedName>
    <definedName name="K" localSheetId="1">protected_slot!$B$5</definedName>
    <definedName name="K">#REF!</definedName>
    <definedName name="Linf" localSheetId="2">maximum!$B$4</definedName>
    <definedName name="Linf" localSheetId="0">no_length!$B$4</definedName>
    <definedName name="Linf" localSheetId="1">protected_slot!$B$4</definedName>
    <definedName name="Linf">#REF!</definedName>
    <definedName name="M" localSheetId="2">maximum!$B$13</definedName>
    <definedName name="M" localSheetId="0">no_length!$B$13</definedName>
    <definedName name="M" localSheetId="1">protected_slot!$B$13</definedName>
    <definedName name="M">#REF!</definedName>
    <definedName name="Min_LL" localSheetId="2">maximum!$B$18</definedName>
    <definedName name="Min_LL" localSheetId="0">no_length!$B$18</definedName>
    <definedName name="Min_LL" localSheetId="1">protected_slot!$B$18</definedName>
    <definedName name="Min_LL">#REF!</definedName>
    <definedName name="Min_SD" localSheetId="2">maximum!$B$20</definedName>
    <definedName name="min_sd" localSheetId="0">no_length!$B$19</definedName>
    <definedName name="Min_SD" localSheetId="1">protected_slot!$B$20</definedName>
    <definedName name="Min_SD">#REF!</definedName>
    <definedName name="Minimum_Length_Limit">no_length!$B$22</definedName>
    <definedName name="phi_count0">#REF!</definedName>
    <definedName name="phi_countf">#REF!</definedName>
    <definedName name="phi_vb_harvslotF" localSheetId="2">maximum!$B$23</definedName>
    <definedName name="phi_vb_harvslotF" localSheetId="0">no_length!$B$36</definedName>
    <definedName name="phi_vb_harvslotF" localSheetId="1">protected_slot!#REF!</definedName>
    <definedName name="phi_vb_harvslotF">#REF!</definedName>
    <definedName name="phi_vb_harvslotU" localSheetId="2">maximum!#REF!</definedName>
    <definedName name="phi_vb_harvslotU" localSheetId="0">no_length!$B$35</definedName>
    <definedName name="phi_vb_harvslotU" localSheetId="1">protected_slot!#REF!</definedName>
    <definedName name="phi_vb_harvslotU">#REF!</definedName>
    <definedName name="phi_vb_proslotF" localSheetId="2">maximum!$B$23</definedName>
    <definedName name="phi_vb_proslotF" localSheetId="0">no_length!$B$29</definedName>
    <definedName name="phi_vb_proslotF" localSheetId="1">protected_slot!$B$23</definedName>
    <definedName name="phi_vb_proslotF">#REF!</definedName>
    <definedName name="phi_vb_proslotU" localSheetId="2">maximum!#REF!</definedName>
    <definedName name="phi_vb_proslotU" localSheetId="0">no_length!$B$28</definedName>
    <definedName name="phi_vb_proslotU" localSheetId="1">protected_slot!#REF!</definedName>
    <definedName name="phi_vb_proslotU">#REF!</definedName>
    <definedName name="phi_vb0" localSheetId="2">maximum!#REF!</definedName>
    <definedName name="phi_vb0" localSheetId="0">no_length!#REF!</definedName>
    <definedName name="phi_vb0" localSheetId="1">protected_slot!#REF!</definedName>
    <definedName name="phi_vb0">#REF!</definedName>
    <definedName name="phi_vbF" localSheetId="2">maximum!#REF!</definedName>
    <definedName name="phi_vbF" localSheetId="0">no_length!$B$23</definedName>
    <definedName name="phi_vbF" localSheetId="1">protected_slot!#REF!</definedName>
    <definedName name="phi_vbF">#REF!</definedName>
    <definedName name="phi_vbU" localSheetId="2">maximum!#REF!</definedName>
    <definedName name="phi_vbU" localSheetId="0">no_length!#REF!</definedName>
    <definedName name="phi_vbU" localSheetId="1">protected_slot!#REF!</definedName>
    <definedName name="phi_vbU">#REF!</definedName>
    <definedName name="Protected_Slot" localSheetId="2">maximum!$B$22</definedName>
    <definedName name="Protected_Slot" localSheetId="0">no_length!$B$27</definedName>
    <definedName name="Protected_Slot" localSheetId="1">protected_slot!$B$22</definedName>
    <definedName name="Protected_Slot">#REF!</definedName>
    <definedName name="Recruits">#REF!</definedName>
    <definedName name="Rel_Fec" localSheetId="2">maximum!$E$5:$AC$5</definedName>
    <definedName name="Rel_Fec" localSheetId="0">no_length!$E$5:$AC$5</definedName>
    <definedName name="Rel_Fec" localSheetId="1">protected_slot!$E$5:$AC$5</definedName>
    <definedName name="Rel_Fec">#REF!</definedName>
    <definedName name="S_fished" localSheetId="2">maximum!$E$7:$AC$7</definedName>
    <definedName name="S_fished" localSheetId="0">no_length!$E$7:$AC$7</definedName>
    <definedName name="S_fished" localSheetId="1">protected_slot!$E$7:$AC$7</definedName>
    <definedName name="S_fished">#REF!</definedName>
    <definedName name="S_unfished" localSheetId="2">maximum!$E$6:$AC$6</definedName>
    <definedName name="S_unfished" localSheetId="0">no_length!$E$6:$AC$6</definedName>
    <definedName name="S_unfished" localSheetId="1">protected_slot!$E$6:$AC$6</definedName>
    <definedName name="S_unfished">#REF!</definedName>
    <definedName name="So" localSheetId="2">maximum!$B$14</definedName>
    <definedName name="So" localSheetId="0">no_length!$B$14</definedName>
    <definedName name="So" localSheetId="1">protected_slot!$B$14</definedName>
    <definedName name="So">#REF!</definedName>
    <definedName name="SPR" localSheetId="2">maximum!#REF!</definedName>
    <definedName name="SPR" localSheetId="0">no_length!$B$25</definedName>
    <definedName name="SPR" localSheetId="1">protected_slot!#REF!</definedName>
    <definedName name="SPR">#REF!</definedName>
    <definedName name="SPR_harvslot">maximum!$B$25</definedName>
    <definedName name="SPR_mll">no_length!$B$25</definedName>
    <definedName name="SPR_proslot" localSheetId="2">maximum!$B$25</definedName>
    <definedName name="SPR_proslot">protected_slot!$B$25</definedName>
    <definedName name="TL" localSheetId="2">maximum!$E$3:$AC$3</definedName>
    <definedName name="TL" localSheetId="0">no_length!$E$3:$AC$3</definedName>
    <definedName name="TL" localSheetId="1">protected_slot!$E$3:$AC$3</definedName>
    <definedName name="TL">#REF!</definedName>
    <definedName name="tnot" localSheetId="2">maximum!$B$6</definedName>
    <definedName name="tnot" localSheetId="0">no_length!$B$6</definedName>
    <definedName name="tnot" localSheetId="1">protected_slot!$B$6</definedName>
    <definedName name="tnot">#REF!</definedName>
    <definedName name="u" localSheetId="2">maximum!$B$15</definedName>
    <definedName name="u" localSheetId="0">no_length!$B$15</definedName>
    <definedName name="u" localSheetId="1">protected_slot!$B$15</definedName>
    <definedName name="u">#REF!</definedName>
    <definedName name="Upper_LL" localSheetId="2">maximum!$B$19</definedName>
    <definedName name="Upper_LL" localSheetId="0">no_length!#REF!</definedName>
    <definedName name="Upper_LL" localSheetId="1">protected_slot!$B$19</definedName>
    <definedName name="Upper_LL">#REF!</definedName>
    <definedName name="Vul_harvslot" localSheetId="2">maximum!$E$11:$AC$11</definedName>
    <definedName name="Vul_harvslot" localSheetId="0">no_length!$E$11:$AC$11</definedName>
    <definedName name="Vul_harvslot" localSheetId="1">protected_slot!#REF!</definedName>
    <definedName name="Vul_harvslot">#REF!</definedName>
    <definedName name="Vul_minLL" localSheetId="2">maximum!$E$8:$AC$8</definedName>
    <definedName name="Vul_minLL" localSheetId="0">no_length!$E$8:$AC$8</definedName>
    <definedName name="Vul_minLL" localSheetId="1">protected_slot!$E$8:$AC$8</definedName>
    <definedName name="Vul_minLL">#REF!</definedName>
    <definedName name="Vul_proslot" localSheetId="2">maximum!$E$10:$AC$10</definedName>
    <definedName name="Vul_proslot" localSheetId="0">no_length!$E$10:$AC$10</definedName>
    <definedName name="Vul_proslot" localSheetId="1">protected_slot!$E$10:$AC$10</definedName>
    <definedName name="Vul_proslot">#REF!</definedName>
    <definedName name="Vul_slot" localSheetId="2">maximum!$E$10:$AC$10</definedName>
    <definedName name="Vul_slot" localSheetId="0">no_length!$E$10:$AC$10</definedName>
    <definedName name="Vul_slot" localSheetId="1">protected_slot!$E$10:$AC$10</definedName>
    <definedName name="Vul_slot">#REF!</definedName>
    <definedName name="Vul_upLL" localSheetId="2">maximum!$E$9:$AC$9</definedName>
    <definedName name="Vul_upLL" localSheetId="0">no_length!$E$9:$AC$9</definedName>
    <definedName name="Vul_upLL" localSheetId="1">protected_slot!$E$9:$AC$9</definedName>
    <definedName name="Vul_upLL">#REF!</definedName>
    <definedName name="wmat" localSheetId="2">maximum!$B$11</definedName>
    <definedName name="wmat" localSheetId="0">no_length!$B$11</definedName>
    <definedName name="wmat" localSheetId="1">protected_slot!$B$11</definedName>
    <definedName name="wmat">#REF!</definedName>
    <definedName name="Wt" localSheetId="2">maximum!$E$4:$AC$4</definedName>
    <definedName name="Wt" localSheetId="0">no_length!$E$4:$AC$4</definedName>
    <definedName name="Wt" localSheetId="1">protected_slot!$E$4:$AC$4</definedName>
    <definedName name="Wt">#REF!</definedName>
    <definedName name="YPR" localSheetId="2">maximum!#REF!</definedName>
    <definedName name="YPR" localSheetId="0">no_length!$B$38</definedName>
    <definedName name="YPR" localSheetId="1">protected_slot!#REF!</definedName>
    <definedName name="YPR">#REF!</definedName>
    <definedName name="YPR_harvslot" localSheetId="2">maximum!$B$24</definedName>
    <definedName name="YPR_harvslot" localSheetId="0">no_length!$B$38</definedName>
    <definedName name="YPR_harvslot" localSheetId="1">protected_slot!#REF!</definedName>
    <definedName name="YPR_harvslot">#REF!</definedName>
    <definedName name="YPR_mll" localSheetId="2">maximum!#REF!</definedName>
    <definedName name="YPR_mll" localSheetId="0">no_length!$B$24</definedName>
    <definedName name="YPR_mll" localSheetId="1">protected_slot!#REF!</definedName>
    <definedName name="YPR_mll">#REF!</definedName>
    <definedName name="YPR_proslot" localSheetId="2">maximum!$B$24</definedName>
    <definedName name="YPR_proslot" localSheetId="0">no_length!$B$31</definedName>
    <definedName name="YPR_proslot" localSheetId="1">protected_slot!$B$24</definedName>
    <definedName name="YPR_prosl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8" l="1"/>
  <c r="B8" i="6"/>
  <c r="B8" i="5"/>
  <c r="B13" i="8"/>
  <c r="B14" i="8" s="1"/>
  <c r="B13" i="6"/>
  <c r="B14" i="6" s="1"/>
  <c r="B13" i="5"/>
  <c r="B14" i="5" s="1"/>
  <c r="AC3" i="8"/>
  <c r="AC8" i="8" s="1"/>
  <c r="AB3" i="8"/>
  <c r="AB9" i="8" s="1"/>
  <c r="AA3" i="8"/>
  <c r="AA9" i="8" s="1"/>
  <c r="Z3" i="8"/>
  <c r="Z8" i="8" s="1"/>
  <c r="Y3" i="8"/>
  <c r="X3" i="8"/>
  <c r="X9" i="8" s="1"/>
  <c r="W3" i="8"/>
  <c r="W8" i="8" s="1"/>
  <c r="V3" i="8"/>
  <c r="V9" i="8" s="1"/>
  <c r="U3" i="8"/>
  <c r="U8" i="8" s="1"/>
  <c r="T3" i="8"/>
  <c r="T9" i="8" s="1"/>
  <c r="S3" i="8"/>
  <c r="S9" i="8" s="1"/>
  <c r="R3" i="8"/>
  <c r="R8" i="8" s="1"/>
  <c r="Q3" i="8"/>
  <c r="Q4" i="8" s="1"/>
  <c r="P3" i="8"/>
  <c r="P9" i="8" s="1"/>
  <c r="O3" i="8"/>
  <c r="O8" i="8" s="1"/>
  <c r="N3" i="8"/>
  <c r="N9" i="8" s="1"/>
  <c r="M3" i="8"/>
  <c r="M8" i="8" s="1"/>
  <c r="L3" i="8"/>
  <c r="L9" i="8" s="1"/>
  <c r="K3" i="8"/>
  <c r="K8" i="8" s="1"/>
  <c r="J3" i="8"/>
  <c r="J8" i="8" s="1"/>
  <c r="I3" i="8"/>
  <c r="I4" i="8" s="1"/>
  <c r="H3" i="8"/>
  <c r="H9" i="8" s="1"/>
  <c r="G3" i="8"/>
  <c r="G8" i="8" s="1"/>
  <c r="F3" i="8"/>
  <c r="F9" i="8" s="1"/>
  <c r="E3" i="8"/>
  <c r="E8" i="8" s="1"/>
  <c r="AC3" i="6"/>
  <c r="AB3" i="6"/>
  <c r="AB9" i="6" s="1"/>
  <c r="AA3" i="6"/>
  <c r="Z3" i="6"/>
  <c r="Y3" i="6"/>
  <c r="X3" i="6"/>
  <c r="X9" i="6" s="1"/>
  <c r="W3" i="6"/>
  <c r="W9" i="6" s="1"/>
  <c r="V3" i="6"/>
  <c r="V9" i="6" s="1"/>
  <c r="U3" i="6"/>
  <c r="U9" i="6" s="1"/>
  <c r="T3" i="6"/>
  <c r="T9" i="6" s="1"/>
  <c r="S3" i="6"/>
  <c r="R3" i="6"/>
  <c r="R9" i="6" s="1"/>
  <c r="Q3" i="6"/>
  <c r="P3" i="6"/>
  <c r="P9" i="6" s="1"/>
  <c r="O3" i="6"/>
  <c r="O9" i="6" s="1"/>
  <c r="N3" i="6"/>
  <c r="N9" i="6" s="1"/>
  <c r="M3" i="6"/>
  <c r="M9" i="6" s="1"/>
  <c r="L3" i="6"/>
  <c r="L9" i="6" s="1"/>
  <c r="K3" i="6"/>
  <c r="J3" i="6"/>
  <c r="I3" i="6"/>
  <c r="I4" i="6" s="1"/>
  <c r="H3" i="6"/>
  <c r="H9" i="6" s="1"/>
  <c r="G3" i="6"/>
  <c r="G9" i="6" s="1"/>
  <c r="F3" i="6"/>
  <c r="F9" i="6" s="1"/>
  <c r="E3" i="6"/>
  <c r="AC3" i="5"/>
  <c r="AB3" i="5"/>
  <c r="AA3" i="5"/>
  <c r="Z3" i="5"/>
  <c r="Y3" i="5"/>
  <c r="X3" i="5"/>
  <c r="W3" i="5"/>
  <c r="V3" i="5"/>
  <c r="U3" i="5"/>
  <c r="T3" i="5"/>
  <c r="S3" i="5"/>
  <c r="R3" i="5"/>
  <c r="Q3" i="5"/>
  <c r="P3" i="5"/>
  <c r="O3" i="5"/>
  <c r="N3" i="5"/>
  <c r="M3" i="5"/>
  <c r="L3" i="5"/>
  <c r="K3" i="5"/>
  <c r="J3" i="5"/>
  <c r="I3" i="5"/>
  <c r="H3" i="5"/>
  <c r="G3" i="5"/>
  <c r="F3" i="5"/>
  <c r="E3" i="5"/>
  <c r="Y4" i="8" l="1"/>
  <c r="J4" i="6"/>
  <c r="B11" i="6" s="1"/>
  <c r="P4" i="5"/>
  <c r="Q4" i="5"/>
  <c r="H4" i="5"/>
  <c r="I4" i="5"/>
  <c r="K4" i="5"/>
  <c r="X4" i="5"/>
  <c r="Y4" i="5"/>
  <c r="AA4" i="6"/>
  <c r="Z4" i="6"/>
  <c r="E4" i="6"/>
  <c r="Q4" i="6"/>
  <c r="AC4" i="6"/>
  <c r="S4" i="6"/>
  <c r="K4" i="6"/>
  <c r="Y4" i="6"/>
  <c r="AA8" i="8"/>
  <c r="AA10" i="8" s="1"/>
  <c r="AA11" i="8" s="1"/>
  <c r="W9" i="8"/>
  <c r="W10" i="8" s="1"/>
  <c r="W11" i="8" s="1"/>
  <c r="AC9" i="8"/>
  <c r="P4" i="8"/>
  <c r="R4" i="8"/>
  <c r="U4" i="8"/>
  <c r="AC4" i="8"/>
  <c r="T8" i="8"/>
  <c r="T10" i="8" s="1"/>
  <c r="T11" i="8" s="1"/>
  <c r="AB8" i="8"/>
  <c r="AB10" i="8" s="1"/>
  <c r="AB11" i="8" s="1"/>
  <c r="W8" i="5"/>
  <c r="AA8" i="5"/>
  <c r="G8" i="5"/>
  <c r="J8" i="5"/>
  <c r="O8" i="5"/>
  <c r="Z8" i="5"/>
  <c r="E8" i="5"/>
  <c r="F7" i="5" s="1"/>
  <c r="S8" i="5"/>
  <c r="R8" i="5"/>
  <c r="E9" i="8"/>
  <c r="E10" i="8" s="1"/>
  <c r="E11" i="8" s="1"/>
  <c r="F7" i="8" s="1"/>
  <c r="F8" i="8"/>
  <c r="F10" i="8" s="1"/>
  <c r="F11" i="8" s="1"/>
  <c r="G9" i="8"/>
  <c r="G10" i="8" s="1"/>
  <c r="G11" i="8" s="1"/>
  <c r="H8" i="8"/>
  <c r="H10" i="8" s="1"/>
  <c r="H11" i="8" s="1"/>
  <c r="J9" i="8"/>
  <c r="J10" i="8" s="1"/>
  <c r="J11" i="8" s="1"/>
  <c r="E4" i="8"/>
  <c r="L8" i="8"/>
  <c r="L10" i="8" s="1"/>
  <c r="L11" i="8" s="1"/>
  <c r="M9" i="8"/>
  <c r="M10" i="8" s="1"/>
  <c r="M11" i="8" s="1"/>
  <c r="Z4" i="8"/>
  <c r="H4" i="8"/>
  <c r="N8" i="8"/>
  <c r="N10" i="8" s="1"/>
  <c r="N11" i="8" s="1"/>
  <c r="O9" i="8"/>
  <c r="O10" i="8" s="1"/>
  <c r="O11" i="8" s="1"/>
  <c r="X8" i="8"/>
  <c r="X10" i="8" s="1"/>
  <c r="X11" i="8" s="1"/>
  <c r="J4" i="8"/>
  <c r="B11" i="8" s="1"/>
  <c r="P8" i="8"/>
  <c r="P10" i="8" s="1"/>
  <c r="P11" i="8" s="1"/>
  <c r="R9" i="8"/>
  <c r="R10" i="8" s="1"/>
  <c r="R11" i="8" s="1"/>
  <c r="M4" i="8"/>
  <c r="S8" i="8"/>
  <c r="S10" i="8" s="1"/>
  <c r="S11" i="8" s="1"/>
  <c r="U9" i="8"/>
  <c r="U10" i="8" s="1"/>
  <c r="U11" i="8" s="1"/>
  <c r="V8" i="8"/>
  <c r="Z9" i="8"/>
  <c r="Z10" i="8" s="1"/>
  <c r="Z11" i="8" s="1"/>
  <c r="X4" i="8"/>
  <c r="AC10" i="8"/>
  <c r="AC11" i="8" s="1"/>
  <c r="F6" i="8"/>
  <c r="G6" i="8" s="1"/>
  <c r="H6" i="8" s="1"/>
  <c r="I6" i="8" s="1"/>
  <c r="J6" i="8" s="1"/>
  <c r="K6" i="8" s="1"/>
  <c r="L6" i="8" s="1"/>
  <c r="M6" i="8" s="1"/>
  <c r="N6" i="8" s="1"/>
  <c r="O6" i="8" s="1"/>
  <c r="P6" i="8" s="1"/>
  <c r="Q6" i="8" s="1"/>
  <c r="R6" i="8" s="1"/>
  <c r="S6" i="8" s="1"/>
  <c r="T6" i="8" s="1"/>
  <c r="U6" i="8" s="1"/>
  <c r="V6" i="8" s="1"/>
  <c r="W6" i="8" s="1"/>
  <c r="X6" i="8" s="1"/>
  <c r="Y6" i="8" s="1"/>
  <c r="Z6" i="8" s="1"/>
  <c r="AA6" i="8" s="1"/>
  <c r="AB6" i="8" s="1"/>
  <c r="AC6" i="8" s="1"/>
  <c r="V10" i="8"/>
  <c r="V11" i="8" s="1"/>
  <c r="K4" i="8"/>
  <c r="S4" i="8"/>
  <c r="AA4" i="8"/>
  <c r="I8" i="8"/>
  <c r="Q8" i="8"/>
  <c r="Y8" i="8"/>
  <c r="L4" i="8"/>
  <c r="T4" i="8"/>
  <c r="AB4" i="8"/>
  <c r="I9" i="8"/>
  <c r="Q9" i="8"/>
  <c r="Y9" i="8"/>
  <c r="F4" i="8"/>
  <c r="V4" i="8"/>
  <c r="K9" i="8"/>
  <c r="K10" i="8" s="1"/>
  <c r="K11" i="8" s="1"/>
  <c r="N4" i="8"/>
  <c r="G4" i="8"/>
  <c r="O4" i="8"/>
  <c r="W4" i="8"/>
  <c r="R4" i="6"/>
  <c r="Z8" i="6"/>
  <c r="Z9" i="6"/>
  <c r="L8" i="6"/>
  <c r="L10" i="6" s="1"/>
  <c r="Q8" i="6"/>
  <c r="T4" i="6"/>
  <c r="S8" i="6"/>
  <c r="AA8" i="6"/>
  <c r="AB8" i="6"/>
  <c r="AB10" i="6" s="1"/>
  <c r="J4" i="5"/>
  <c r="R4" i="5"/>
  <c r="AC4" i="5"/>
  <c r="AB4" i="6"/>
  <c r="R8" i="6"/>
  <c r="R10" i="6" s="1"/>
  <c r="I9" i="6"/>
  <c r="I8" i="5"/>
  <c r="H8" i="6"/>
  <c r="H10" i="6" s="1"/>
  <c r="J9" i="6"/>
  <c r="P8" i="5"/>
  <c r="I8" i="6"/>
  <c r="T8" i="6"/>
  <c r="T10" i="6" s="1"/>
  <c r="Q9" i="6"/>
  <c r="J8" i="6"/>
  <c r="Q8" i="5"/>
  <c r="X8" i="6"/>
  <c r="X10" i="6" s="1"/>
  <c r="E4" i="5"/>
  <c r="L4" i="6"/>
  <c r="K8" i="6"/>
  <c r="Y8" i="6"/>
  <c r="Y9" i="6"/>
  <c r="M4" i="5"/>
  <c r="P8" i="6"/>
  <c r="P10" i="6" s="1"/>
  <c r="F6" i="6"/>
  <c r="G6" i="6" s="1"/>
  <c r="H6" i="6" s="1"/>
  <c r="I6" i="6" s="1"/>
  <c r="J6" i="6" s="1"/>
  <c r="K6" i="6" s="1"/>
  <c r="L6" i="6" s="1"/>
  <c r="M6" i="6" s="1"/>
  <c r="N6" i="6" s="1"/>
  <c r="O6" i="6" s="1"/>
  <c r="P6" i="6" s="1"/>
  <c r="Q6" i="6" s="1"/>
  <c r="R6" i="6" s="1"/>
  <c r="S6" i="6" s="1"/>
  <c r="T6" i="6" s="1"/>
  <c r="U6" i="6" s="1"/>
  <c r="V6" i="6" s="1"/>
  <c r="W6" i="6" s="1"/>
  <c r="X6" i="6" s="1"/>
  <c r="Y6" i="6" s="1"/>
  <c r="Z6" i="6" s="1"/>
  <c r="AA6" i="6" s="1"/>
  <c r="AB6" i="6" s="1"/>
  <c r="AC6" i="6" s="1"/>
  <c r="M4" i="6"/>
  <c r="V4" i="6"/>
  <c r="S9" i="6"/>
  <c r="AA9" i="6"/>
  <c r="U4" i="6"/>
  <c r="N4" i="6"/>
  <c r="X8" i="5"/>
  <c r="G4" i="6"/>
  <c r="O4" i="6"/>
  <c r="W4" i="6"/>
  <c r="E8" i="6"/>
  <c r="M8" i="6"/>
  <c r="M10" i="6" s="1"/>
  <c r="U8" i="6"/>
  <c r="U10" i="6" s="1"/>
  <c r="AC8" i="6"/>
  <c r="U4" i="5"/>
  <c r="Y8" i="5"/>
  <c r="H4" i="6"/>
  <c r="P4" i="6"/>
  <c r="X4" i="6"/>
  <c r="F8" i="6"/>
  <c r="F10" i="6" s="1"/>
  <c r="N8" i="6"/>
  <c r="N10" i="6" s="1"/>
  <c r="V8" i="6"/>
  <c r="V10" i="6" s="1"/>
  <c r="E9" i="6"/>
  <c r="AC9" i="6"/>
  <c r="F4" i="6"/>
  <c r="K9" i="6"/>
  <c r="Z4" i="5"/>
  <c r="G8" i="6"/>
  <c r="G10" i="6" s="1"/>
  <c r="O8" i="6"/>
  <c r="O10" i="6" s="1"/>
  <c r="W8" i="6"/>
  <c r="W10" i="6" s="1"/>
  <c r="H8" i="5"/>
  <c r="S4" i="5"/>
  <c r="L4" i="5"/>
  <c r="T4" i="5"/>
  <c r="AB4" i="5"/>
  <c r="F4" i="5"/>
  <c r="N4" i="5"/>
  <c r="V4" i="5"/>
  <c r="L8" i="5"/>
  <c r="T8" i="5"/>
  <c r="AB8" i="5"/>
  <c r="G4" i="5"/>
  <c r="O4" i="5"/>
  <c r="W4" i="5"/>
  <c r="F6" i="5"/>
  <c r="G6" i="5" s="1"/>
  <c r="H6" i="5" s="1"/>
  <c r="I6" i="5" s="1"/>
  <c r="J6" i="5" s="1"/>
  <c r="K6" i="5" s="1"/>
  <c r="L6" i="5" s="1"/>
  <c r="M6" i="5" s="1"/>
  <c r="N6" i="5" s="1"/>
  <c r="O6" i="5" s="1"/>
  <c r="P6" i="5" s="1"/>
  <c r="Q6" i="5" s="1"/>
  <c r="R6" i="5" s="1"/>
  <c r="S6" i="5" s="1"/>
  <c r="T6" i="5" s="1"/>
  <c r="U6" i="5" s="1"/>
  <c r="V6" i="5" s="1"/>
  <c r="W6" i="5" s="1"/>
  <c r="X6" i="5" s="1"/>
  <c r="Y6" i="5" s="1"/>
  <c r="Z6" i="5" s="1"/>
  <c r="AA6" i="5" s="1"/>
  <c r="AB6" i="5" s="1"/>
  <c r="AC6" i="5" s="1"/>
  <c r="M8" i="5"/>
  <c r="U8" i="5"/>
  <c r="AC8" i="5"/>
  <c r="AA4" i="5"/>
  <c r="K8" i="5"/>
  <c r="F8" i="5"/>
  <c r="N8" i="5"/>
  <c r="V8" i="5"/>
  <c r="N5" i="8" l="1"/>
  <c r="M5" i="8"/>
  <c r="AA5" i="8"/>
  <c r="J5" i="6"/>
  <c r="J5" i="8"/>
  <c r="T5" i="8"/>
  <c r="W5" i="8"/>
  <c r="H5" i="8"/>
  <c r="G5" i="8"/>
  <c r="E5" i="8"/>
  <c r="AC5" i="8"/>
  <c r="X5" i="8"/>
  <c r="B11" i="5"/>
  <c r="H5" i="5" s="1"/>
  <c r="V5" i="8"/>
  <c r="S5" i="8"/>
  <c r="F5" i="8"/>
  <c r="K5" i="8"/>
  <c r="Q5" i="8"/>
  <c r="U5" i="8"/>
  <c r="I5" i="8"/>
  <c r="AB5" i="8"/>
  <c r="R5" i="8"/>
  <c r="O5" i="8"/>
  <c r="L5" i="8"/>
  <c r="G7" i="8"/>
  <c r="H7" i="8" s="1"/>
  <c r="I7" i="8" s="1"/>
  <c r="Z5" i="8"/>
  <c r="P5" i="8"/>
  <c r="Y5" i="8"/>
  <c r="Y10" i="8"/>
  <c r="Y11" i="8" s="1"/>
  <c r="Q10" i="8"/>
  <c r="Q11" i="8" s="1"/>
  <c r="I10" i="8"/>
  <c r="I11" i="8" s="1"/>
  <c r="Z10" i="6"/>
  <c r="S10" i="6"/>
  <c r="S5" i="6"/>
  <c r="Y10" i="6"/>
  <c r="K10" i="6"/>
  <c r="AB5" i="6"/>
  <c r="J10" i="6"/>
  <c r="Q10" i="6"/>
  <c r="AC10" i="6"/>
  <c r="AA10" i="6"/>
  <c r="G7" i="5"/>
  <c r="H7" i="5" s="1"/>
  <c r="I7" i="5" s="1"/>
  <c r="J7" i="5" s="1"/>
  <c r="K7" i="5" s="1"/>
  <c r="L7" i="5" s="1"/>
  <c r="M7" i="5" s="1"/>
  <c r="N7" i="5" s="1"/>
  <c r="O7" i="5" s="1"/>
  <c r="P7" i="5" s="1"/>
  <c r="Q7" i="5" s="1"/>
  <c r="R7" i="5" s="1"/>
  <c r="S7" i="5" s="1"/>
  <c r="T7" i="5" s="1"/>
  <c r="U7" i="5" s="1"/>
  <c r="V7" i="5" s="1"/>
  <c r="W7" i="5" s="1"/>
  <c r="X7" i="5" s="1"/>
  <c r="Y7" i="5" s="1"/>
  <c r="Z7" i="5" s="1"/>
  <c r="AA7" i="5" s="1"/>
  <c r="AB7" i="5" s="1"/>
  <c r="AC7" i="5" s="1"/>
  <c r="T5" i="6"/>
  <c r="X5" i="6"/>
  <c r="I5" i="6"/>
  <c r="P5" i="6"/>
  <c r="V5" i="6"/>
  <c r="L5" i="6"/>
  <c r="F5" i="6"/>
  <c r="H5" i="6"/>
  <c r="AA5" i="6"/>
  <c r="M5" i="6"/>
  <c r="N5" i="6"/>
  <c r="Q5" i="6"/>
  <c r="I10" i="6"/>
  <c r="W5" i="6"/>
  <c r="U5" i="6"/>
  <c r="Y5" i="6"/>
  <c r="E10" i="6"/>
  <c r="F7" i="6" s="1"/>
  <c r="G7" i="6" s="1"/>
  <c r="H7" i="6" s="1"/>
  <c r="I7" i="6" s="1"/>
  <c r="O5" i="6"/>
  <c r="AC5" i="6"/>
  <c r="Z5" i="6"/>
  <c r="K5" i="6"/>
  <c r="G5" i="6"/>
  <c r="E5" i="6"/>
  <c r="R5" i="6"/>
  <c r="AC5" i="5" l="1"/>
  <c r="S5" i="5"/>
  <c r="N5" i="5"/>
  <c r="T5" i="5"/>
  <c r="Y5" i="5"/>
  <c r="L5" i="5"/>
  <c r="E5" i="5"/>
  <c r="O5" i="5"/>
  <c r="P5" i="5"/>
  <c r="AB5" i="5"/>
  <c r="F5" i="5"/>
  <c r="G5" i="5"/>
  <c r="AA5" i="5"/>
  <c r="M5" i="5"/>
  <c r="J5" i="5"/>
  <c r="R5" i="5"/>
  <c r="W5" i="5"/>
  <c r="Z5" i="5"/>
  <c r="K5" i="5"/>
  <c r="I5" i="5"/>
  <c r="V5" i="5"/>
  <c r="Q5" i="5"/>
  <c r="U5" i="5"/>
  <c r="X5" i="5"/>
  <c r="J7" i="8"/>
  <c r="K7" i="8" s="1"/>
  <c r="L7" i="8" s="1"/>
  <c r="M7" i="8" s="1"/>
  <c r="N7" i="8" s="1"/>
  <c r="O7" i="8" s="1"/>
  <c r="P7" i="8" s="1"/>
  <c r="Q7" i="8" s="1"/>
  <c r="R7" i="8" s="1"/>
  <c r="S7" i="8" s="1"/>
  <c r="T7" i="8" s="1"/>
  <c r="U7" i="8" s="1"/>
  <c r="V7" i="8" s="1"/>
  <c r="W7" i="8" s="1"/>
  <c r="X7" i="8" s="1"/>
  <c r="Y7" i="8" s="1"/>
  <c r="Z7" i="8" s="1"/>
  <c r="AA7" i="8" s="1"/>
  <c r="AB7" i="8" s="1"/>
  <c r="AC7" i="8" s="1"/>
  <c r="J7" i="6"/>
  <c r="K7" i="6" s="1"/>
  <c r="L7" i="6" s="1"/>
  <c r="M7" i="6" s="1"/>
  <c r="N7" i="6" s="1"/>
  <c r="O7" i="6" s="1"/>
  <c r="P7" i="6" s="1"/>
  <c r="Q7" i="6" s="1"/>
  <c r="R7" i="6" s="1"/>
  <c r="S7" i="6" s="1"/>
  <c r="T7" i="6" s="1"/>
  <c r="U7" i="6" s="1"/>
  <c r="V7" i="6" s="1"/>
  <c r="W7" i="6" s="1"/>
  <c r="X7" i="6" s="1"/>
  <c r="Y7" i="6" s="1"/>
  <c r="Z7" i="6" s="1"/>
  <c r="AA7" i="6" s="1"/>
  <c r="AB7" i="6" s="1"/>
  <c r="AC7" i="6" s="1"/>
  <c r="B25" i="8" l="1"/>
  <c r="I15" i="8" s="1"/>
  <c r="B23" i="8"/>
  <c r="B24" i="8" s="1"/>
  <c r="F15" i="8" s="1"/>
  <c r="B25" i="5" l="1"/>
  <c r="I16" i="5" s="1"/>
  <c r="B23" i="5"/>
  <c r="B24" i="5" s="1"/>
  <c r="F16" i="5" s="1"/>
  <c r="B23" i="6" l="1"/>
  <c r="B24" i="6" s="1"/>
  <c r="F15" i="6" s="1"/>
  <c r="B25" i="6"/>
  <c r="I1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tc={7FF494BB-AC68-4AFC-A43E-221F4B721964}</author>
    <author>tc={5CD92D7D-1FB7-4505-83D3-FC9180E06203}</author>
    <author>tc={276AAA3E-9704-4E12-A985-D883FA67F86D}</author>
    <author>tc={3A789A93-BEAD-4975-94D9-6EA4C6BDD56E}</author>
    <author>tc={DB3EB006-B808-4AD4-A356-C2A383021796}</author>
    <author>tc={5FC8B044-8698-4E9E-AD08-F9FCD89124A4}</author>
    <author>tc={D9D88F25-54B4-4F2D-A8EA-46E25C183EE9}</author>
    <author>tc={2E486EE8-199C-4D73-9A49-5EB1EB69AB32}</author>
    <author>tc={AF4921BB-C1DA-4853-B9E1-81F2A7657D62}</author>
    <author>tc={FA71F956-9F70-49BF-9F7F-D13D4DEF2153}</author>
    <author>tc={D8BCCC60-631F-441B-8AE5-5AD67CD861C9}</author>
    <author>tc={EE6D6129-05C1-4B37-AF46-BCCAFCF2B37B}</author>
    <author>tc={F3B4C130-A427-4833-85B5-2A1C5D67CB1D}</author>
    <author>tc={E8171DF7-0DD8-4999-80B5-2EAEC4D5F13D}</author>
    <author>tc={7DDF4832-82F0-4F53-9F45-6DD834999D34}</author>
    <author>tc={2DCF3B11-2E66-4618-832C-C548687C79B5}</author>
    <author>tc={DF5B8495-8433-44C2-B953-F0E2BFF86247}</author>
    <author>tc={332C693D-CFDA-469F-8774-E57305124AB5}</author>
    <author>tc={D35016E3-C37C-4A14-9706-9FCCD38758B0}</author>
    <author>tc={6D2978D9-AC9E-4C47-82BE-33F919E41548}</author>
  </authors>
  <commentList>
    <comment ref="E3" authorId="0" shapeId="0" xr:uid="{7FF494BB-AC68-4AFC-A43E-221F4B721964}">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5CD92D7D-1FB7-4505-83D3-FC9180E06203}">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276AAA3E-9704-4E12-A985-D883FA67F86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3A789A93-BEAD-4975-94D9-6EA4C6BDD56E}">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DB3EB006-B808-4AD4-A356-C2A383021796}">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5FC8B044-8698-4E9E-AD08-F9FCD89124A4}">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D9D88F25-54B4-4F2D-A8EA-46E25C183EE9}">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2E486EE8-199C-4D73-9A49-5EB1EB69AB32}">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A11" authorId="8" shapeId="0" xr:uid="{AF4921BB-C1DA-4853-B9E1-81F2A7657D6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9" shapeId="0" xr:uid="{FA71F956-9F70-49BF-9F7F-D13D4DEF2153}">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0" shapeId="0" xr:uid="{D8BCCC60-631F-441B-8AE5-5AD67CD861C9}">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A15" authorId="11" shapeId="0" xr:uid="{EE6D6129-05C1-4B37-AF46-BCCAFCF2B37B}">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E15" authorId="12" shapeId="0" xr:uid="{F3B4C130-A427-4833-85B5-2A1C5D67CB1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5" authorId="13" shapeId="0" xr:uid="{E8171DF7-0DD8-4999-80B5-2EAEC4D5F13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F16" authorId="14" shapeId="0" xr:uid="{7DDF4832-82F0-4F53-9F45-6DD834999D34}">
      <text>
        <t>[Threaded comment]
Your version of Excel allows you to read this threaded comment; however, any edits to it will get removed if the file is opened in a newer version of Excel. Learn more: https://go.microsoft.com/fwlink/?linkid=870924
Comment:
    This is just YPR</t>
      </text>
    </comment>
    <comment ref="I16" authorId="15" shapeId="0" xr:uid="{2DCF3B11-2E66-4618-832C-C548687C79B5}">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6" shapeId="0" xr:uid="{DF5B8495-8433-44C2-B953-F0E2BFF8624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7" shapeId="0" xr:uid="{332C693D-CFDA-469F-8774-E57305124AB5}">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23" authorId="18" shapeId="0" xr:uid="{D35016E3-C37C-4A14-9706-9FCCD38758B0}">
      <text>
        <t>[Threaded comment]
Your version of Excel allows you to read this threaded comment; however, any edits to it will get removed if the file is opened in a newer version of Excel. Learn more: https://go.microsoft.com/fwlink/?linkid=870924
Comment:
    Vulnerable biomass per recruit in the fished condition. The recruit has amassed this much harvestable biomass through its life.</t>
      </text>
    </comment>
    <comment ref="A25" authorId="19" shapeId="0" xr:uid="{6D2978D9-AC9E-4C47-82BE-33F919E41548}">
      <text>
        <t>[Threaded comment]
Your version of Excel allows you to read this threaded comment; however, any edits to it will get removed if the file is opened in a newer version of Excel. Learn more: https://go.microsoft.com/fwlink/?linkid=870924
Comment:
    Spawning portential ratio -- eggs per recruit in the fished condidtion relative to unfished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tc={EF3385E0-B5CC-44C9-A19B-978C48996DE8}</author>
    <author>tc={B891E5A3-A18B-4D27-8957-219E274096AB}</author>
    <author>tc={E5D9B3C2-CF3C-4855-9E68-840D4FF2B0FD}</author>
    <author>tc={D9269D75-D9F5-4E9D-B3EA-01D596C346C4}</author>
    <author>tc={2B33C32D-5082-4EB1-9EF5-58AC4E812FB7}</author>
    <author>tc={438A3699-EE21-4616-982A-FB3709B2EB27}</author>
    <author>tc={3098B624-9F15-4684-94C3-3344C41A7273}</author>
    <author>tc={5834178F-85C8-4BCC-BF9D-A87E71D6B677}</author>
    <author>tc={E39A8E8C-F3EB-4D34-A886-6BAF20393C42}</author>
    <author>tc={A4F502A4-AF20-4FB2-AFEA-48C2F152C681}</author>
    <author>tc={AB347FAD-10BF-43E8-8738-AD720CAA64D2}</author>
    <author>tc={CC3AE2DB-66C1-4437-91AC-1E0E1E5BE44D}</author>
    <author>tc={7CEB5DAC-610D-4415-901E-D247D8E26247}</author>
    <author>tc={194886E7-ABDA-4CC9-8B6E-B3101E7A6D7C}</author>
    <author>tc={DF203195-17B5-4F60-9C9D-2C33067762B6}</author>
    <author>tc={E019479A-D304-47D8-BA7C-612933D80FB9}</author>
    <author>tc={E64EF811-38E0-4B1F-B85C-A94AF5E166B7}</author>
    <author>tc={891A0B2A-4EC7-4085-908E-283661154FC0}</author>
    <author>tc={1A604A60-0BF8-415C-B79E-223F8085F2F7}</author>
    <author>tc={0DE0A42A-FB3B-4156-B225-D9BE0DE8E1AF}</author>
    <author>tc={967E8766-A9DF-40BD-AD0E-4F1BE43C33F7}</author>
    <author>tc={5A990110-0D9F-40C1-8006-2F94E5176BB4}</author>
  </authors>
  <commentList>
    <comment ref="E3" authorId="0" shapeId="0" xr:uid="{EF3385E0-B5CC-44C9-A19B-978C48996DE8}">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B891E5A3-A18B-4D27-8957-219E274096AB}">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E5D9B3C2-CF3C-4855-9E68-840D4FF2B0F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D9269D75-D9F5-4E9D-B3EA-01D596C346C4}">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2B33C32D-5082-4EB1-9EF5-58AC4E812FB7}">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438A3699-EE21-4616-982A-FB3709B2EB27}">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3098B624-9F15-4684-94C3-3344C41A7273}">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5834178F-85C8-4BCC-BF9D-A87E71D6B677}">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E39A8E8C-F3EB-4D34-A886-6BAF20393C42}">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A4F502A4-AF20-4FB2-AFEA-48C2F152C681}">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B347FAD-10BF-43E8-8738-AD720CAA64D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CC3AE2DB-66C1-4437-91AC-1E0E1E5BE44D}">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7CEB5DAC-610D-4415-901E-D247D8E26247}">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194886E7-ABDA-4CC9-8B6E-B3101E7A6D7C}">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DF203195-17B5-4F60-9C9D-2C33067762B6}">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E019479A-D304-47D8-BA7C-612933D80FB9}">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E64EF811-38E0-4B1F-B85C-A94AF5E166B7}">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891A0B2A-4EC7-4085-908E-283661154F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1A604A60-0BF8-415C-B79E-223F8085F2F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0DE0A42A-FB3B-4156-B225-D9BE0DE8E1AF}">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967E8766-A9DF-40BD-AD0E-4F1BE43C33F7}">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A990110-0D9F-40C1-8006-2F94E5176BB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tc={97CB868F-791C-4B06-87A5-4275E9F4121A}</author>
    <author>tc={230BCA66-6053-4937-957F-30B6D4E0BDD9}</author>
    <author>tc={9A9FCBC1-62E3-4723-9929-79A3CBAFF01F}</author>
    <author>tc={2424BCEB-5A6B-4E48-A5F2-390BD87C626D}</author>
    <author>tc={B0A5DE79-099A-4F01-AE34-D20786A165C5}</author>
    <author>tc={D9C9904B-93BB-4236-BDB3-D00E3A5F6670}</author>
    <author>tc={22149163-EB23-41DB-B3EE-FB9373C9E49A}</author>
    <author>tc={13C49DC7-9F31-4B7C-A208-41BE188C419A}</author>
    <author>tc={18D22DDD-2588-4ABC-A170-DEF01D901F1E}</author>
    <author>tc={BBAE738B-FA05-4264-BFBF-2304D77A4752}</author>
    <author>tc={AC00FF71-34F7-4941-8A2E-A924A9E54BBE}</author>
    <author>tc={31074EE1-5BAE-48F1-88DB-A017C743D74B}</author>
    <author>tc={0D28624B-6C8E-4EEA-A2EA-AA9B2B6E88CF}</author>
    <author>tc={77DFAEDF-2F92-4B90-B7C3-915343AA14F5}</author>
    <author>tc={5C1234BE-80C9-44BD-8ABA-5E3B7C7EA607}</author>
    <author>tc={057412C8-FEDC-4E09-9B7D-942C4E9A05AA}</author>
    <author>tc={D5F0C9EB-A93D-4EE3-93A3-27BF0710B7BA}</author>
    <author>tc={B39E4087-6D8B-416A-B84C-A262722425C0}</author>
    <author>tc={C6605091-7567-48F6-85E4-C99794B7B4C9}</author>
    <author>tc={D92CDD4C-1BEF-4369-9D4E-26B1E3BA0A51}</author>
    <author>tc={C1F1F1B4-E72B-49F2-B0E1-0F75ED04DCF1}</author>
    <author>tc={56D2A3E9-BD61-40E8-B163-729B66E85AF4}</author>
  </authors>
  <commentList>
    <comment ref="E3" authorId="0" shapeId="0" xr:uid="{97CB868F-791C-4B06-87A5-4275E9F4121A}">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230BCA66-6053-4937-957F-30B6D4E0BDD9}">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9A9FCBC1-62E3-4723-9929-79A3CBAFF01F}">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2424BCEB-5A6B-4E48-A5F2-390BD87C626D}">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B0A5DE79-099A-4F01-AE34-D20786A165C5}">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D9C9904B-93BB-4236-BDB3-D00E3A5F6670}">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22149163-EB23-41DB-B3EE-FB9373C9E49A}">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13C49DC7-9F31-4B7C-A208-41BE188C419A}">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18D22DDD-2588-4ABC-A170-DEF01D901F1E}">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BBAE738B-FA05-4264-BFBF-2304D77A4752}">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C00FF71-34F7-4941-8A2E-A924A9E54BBE}">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31074EE1-5BAE-48F1-88DB-A017C743D74B}">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0D28624B-6C8E-4EEA-A2EA-AA9B2B6E88CF}">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77DFAEDF-2F92-4B90-B7C3-915343AA14F5}">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5C1234BE-80C9-44BD-8ABA-5E3B7C7EA607}">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057412C8-FEDC-4E09-9B7D-942C4E9A05AA}">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D5F0C9EB-A93D-4EE3-93A3-27BF0710B7BA}">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B39E4087-6D8B-416A-B84C-A262722425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C6605091-7567-48F6-85E4-C99794B7B4C9}">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D92CDD4C-1BEF-4369-9D4E-26B1E3BA0A51}">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C1F1F1B4-E72B-49F2-B0E1-0F75ED04DCF1}">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6D2A3E9-BD61-40E8-B163-729B66E85AF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sharedStrings.xml><?xml version="1.0" encoding="utf-8"?>
<sst xmlns="http://schemas.openxmlformats.org/spreadsheetml/2006/main" count="94" uniqueCount="41">
  <si>
    <t>Parameters</t>
  </si>
  <si>
    <t>Age</t>
  </si>
  <si>
    <t>TL</t>
  </si>
  <si>
    <t>Linf</t>
  </si>
  <si>
    <t>K</t>
  </si>
  <si>
    <t>tnot</t>
  </si>
  <si>
    <t>a_wl</t>
  </si>
  <si>
    <t>b_wl</t>
  </si>
  <si>
    <t>Wt</t>
  </si>
  <si>
    <t>wmat</t>
  </si>
  <si>
    <t>Rel_Fec</t>
  </si>
  <si>
    <t>M</t>
  </si>
  <si>
    <t>So</t>
  </si>
  <si>
    <t>u</t>
  </si>
  <si>
    <t>S_unfished</t>
  </si>
  <si>
    <t>S_fished</t>
  </si>
  <si>
    <t>Min_LL</t>
  </si>
  <si>
    <t>Min_SD</t>
  </si>
  <si>
    <t>Vul_minLL</t>
  </si>
  <si>
    <t>SPR</t>
  </si>
  <si>
    <t>Yield</t>
  </si>
  <si>
    <t>Angler mort (u)</t>
  </si>
  <si>
    <t>target</t>
  </si>
  <si>
    <t>Vulnerability Section</t>
  </si>
  <si>
    <t>Upper_LL</t>
  </si>
  <si>
    <t>Vul_upLL</t>
  </si>
  <si>
    <t>Vul_proslot</t>
  </si>
  <si>
    <t>Vul_harvslot</t>
  </si>
  <si>
    <t>Protected Slot</t>
  </si>
  <si>
    <t>phi_vb_proslotF</t>
  </si>
  <si>
    <t>phi_vbF</t>
  </si>
  <si>
    <t>Harvest Slot</t>
  </si>
  <si>
    <t>Minimum Length Limit</t>
  </si>
  <si>
    <t>phi_vb_harvslotF</t>
  </si>
  <si>
    <t>YPR_mll</t>
  </si>
  <si>
    <t>YPR_proslot</t>
  </si>
  <si>
    <t>YPR_harvslot</t>
  </si>
  <si>
    <t>min_sd</t>
  </si>
  <si>
    <t>SPR_proslot</t>
  </si>
  <si>
    <t>SPR_mll</t>
  </si>
  <si>
    <t>SPR_harvslot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</si>
</sst>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0" fontId="0" fillId="3" borderId="0" xfId="0" applyFill="1"/>
    <xf numFmtId="0" fontId="1" fillId="3" borderId="0" xfId="0" applyFont="1" applyFill="1"/>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no_length!$E$17:$E$35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no_length!$F$17:$F$35</c:f>
              <c:numCache>
                <c:formatCode>0.00</c:formatCode>
                <c:ptCount val="19"/>
                <c:pt idx="0">
                  <c:v>0.34393706388185019</c:v>
                </c:pt>
                <c:pt idx="1">
                  <c:v>0.55698471815437156</c:v>
                </c:pt>
                <c:pt idx="2">
                  <c:v>0.68216698099814788</c:v>
                </c:pt>
                <c:pt idx="3">
                  <c:v>0.74923804182650611</c:v>
                </c:pt>
                <c:pt idx="4">
                  <c:v>0.77858689963454708</c:v>
                </c:pt>
                <c:pt idx="5">
                  <c:v>0.78404277827177071</c:v>
                </c:pt>
                <c:pt idx="6">
                  <c:v>0.77487695405863655</c:v>
                </c:pt>
                <c:pt idx="7">
                  <c:v>0.75722091491119115</c:v>
                </c:pt>
                <c:pt idx="8">
                  <c:v>0.73506344099055787</c:v>
                </c:pt>
                <c:pt idx="9">
                  <c:v>0.71094604309507536</c:v>
                </c:pt>
                <c:pt idx="10">
                  <c:v>0.68644390918386144</c:v>
                </c:pt>
                <c:pt idx="11">
                  <c:v>0.66249550785455791</c:v>
                </c:pt>
                <c:pt idx="12">
                  <c:v>0.63962627285419205</c:v>
                </c:pt>
                <c:pt idx="13">
                  <c:v>0.61809879390631928</c:v>
                </c:pt>
                <c:pt idx="14">
                  <c:v>0.59801247523378209</c:v>
                </c:pt>
                <c:pt idx="15">
                  <c:v>0.57936878509116096</c:v>
                </c:pt>
                <c:pt idx="16">
                  <c:v>0.56211331807640164</c:v>
                </c:pt>
                <c:pt idx="17">
                  <c:v>0.54616240782604963</c:v>
                </c:pt>
                <c:pt idx="18">
                  <c:v>0.53141957272732887</c:v>
                </c:pt>
              </c:numCache>
            </c:numRef>
          </c:val>
          <c:smooth val="0"/>
          <c:extLst>
            <c:ext xmlns:c16="http://schemas.microsoft.com/office/drawing/2014/chart" uri="{C3380CC4-5D6E-409C-BE32-E72D297353CC}">
              <c16:uniqueId val="{00000000-05EC-4D71-BF7C-57B8D805EFB8}"/>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no_length!$I$17:$I$35</c:f>
              <c:numCache>
                <c:formatCode>0.00</c:formatCode>
                <c:ptCount val="19"/>
                <c:pt idx="0">
                  <c:v>0.78590814304729661</c:v>
                </c:pt>
                <c:pt idx="1">
                  <c:v>0.62069334558163292</c:v>
                </c:pt>
                <c:pt idx="2">
                  <c:v>0.49286206755728762</c:v>
                </c:pt>
                <c:pt idx="3">
                  <c:v>0.39363987396319988</c:v>
                </c:pt>
                <c:pt idx="4">
                  <c:v>0.3163345166403283</c:v>
                </c:pt>
                <c:pt idx="5">
                  <c:v>0.25584500635026697</c:v>
                </c:pt>
                <c:pt idx="6">
                  <c:v>0.20828423974972457</c:v>
                </c:pt>
                <c:pt idx="7">
                  <c:v>0.17068967242408709</c:v>
                </c:pt>
                <c:pt idx="8">
                  <c:v>0.14080204533429733</c:v>
                </c:pt>
                <c:pt idx="9">
                  <c:v>0.11689654947407166</c:v>
                </c:pt>
                <c:pt idx="10">
                  <c:v>9.7654274755350004E-2</c:v>
                </c:pt>
                <c:pt idx="11">
                  <c:v>8.2064515878136929E-2</c:v>
                </c:pt>
                <c:pt idx="12">
                  <c:v>6.9350648084686689E-2</c:v>
                </c:pt>
                <c:pt idx="13">
                  <c:v>5.8913959144702543E-2</c:v>
                </c:pt>
                <c:pt idx="14">
                  <c:v>5.0291127503109531E-2</c:v>
                </c:pt>
                <c:pt idx="15">
                  <c:v>4.3122048148914092E-2</c:v>
                </c:pt>
                <c:pt idx="16">
                  <c:v>3.712548985539927E-2</c:v>
                </c:pt>
                <c:pt idx="17">
                  <c:v>3.2080669811038548E-2</c:v>
                </c:pt>
                <c:pt idx="18">
                  <c:v>2.7813293889887184E-2</c:v>
                </c:pt>
              </c:numCache>
            </c:numRef>
          </c:val>
          <c:smooth val="0"/>
          <c:extLst>
            <c:ext xmlns:c16="http://schemas.microsoft.com/office/drawing/2014/chart" uri="{C3380CC4-5D6E-409C-BE32-E72D297353CC}">
              <c16:uniqueId val="{00000000-9C2C-4155-A6D8-80B42F1B9C89}"/>
            </c:ext>
          </c:extLst>
        </c:ser>
        <c:ser>
          <c:idx val="1"/>
          <c:order val="1"/>
          <c:spPr>
            <a:ln w="28575" cap="rnd">
              <a:solidFill>
                <a:schemeClr val="accent2"/>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no_length!$J$17:$J$35</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9C2C-4155-A6D8-80B42F1B9C89}"/>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protected_slot!$F$16:$F$34</c:f>
              <c:numCache>
                <c:formatCode>0.00</c:formatCode>
                <c:ptCount val="19"/>
                <c:pt idx="0">
                  <c:v>0.15384032934413608</c:v>
                </c:pt>
                <c:pt idx="1">
                  <c:v>0.25418663235729827</c:v>
                </c:pt>
                <c:pt idx="2">
                  <c:v>0.31526871681557511</c:v>
                </c:pt>
                <c:pt idx="3">
                  <c:v>0.34798311994270337</c:v>
                </c:pt>
                <c:pt idx="4">
                  <c:v>0.36060539275137038</c:v>
                </c:pt>
                <c:pt idx="5">
                  <c:v>0.35936204221094792</c:v>
                </c:pt>
                <c:pt idx="6">
                  <c:v>0.34888767598314108</c:v>
                </c:pt>
                <c:pt idx="7">
                  <c:v>0.3325886091613498</c:v>
                </c:pt>
                <c:pt idx="8">
                  <c:v>0.31293056636909822</c:v>
                </c:pt>
                <c:pt idx="9">
                  <c:v>0.29166505340284121</c:v>
                </c:pt>
                <c:pt idx="10">
                  <c:v>0.27000639968496848</c:v>
                </c:pt>
                <c:pt idx="11">
                  <c:v>0.24876931580846989</c:v>
                </c:pt>
                <c:pt idx="12">
                  <c:v>0.22847500825319594</c:v>
                </c:pt>
                <c:pt idx="13">
                  <c:v>0.20943239288278362</c:v>
                </c:pt>
                <c:pt idx="14">
                  <c:v>0.1917997041841471</c:v>
                </c:pt>
                <c:pt idx="15">
                  <c:v>0.17563076877002901</c:v>
                </c:pt>
                <c:pt idx="16">
                  <c:v>0.16090936533412603</c:v>
                </c:pt>
                <c:pt idx="17">
                  <c:v>0.14757439977050801</c:v>
                </c:pt>
                <c:pt idx="18">
                  <c:v>0.13553805851493544</c:v>
                </c:pt>
              </c:numCache>
            </c:numRef>
          </c:val>
          <c:smooth val="0"/>
          <c:extLst>
            <c:ext xmlns:c16="http://schemas.microsoft.com/office/drawing/2014/chart" uri="{C3380CC4-5D6E-409C-BE32-E72D297353CC}">
              <c16:uniqueId val="{00000000-0986-4AD0-A43C-6916E673502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protected_slot!$I$16:$I$34</c:f>
              <c:numCache>
                <c:formatCode>0.00</c:formatCode>
                <c:ptCount val="19"/>
                <c:pt idx="0">
                  <c:v>0.80407414353511808</c:v>
                </c:pt>
                <c:pt idx="1">
                  <c:v>0.64430851091331798</c:v>
                </c:pt>
                <c:pt idx="2">
                  <c:v>0.51444364647106122</c:v>
                </c:pt>
                <c:pt idx="3">
                  <c:v>0.40923221535236393</c:v>
                </c:pt>
                <c:pt idx="4">
                  <c:v>0.32428665158528724</c:v>
                </c:pt>
                <c:pt idx="5">
                  <c:v>0.25594811085400193</c:v>
                </c:pt>
                <c:pt idx="6">
                  <c:v>0.20117396103361027</c:v>
                </c:pt>
                <c:pt idx="7">
                  <c:v>0.15744137779847392</c:v>
                </c:pt>
                <c:pt idx="8">
                  <c:v>0.12266490923973974</c:v>
                </c:pt>
                <c:pt idx="9">
                  <c:v>9.5126136372191E-2</c:v>
                </c:pt>
                <c:pt idx="10">
                  <c:v>7.3413789232793833E-2</c:v>
                </c:pt>
                <c:pt idx="11">
                  <c:v>5.6372884184899413E-2</c:v>
                </c:pt>
                <c:pt idx="12">
                  <c:v>4.3061629938369241E-2</c:v>
                </c:pt>
                <c:pt idx="13">
                  <c:v>3.2715010284293598E-2</c:v>
                </c:pt>
                <c:pt idx="14">
                  <c:v>2.4714092968864072E-2</c:v>
                </c:pt>
                <c:pt idx="15">
                  <c:v>1.8560238601645258E-2</c:v>
                </c:pt>
                <c:pt idx="16">
                  <c:v>1.3853492900203474E-2</c:v>
                </c:pt>
                <c:pt idx="17">
                  <c:v>1.0274541611132814E-2</c:v>
                </c:pt>
                <c:pt idx="18">
                  <c:v>7.569691634967431E-3</c:v>
                </c:pt>
              </c:numCache>
            </c:numRef>
          </c:val>
          <c:smooth val="0"/>
          <c:extLst>
            <c:ext xmlns:c16="http://schemas.microsoft.com/office/drawing/2014/chart" uri="{C3380CC4-5D6E-409C-BE32-E72D297353CC}">
              <c16:uniqueId val="{00000000-A427-43BF-903A-FB2BF5296DAC}"/>
            </c:ext>
          </c:extLst>
        </c:ser>
        <c:ser>
          <c:idx val="1"/>
          <c:order val="1"/>
          <c:spPr>
            <a:ln w="28575" cap="rnd">
              <a:solidFill>
                <a:schemeClr val="accent2"/>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A427-43BF-903A-FB2BF5296DA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maximum!$F$16:$F$34</c:f>
              <c:numCache>
                <c:formatCode>0.00</c:formatCode>
                <c:ptCount val="19"/>
                <c:pt idx="0">
                  <c:v>0.16345633473368804</c:v>
                </c:pt>
                <c:pt idx="1">
                  <c:v>0.29059914980511037</c:v>
                </c:pt>
                <c:pt idx="2">
                  <c:v>0.38803506216325967</c:v>
                </c:pt>
                <c:pt idx="3">
                  <c:v>0.46130863283685108</c:v>
                </c:pt>
                <c:pt idx="4">
                  <c:v>0.515055096806596</c:v>
                </c:pt>
                <c:pt idx="5">
                  <c:v>0.55313351418156032</c:v>
                </c:pt>
                <c:pt idx="6">
                  <c:v>0.57874255641750139</c:v>
                </c:pt>
                <c:pt idx="7">
                  <c:v>0.59452092399524537</c:v>
                </c:pt>
                <c:pt idx="8">
                  <c:v>0.60263419279247965</c:v>
                </c:pt>
                <c:pt idx="9">
                  <c:v>0.60484970408152461</c:v>
                </c:pt>
                <c:pt idx="10">
                  <c:v>0.60260094648637241</c:v>
                </c:pt>
                <c:pt idx="11">
                  <c:v>0.59704272621812027</c:v>
                </c:pt>
                <c:pt idx="12">
                  <c:v>0.58909828342546933</c:v>
                </c:pt>
                <c:pt idx="13">
                  <c:v>0.57949938655342881</c:v>
                </c:pt>
                <c:pt idx="14">
                  <c:v>0.56882032226362311</c:v>
                </c:pt>
                <c:pt idx="15">
                  <c:v>0.5575065948539063</c:v>
                </c:pt>
                <c:pt idx="16">
                  <c:v>0.54589905539634875</c:v>
                </c:pt>
                <c:pt idx="17">
                  <c:v>0.53425409621456488</c:v>
                </c:pt>
                <c:pt idx="18">
                  <c:v>0.52276047011535787</c:v>
                </c:pt>
              </c:numCache>
            </c:numRef>
          </c:val>
          <c:smooth val="0"/>
          <c:extLst>
            <c:ext xmlns:c16="http://schemas.microsoft.com/office/drawing/2014/chart" uri="{C3380CC4-5D6E-409C-BE32-E72D297353CC}">
              <c16:uniqueId val="{00000000-6260-4104-B690-49E22B2A1A06}"/>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maximum!$I$16:$I$34</c:f>
              <c:numCache>
                <c:formatCode>0.00</c:formatCode>
                <c:ptCount val="19"/>
                <c:pt idx="0">
                  <c:v>0.83082339281428108</c:v>
                </c:pt>
                <c:pt idx="1">
                  <c:v>0.68949051743385015</c:v>
                </c:pt>
                <c:pt idx="2">
                  <c:v>0.5716502688678583</c:v>
                </c:pt>
                <c:pt idx="3">
                  <c:v>0.47358535008167174</c:v>
                </c:pt>
                <c:pt idx="4">
                  <c:v>0.39212754223489521</c:v>
                </c:pt>
                <c:pt idx="5">
                  <c:v>0.32458321314621252</c:v>
                </c:pt>
                <c:pt idx="6">
                  <c:v>0.26866796414317645</c:v>
                </c:pt>
                <c:pt idx="7">
                  <c:v>0.22244941848526206</c:v>
                </c:pt>
                <c:pt idx="8">
                  <c:v>0.18429724935831707</c:v>
                </c:pt>
                <c:pt idx="9">
                  <c:v>0.15283963257019725</c:v>
                </c:pt>
                <c:pt idx="10">
                  <c:v>0.12692538904468742</c:v>
                </c:pt>
                <c:pt idx="11">
                  <c:v>0.10559115550025971</c:v>
                </c:pt>
                <c:pt idx="12">
                  <c:v>8.8032988772032986E-2</c:v>
                </c:pt>
                <c:pt idx="13">
                  <c:v>7.3581870524566093E-2</c:v>
                </c:pt>
                <c:pt idx="14">
                  <c:v>6.1682635020793922E-2</c:v>
                </c:pt>
                <c:pt idx="15">
                  <c:v>5.1875893546325429E-2</c:v>
                </c:pt>
                <c:pt idx="16">
                  <c:v>4.3782575404159967E-2</c:v>
                </c:pt>
                <c:pt idx="17">
                  <c:v>3.7090747437125711E-2</c:v>
                </c:pt>
                <c:pt idx="18">
                  <c:v>3.154441212821342E-2</c:v>
                </c:pt>
              </c:numCache>
            </c:numRef>
          </c:val>
          <c:smooth val="0"/>
          <c:extLst>
            <c:ext xmlns:c16="http://schemas.microsoft.com/office/drawing/2014/chart" uri="{C3380CC4-5D6E-409C-BE32-E72D297353CC}">
              <c16:uniqueId val="{00000000-C1E5-44BC-87E2-1C2E78910FC7}"/>
            </c:ext>
          </c:extLst>
        </c:ser>
        <c:ser>
          <c:idx val="1"/>
          <c:order val="1"/>
          <c:spPr>
            <a:ln w="28575" cap="rnd">
              <a:solidFill>
                <a:schemeClr val="accent2"/>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C1E5-44BC-87E2-1C2E78910FC7}"/>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432228</xdr:colOff>
      <xdr:row>12</xdr:row>
      <xdr:rowOff>82761</xdr:rowOff>
    </xdr:from>
    <xdr:to>
      <xdr:col>29</xdr:col>
      <xdr:colOff>348184</xdr:colOff>
      <xdr:row>26</xdr:row>
      <xdr:rowOff>158961</xdr:rowOff>
    </xdr:to>
    <xdr:graphicFrame macro="">
      <xdr:nvGraphicFramePr>
        <xdr:cNvPr id="2" name="Chart 1">
          <a:extLst>
            <a:ext uri="{FF2B5EF4-FFF2-40B4-BE49-F238E27FC236}">
              <a16:creationId xmlns:a16="http://schemas.microsoft.com/office/drawing/2014/main" id="{1A012A93-FD8A-4CD0-B052-EA8203BFF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27</xdr:row>
      <xdr:rowOff>27212</xdr:rowOff>
    </xdr:from>
    <xdr:to>
      <xdr:col>29</xdr:col>
      <xdr:colOff>285750</xdr:colOff>
      <xdr:row>41</xdr:row>
      <xdr:rowOff>103412</xdr:rowOff>
    </xdr:to>
    <xdr:graphicFrame macro="">
      <xdr:nvGraphicFramePr>
        <xdr:cNvPr id="3" name="Chart 2">
          <a:extLst>
            <a:ext uri="{FF2B5EF4-FFF2-40B4-BE49-F238E27FC236}">
              <a16:creationId xmlns:a16="http://schemas.microsoft.com/office/drawing/2014/main" id="{E3BE920B-098D-4677-BC0E-7E67090E0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7B687276-4284-4339-B53A-A1340B5DD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A86E3D9F-9423-449C-8EE0-9A7D7E65A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C46BC5D9-2A76-4DB3-8A47-DB98A3BB4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7F94D93E-6C35-4BF1-A0A3-620BF26DB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eely, Ben [KDWP]" id="{A0D3DC66-78B1-4B25-9ECC-CFC2442D5680}" userId="S::ben.neely@kansas.gov::02a21eaf-56d1-4541-964a-c7464e98ed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0-02-21T15:38:25.53" personId="{A0D3DC66-78B1-4B25-9ECC-CFC2442D5680}" id="{7FF494BB-AC68-4AFC-A43E-221F4B721964}">
    <text>Use vB equation to predict expected TL at age. We can use whatever growth model best fits here (linear, Gompertz, double vB, etc). MILR BCF might need linear.</text>
  </threadedComment>
  <threadedComment ref="B4" dT="2020-02-21T15:30:15.83" personId="{A0D3DC66-78B1-4B25-9ECC-CFC2442D5680}" id="{5CD92D7D-1FB7-4505-83D3-FC9180E06203}">
    <text>Growth parameters from aged fish sample taken in XXXX from X Reservoir.</text>
  </threadedComment>
  <threadedComment ref="E4" dT="2020-02-21T15:50:50.16" personId="{A0D3DC66-78B1-4B25-9ECC-CFC2442D5680}" id="{276AAA3E-9704-4E12-A985-D883FA67F86D}">
    <text>Estimated weight (kg) at length for yield</text>
  </threadedComment>
  <threadedComment ref="D5" dT="2020-02-21T16:02:56.74" personId="{A0D3DC66-78B1-4B25-9ECC-CFC2442D5680}" id="{3A789A93-BEAD-4975-94D9-6EA4C6BDD56E}">
    <text>Relative fecundity at age. Using weight at age past maturity as surrogate for fecundity.</text>
  </threadedComment>
  <threadedComment ref="D6" dT="2020-02-21T17:19:37.38" personId="{A0D3DC66-78B1-4B25-9ECC-CFC2442D5680}" id="{DB3EB006-B808-4AD4-A356-C2A383021796}">
    <text>Expected survival of an unfished population. Referred to as a survivorship function.</text>
  </threadedComment>
  <threadedComment ref="D7" dT="2020-02-21T17:20:59.33" personId="{A0D3DC66-78B1-4B25-9ECC-CFC2442D5680}" id="{5FC8B044-8698-4E9E-AD08-F9FCD89124A4}">
    <text>Survivorship in a fished condition. Number (or proportion) alive at the beginning of age-x. Fish that survived age x-1</text>
  </threadedComment>
  <threadedComment ref="A8" dT="2020-02-21T15:46:34.33" personId="{A0D3DC66-78B1-4B25-9ECC-CFC2442D5680}" id="{D9D88F25-54B4-4F2D-A8EA-46E25C183EE9}">
    <text>Weight at length estimates</text>
  </threadedComment>
  <threadedComment ref="D8" dT="2020-02-21T17:42:09.15" personId="{A0D3DC66-78B1-4B25-9ECC-CFC2442D5680}" id="{2E486EE8-199C-4D73-9A49-5EB1EB69AB32}">
    <text>Vulnerability to the minimum length limit. Think about this as the proportion of fish at age-x that are vulnerable to harvest.</text>
  </threadedComment>
  <threadedComment ref="A11" dT="2020-02-21T16:00:49.24" personId="{A0D3DC66-78B1-4B25-9ECC-CFC2442D5680}" id="{AF4921BB-C1DA-4853-B9E1-81F2A7657D62}">
    <text>Weight at maturation. Assuming they mature at age-6 here so estimated weight at age-6. This will change by species/population.</text>
  </threadedComment>
  <threadedComment ref="A13" dT="2020-02-21T17:15:11.83" personId="{A0D3DC66-78B1-4B25-9ECC-CFC2442D5680}" id="{FA71F956-9F70-49BF-9F7F-D13D4DEF2153}">
    <text>Instantaneous natural annual mortality calculated with Jensen equation. There are tons of other equations that can be used to estimate natural annual mortality.</text>
  </threadedComment>
  <threadedComment ref="A14" dT="2020-02-21T17:16:04.30" personId="{A0D3DC66-78B1-4B25-9ECC-CFC2442D5680}" id="{D8BCCC60-631F-441B-8AE5-5AD67CD861C9}">
    <text>Finite survival from natural mortality.</text>
  </threadedComment>
  <threadedComment ref="A15" dT="2020-02-21T17:18:11.90" personId="{A0D3DC66-78B1-4B25-9ECC-CFC2442D5680}" id="{EE6D6129-05C1-4B37-AF46-BCCAFCF2B37B}">
    <text>Annual exploitation rate</text>
  </threadedComment>
  <threadedComment ref="E15" dT="2020-02-21T20:15:06.01" personId="{A0D3DC66-78B1-4B25-9ECC-CFC2442D5680}" id="{F3B4C130-A427-4833-85B5-2A1C5D67CB1D}">
    <text>Data -&gt; What-if analysis -&gt; Data table. Identify the column variable as u (cell B15 here). This calculates YPR at each value of u</text>
  </threadedComment>
  <threadedComment ref="H15" dT="2020-02-21T20:15:06.01" personId="{A0D3DC66-78B1-4B25-9ECC-CFC2442D5680}" id="{E8171DF7-0DD8-4999-80B5-2EAEC4D5F13D}">
    <text>Data -&gt; What-if analysis -&gt; Data table. Identify the column variable as u (cell B15 here). This calculates YPR at each value of u</text>
  </threadedComment>
  <threadedComment ref="F16" dT="2020-02-21T20:13:14.83" personId="{A0D3DC66-78B1-4B25-9ECC-CFC2442D5680}" id="{7DDF4832-82F0-4F53-9F45-6DD834999D34}">
    <text>This is just YPR</text>
  </threadedComment>
  <threadedComment ref="I16" dT="2020-02-21T20:13:14.83" personId="{A0D3DC66-78B1-4B25-9ECC-CFC2442D5680}" id="{2DCF3B11-2E66-4618-832C-C548687C79B5}">
    <text>This is just SPR</text>
  </threadedComment>
  <threadedComment ref="A17" dT="2020-02-21T21:04:59.12" personId="{A0D3DC66-78B1-4B25-9ECC-CFC2442D5680}" id="{DF5B8495-8433-44C2-B953-F0E2BFF8624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332C693D-CFDA-469F-8774-E57305124AB5}">
    <text>Simulate minimum length limit in millimeters. This can also be used as the lower side of a slot.</text>
  </threadedComment>
  <threadedComment ref="A23" dT="2020-02-21T19:47:25.13" personId="{A0D3DC66-78B1-4B25-9ECC-CFC2442D5680}" id="{D35016E3-C37C-4A14-9706-9FCCD38758B0}">
    <text>Vulnerable biomass per recruit in the fished condition. The recruit has amassed this much harvestable biomass through its life.</text>
  </threadedComment>
  <threadedComment ref="A25" dT="2020-02-21T20:28:41.24" personId="{A0D3DC66-78B1-4B25-9ECC-CFC2442D5680}" id="{6D2978D9-AC9E-4C47-82BE-33F919E41548}">
    <text>Spawning portential ratio -- eggs per recruit in the fished condidtion relative to unfished</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0-02-21T15:38:25.53" personId="{A0D3DC66-78B1-4B25-9ECC-CFC2442D5680}" id="{EF3385E0-B5CC-44C9-A19B-978C48996DE8}">
    <text>Use vB equation to predict expected TL at age. We can use whatever growth model best fits here (linear, Gompertz, double vB, etc). MILR BCF might need linear.</text>
  </threadedComment>
  <threadedComment ref="B4" dT="2020-02-21T15:30:15.83" personId="{A0D3DC66-78B1-4B25-9ECC-CFC2442D5680}" id="{B891E5A3-A18B-4D27-8957-219E274096AB}">
    <text>Growth parameters from aged fish sample taken in XXXX from X Reservoir.</text>
  </threadedComment>
  <threadedComment ref="E4" dT="2020-02-21T15:50:50.16" personId="{A0D3DC66-78B1-4B25-9ECC-CFC2442D5680}" id="{E5D9B3C2-CF3C-4855-9E68-840D4FF2B0FD}">
    <text>Estimated weight (kg) at length for yield</text>
  </threadedComment>
  <threadedComment ref="D5" dT="2020-02-21T16:02:56.74" personId="{A0D3DC66-78B1-4B25-9ECC-CFC2442D5680}" id="{D9269D75-D9F5-4E9D-B3EA-01D596C346C4}">
    <text>Relative fecundity at age. Using weight at age past maturity as surrogate for fecundity.</text>
  </threadedComment>
  <threadedComment ref="D6" dT="2020-02-21T17:19:37.38" personId="{A0D3DC66-78B1-4B25-9ECC-CFC2442D5680}" id="{2B33C32D-5082-4EB1-9EF5-58AC4E812FB7}">
    <text>Expected survival of an unfished population. Referred to as a survivorship function.</text>
  </threadedComment>
  <threadedComment ref="D7" dT="2020-02-21T17:20:59.33" personId="{A0D3DC66-78B1-4B25-9ECC-CFC2442D5680}" id="{438A3699-EE21-4616-982A-FB3709B2EB27}">
    <text>Survivorship in a fished condition. Number (or proportion) alive at the beginning of age-x. Fish that survived age x-1</text>
  </threadedComment>
  <threadedComment ref="A8" dT="2020-02-21T15:46:34.33" personId="{A0D3DC66-78B1-4B25-9ECC-CFC2442D5680}" id="{3098B624-9F15-4684-94C3-3344C41A7273}">
    <text>Weight at length estimates</text>
  </threadedComment>
  <threadedComment ref="D8" dT="2020-02-21T17:42:09.15" personId="{A0D3DC66-78B1-4B25-9ECC-CFC2442D5680}" id="{5834178F-85C8-4BCC-BF9D-A87E71D6B677}">
    <text>Vulnerability to the minimum length limit. Think about this as the proportion of fish at age-x that are vulnerable to harvest.</text>
  </threadedComment>
  <threadedComment ref="D9" dT="2020-02-21T21:14:20.74" personId="{A0D3DC66-78B1-4B25-9ECC-CFC2442D5680}" id="{E39A8E8C-F3EB-4D34-A886-6BAF20393C42}">
    <text>Vulnerability to the maximum length limit. Think about this as the proportion of fish at age-x that are vulnerable to harvest.</text>
  </threadedComment>
  <threadedComment ref="D10" dT="2020-02-21T21:14:44.06" personId="{A0D3DC66-78B1-4B25-9ECC-CFC2442D5680}" id="{A4F502A4-AF20-4FB2-AFEA-48C2F152C681}">
    <text>Vulnerability to a protected slot length limit. Think about this as the proportion of fish at age-x that are vulnerable to harvest.</text>
  </threadedComment>
  <threadedComment ref="A11" dT="2020-02-21T16:00:49.24" personId="{A0D3DC66-78B1-4B25-9ECC-CFC2442D5680}" id="{AB347FAD-10BF-43E8-8738-AD720CAA64D2}">
    <text>Weight at maturation. Assuming they mature at age-6 here so estimated weight at age-6. This will change by species/population.</text>
  </threadedComment>
  <threadedComment ref="A13" dT="2020-02-21T17:15:11.83" personId="{A0D3DC66-78B1-4B25-9ECC-CFC2442D5680}" id="{CC3AE2DB-66C1-4437-91AC-1E0E1E5BE44D}">
    <text>Instantaneous natural annual mortality calculated with Jensen equation. There are tons of other equations that can be used to estimate natural annual mortality.</text>
  </threadedComment>
  <threadedComment ref="A14" dT="2020-02-21T17:16:04.30" personId="{A0D3DC66-78B1-4B25-9ECC-CFC2442D5680}" id="{7CEB5DAC-610D-4415-901E-D247D8E26247}">
    <text>Finite survival from natural mortality.</text>
  </threadedComment>
  <threadedComment ref="E14" dT="2020-02-21T20:15:06.01" personId="{A0D3DC66-78B1-4B25-9ECC-CFC2442D5680}" id="{194886E7-ABDA-4CC9-8B6E-B3101E7A6D7C}">
    <text>Data -&gt; What-if analysis -&gt; Data table. Identify the column variable as u (cell B15 here). This calculates YPR at each value of u</text>
  </threadedComment>
  <threadedComment ref="H14" dT="2020-02-21T20:15:06.01" personId="{A0D3DC66-78B1-4B25-9ECC-CFC2442D5680}" id="{DF203195-17B5-4F60-9C9D-2C33067762B6}">
    <text>Data -&gt; What-if analysis -&gt; Data table. Identify the column variable as u (cell B15 here). This calculates YPR at each value of u</text>
  </threadedComment>
  <threadedComment ref="A15" dT="2020-02-21T17:18:11.90" personId="{A0D3DC66-78B1-4B25-9ECC-CFC2442D5680}" id="{E019479A-D304-47D8-BA7C-612933D80FB9}">
    <text>Annual exploitation rate</text>
  </threadedComment>
  <threadedComment ref="F15" dT="2020-02-21T20:13:14.83" personId="{A0D3DC66-78B1-4B25-9ECC-CFC2442D5680}" id="{E64EF811-38E0-4B1F-B85C-A94AF5E166B7}">
    <text>This is just YPR</text>
  </threadedComment>
  <threadedComment ref="I15" dT="2020-02-21T20:13:14.83" personId="{A0D3DC66-78B1-4B25-9ECC-CFC2442D5680}" id="{891A0B2A-4EC7-4085-908E-283661154FC0}">
    <text>This is just SPR</text>
  </threadedComment>
  <threadedComment ref="A17" dT="2020-02-21T21:04:59.12" personId="{A0D3DC66-78B1-4B25-9ECC-CFC2442D5680}" id="{1A604A60-0BF8-415C-B79E-223F8085F2F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0DE0A42A-FB3B-4156-B225-D9BE0DE8E1AF}">
    <text>Simulate minimum length limit in millimeters. This can also be used as the lower side of a slot.</text>
  </threadedComment>
  <threadedComment ref="A19" dT="2020-02-21T21:25:14.67" personId="{A0D3DC66-78B1-4B25-9ECC-CFC2442D5680}" id="{967E8766-A9DF-40BD-AD0E-4F1BE43C33F7}">
    <text>This can be used as a maximum length limit or as the upper end of a slot length limit.</text>
  </threadedComment>
  <threadedComment ref="A20" dT="2020-02-21T17:39:28.60" personId="{A0D3DC66-78B1-4B25-9ECC-CFC2442D5680}" id="{5A990110-0D9F-40C1-8006-2F94E5176BB4}">
    <text>Standard deviation used for length limit modeling. This is used in conjunction with mean length at age, not the SD around the MLL. Best practice is to use standard deviation from growth model.</text>
  </threadedComment>
</ThreadedComments>
</file>

<file path=xl/threadedComments/threadedComment3.xml><?xml version="1.0" encoding="utf-8"?>
<ThreadedComments xmlns="http://schemas.microsoft.com/office/spreadsheetml/2018/threadedcomments" xmlns:x="http://schemas.openxmlformats.org/spreadsheetml/2006/main">
  <threadedComment ref="E3" dT="2020-02-21T15:38:25.53" personId="{A0D3DC66-78B1-4B25-9ECC-CFC2442D5680}" id="{97CB868F-791C-4B06-87A5-4275E9F4121A}">
    <text>Use vB equation to predict expected TL at age. We can use whatever growth model best fits here (linear, Gompertz, double vB, etc). MILR BCF might need linear.</text>
  </threadedComment>
  <threadedComment ref="B4" dT="2020-02-21T15:30:15.83" personId="{A0D3DC66-78B1-4B25-9ECC-CFC2442D5680}" id="{230BCA66-6053-4937-957F-30B6D4E0BDD9}">
    <text>Growth parameters from aged fish sample taken in XXXX from X Reservoir.</text>
  </threadedComment>
  <threadedComment ref="E4" dT="2020-02-21T15:50:50.16" personId="{A0D3DC66-78B1-4B25-9ECC-CFC2442D5680}" id="{9A9FCBC1-62E3-4723-9929-79A3CBAFF01F}">
    <text>Estimated weight (kg) at length for yield</text>
  </threadedComment>
  <threadedComment ref="D5" dT="2020-02-21T16:02:56.74" personId="{A0D3DC66-78B1-4B25-9ECC-CFC2442D5680}" id="{2424BCEB-5A6B-4E48-A5F2-390BD87C626D}">
    <text>Relative fecundity at age. Using weight at age past maturity as surrogate for fecundity.</text>
  </threadedComment>
  <threadedComment ref="D6" dT="2020-02-21T17:19:37.38" personId="{A0D3DC66-78B1-4B25-9ECC-CFC2442D5680}" id="{B0A5DE79-099A-4F01-AE34-D20786A165C5}">
    <text>Expected survival of an unfished population. Referred to as a survivorship function.</text>
  </threadedComment>
  <threadedComment ref="D7" dT="2020-02-21T17:20:59.33" personId="{A0D3DC66-78B1-4B25-9ECC-CFC2442D5680}" id="{D9C9904B-93BB-4236-BDB3-D00E3A5F6670}">
    <text>Survivorship in a fished condition. Number (or proportion) alive at the beginning of age-x. Fish that survived age x-1</text>
  </threadedComment>
  <threadedComment ref="A8" dT="2020-02-21T15:46:34.33" personId="{A0D3DC66-78B1-4B25-9ECC-CFC2442D5680}" id="{22149163-EB23-41DB-B3EE-FB9373C9E49A}">
    <text>Weight at length estimates</text>
  </threadedComment>
  <threadedComment ref="D8" dT="2020-02-21T17:42:09.15" personId="{A0D3DC66-78B1-4B25-9ECC-CFC2442D5680}" id="{13C49DC7-9F31-4B7C-A208-41BE188C419A}">
    <text>Vulnerability to the minimum length limit. Think about this as the proportion of fish at age-x that are vulnerable to harvest.</text>
  </threadedComment>
  <threadedComment ref="D9" dT="2020-02-21T21:14:20.74" personId="{A0D3DC66-78B1-4B25-9ECC-CFC2442D5680}" id="{18D22DDD-2588-4ABC-A170-DEF01D901F1E}">
    <text>Vulnerability to the maximum length limit. Think about this as the proportion of fish at age-x that are vulnerable to harvest.</text>
  </threadedComment>
  <threadedComment ref="D10" dT="2020-02-21T21:14:44.06" personId="{A0D3DC66-78B1-4B25-9ECC-CFC2442D5680}" id="{BBAE738B-FA05-4264-BFBF-2304D77A4752}">
    <text>Vulnerability to a protected slot length limit. Think about this as the proportion of fish at age-x that are vulnerable to harvest.</text>
  </threadedComment>
  <threadedComment ref="A11" dT="2020-02-21T16:00:49.24" personId="{A0D3DC66-78B1-4B25-9ECC-CFC2442D5680}" id="{AC00FF71-34F7-4941-8A2E-A924A9E54BBE}">
    <text>Weight at maturation. Assuming they mature at age-6 here so estimated weight at age-6. This will change by species/population.</text>
  </threadedComment>
  <threadedComment ref="A13" dT="2020-02-21T17:15:11.83" personId="{A0D3DC66-78B1-4B25-9ECC-CFC2442D5680}" id="{31074EE1-5BAE-48F1-88DB-A017C743D74B}">
    <text>Instantaneous natural annual mortality calculated with Jensen equation. There are tons of other equations that can be used to estimate natural annual mortality.</text>
  </threadedComment>
  <threadedComment ref="A14" dT="2020-02-21T17:16:04.30" personId="{A0D3DC66-78B1-4B25-9ECC-CFC2442D5680}" id="{0D28624B-6C8E-4EEA-A2EA-AA9B2B6E88CF}">
    <text>Finite survival from natural mortality.</text>
  </threadedComment>
  <threadedComment ref="E14" dT="2020-02-21T20:15:06.01" personId="{A0D3DC66-78B1-4B25-9ECC-CFC2442D5680}" id="{77DFAEDF-2F92-4B90-B7C3-915343AA14F5}">
    <text>Data -&gt; What-if analysis -&gt; Data table. Identify the column variable as u (cell B15 here). This calculates YPR at each value of u</text>
  </threadedComment>
  <threadedComment ref="H14" dT="2020-02-21T20:15:06.01" personId="{A0D3DC66-78B1-4B25-9ECC-CFC2442D5680}" id="{5C1234BE-80C9-44BD-8ABA-5E3B7C7EA607}">
    <text>Data -&gt; What-if analysis -&gt; Data table. Identify the column variable as u (cell B15 here). This calculates YPR at each value of u</text>
  </threadedComment>
  <threadedComment ref="A15" dT="2020-02-21T17:18:11.90" personId="{A0D3DC66-78B1-4B25-9ECC-CFC2442D5680}" id="{057412C8-FEDC-4E09-9B7D-942C4E9A05AA}">
    <text>Annual exploitation rate</text>
  </threadedComment>
  <threadedComment ref="F15" dT="2020-02-21T20:13:14.83" personId="{A0D3DC66-78B1-4B25-9ECC-CFC2442D5680}" id="{D5F0C9EB-A93D-4EE3-93A3-27BF0710B7BA}">
    <text>This is just YPR</text>
  </threadedComment>
  <threadedComment ref="I15" dT="2020-02-21T20:13:14.83" personId="{A0D3DC66-78B1-4B25-9ECC-CFC2442D5680}" id="{B39E4087-6D8B-416A-B84C-A262722425C0}">
    <text>This is just SPR</text>
  </threadedComment>
  <threadedComment ref="A17" dT="2020-02-21T21:04:59.12" personId="{A0D3DC66-78B1-4B25-9ECC-CFC2442D5680}" id="{C6605091-7567-48F6-85E4-C99794B7B4C9}">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D92CDD4C-1BEF-4369-9D4E-26B1E3BA0A51}">
    <text>Simulate minimum length limit in millimeters. This can also be used as the lower side of a slot.</text>
  </threadedComment>
  <threadedComment ref="A19" dT="2020-02-21T21:25:14.67" personId="{A0D3DC66-78B1-4B25-9ECC-CFC2442D5680}" id="{C1F1F1B4-E72B-49F2-B0E1-0F75ED04DCF1}">
    <text>This can be used as a maximum length limit or as the upper end of a slot length limit.</text>
  </threadedComment>
  <threadedComment ref="A20" dT="2020-02-21T17:39:28.60" personId="{A0D3DC66-78B1-4B25-9ECC-CFC2442D5680}" id="{56D2A3E9-BD61-40E8-B163-729B66E85AF4}">
    <text>Standard deviation used for length limit modeling. This is used in conjunction with mean length at age, not the SD around the MLL. Best practice is to use standard deviation from growth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D17A-18F5-4642-97DD-08A1022CCE8B}">
  <dimension ref="A2:AC35"/>
  <sheetViews>
    <sheetView zoomScale="70" zoomScaleNormal="70" workbookViewId="0">
      <selection activeCell="K5" sqref="K5"/>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6.425781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169.29800490703303</v>
      </c>
      <c r="F3" s="4">
        <f t="shared" si="0"/>
        <v>229.45732003442004</v>
      </c>
      <c r="G3" s="4">
        <f t="shared" si="0"/>
        <v>286.00003080372352</v>
      </c>
      <c r="H3" s="4">
        <f t="shared" si="0"/>
        <v>339.14355702856994</v>
      </c>
      <c r="I3" s="4">
        <f t="shared" si="0"/>
        <v>389.09224787103653</v>
      </c>
      <c r="J3" s="4">
        <f t="shared" si="0"/>
        <v>436.03816761148977</v>
      </c>
      <c r="K3" s="4">
        <f t="shared" si="0"/>
        <v>480.16183418020961</v>
      </c>
      <c r="L3" s="4">
        <f t="shared" si="0"/>
        <v>521.63291329062554</v>
      </c>
      <c r="M3" s="4">
        <f t="shared" si="0"/>
        <v>560.61087084326493</v>
      </c>
      <c r="N3" s="4">
        <f t="shared" si="0"/>
        <v>597.24558610906013</v>
      </c>
      <c r="O3" s="4">
        <f t="shared" si="0"/>
        <v>631.67792804984515</v>
      </c>
      <c r="P3" s="4">
        <f t="shared" si="0"/>
        <v>664.04029699212811</v>
      </c>
      <c r="Q3" s="4">
        <f t="shared" si="0"/>
        <v>694.45713373699937</v>
      </c>
      <c r="R3" s="4">
        <f t="shared" si="0"/>
        <v>723.04539806382229</v>
      </c>
      <c r="S3" s="4">
        <f t="shared" si="0"/>
        <v>749.91501846766334</v>
      </c>
      <c r="T3" s="4">
        <f t="shared" si="0"/>
        <v>775.16931485980615</v>
      </c>
      <c r="U3" s="4">
        <f t="shared" si="0"/>
        <v>798.90539585673105</v>
      </c>
      <c r="V3" s="4">
        <f t="shared" si="0"/>
        <v>821.21453218522799</v>
      </c>
      <c r="W3" s="4">
        <f t="shared" si="0"/>
        <v>842.18250763947162</v>
      </c>
      <c r="X3" s="4">
        <f t="shared" si="0"/>
        <v>861.8899489395709</v>
      </c>
      <c r="Y3" s="4">
        <f t="shared" si="0"/>
        <v>880.41263575997402</v>
      </c>
      <c r="Z3" s="4">
        <f t="shared" si="0"/>
        <v>897.82179211986181</v>
      </c>
      <c r="AA3" s="4">
        <f t="shared" si="0"/>
        <v>914.18436025599078</v>
      </c>
      <c r="AB3" s="4">
        <f t="shared" si="0"/>
        <v>929.56325803109132</v>
      </c>
      <c r="AC3" s="4">
        <f t="shared" si="0"/>
        <v>944.01762086761778</v>
      </c>
    </row>
    <row r="4" spans="1:29" x14ac:dyDescent="0.25">
      <c r="A4" t="s">
        <v>3</v>
      </c>
      <c r="B4" s="5">
        <v>1170</v>
      </c>
      <c r="D4" t="s">
        <v>8</v>
      </c>
      <c r="E4" s="3">
        <f t="shared" ref="E4:AC4" si="1">(a_wl*E3^b_wl)/1000</f>
        <v>2.4598150122807517E-2</v>
      </c>
      <c r="F4" s="3">
        <f t="shared" si="1"/>
        <v>7.1492783356680953E-2</v>
      </c>
      <c r="G4" s="3">
        <f t="shared" si="1"/>
        <v>0.15486200700566286</v>
      </c>
      <c r="H4" s="3">
        <f t="shared" si="1"/>
        <v>0.2816242438140879</v>
      </c>
      <c r="I4" s="3">
        <f t="shared" si="1"/>
        <v>0.45608605656118839</v>
      </c>
      <c r="J4" s="3">
        <f t="shared" si="1"/>
        <v>0.6802088929234229</v>
      </c>
      <c r="K4" s="3">
        <f t="shared" si="1"/>
        <v>0.95397891683095382</v>
      </c>
      <c r="L4" s="3">
        <f t="shared" si="1"/>
        <v>1.2757988764078561</v>
      </c>
      <c r="M4" s="3">
        <f t="shared" si="1"/>
        <v>1.6428609095577902</v>
      </c>
      <c r="N4" s="3">
        <f t="shared" si="1"/>
        <v>2.0514805926135318</v>
      </c>
      <c r="O4" s="3">
        <f t="shared" si="1"/>
        <v>2.4973844539216219</v>
      </c>
      <c r="P4" s="3">
        <f t="shared" si="1"/>
        <v>2.9759498414550034</v>
      </c>
      <c r="Q4" s="3">
        <f t="shared" si="1"/>
        <v>3.4823996614268307</v>
      </c>
      <c r="R4" s="3">
        <f t="shared" si="1"/>
        <v>4.0119563316261733</v>
      </c>
      <c r="S4" s="3">
        <f t="shared" si="1"/>
        <v>4.5599600467163359</v>
      </c>
      <c r="T4" s="3">
        <f t="shared" si="1"/>
        <v>5.1219565744127591</v>
      </c>
      <c r="U4" s="3">
        <f t="shared" si="1"/>
        <v>5.6937595637896132</v>
      </c>
      <c r="V4" s="3">
        <f t="shared" si="1"/>
        <v>6.271491919373231</v>
      </c>
      <c r="W4" s="3">
        <f t="shared" si="1"/>
        <v>6.8516102821273996</v>
      </c>
      <c r="X4" s="3">
        <f t="shared" si="1"/>
        <v>7.4309161249397606</v>
      </c>
      <c r="Y4" s="3">
        <f t="shared" si="1"/>
        <v>8.0065564535726779</v>
      </c>
      <c r="Z4" s="3">
        <f t="shared" si="1"/>
        <v>8.5760166252307855</v>
      </c>
      <c r="AA4" s="3">
        <f t="shared" si="1"/>
        <v>9.1371073661848392</v>
      </c>
      <c r="AB4" s="3">
        <f t="shared" si="1"/>
        <v>9.6879476908226412</v>
      </c>
      <c r="AC4" s="3">
        <f t="shared" si="1"/>
        <v>10.226945096511619</v>
      </c>
    </row>
    <row r="5" spans="1:29" x14ac:dyDescent="0.25">
      <c r="A5" t="s">
        <v>4</v>
      </c>
      <c r="B5" s="5">
        <v>6.2E-2</v>
      </c>
      <c r="D5" t="s">
        <v>10</v>
      </c>
      <c r="E5" s="3">
        <f t="shared" ref="E5:AC5" si="2">MAX(0,E4-wmat)</f>
        <v>0</v>
      </c>
      <c r="F5" s="3">
        <f t="shared" si="2"/>
        <v>0</v>
      </c>
      <c r="G5" s="3">
        <f t="shared" si="2"/>
        <v>0</v>
      </c>
      <c r="H5" s="3">
        <f t="shared" si="2"/>
        <v>0</v>
      </c>
      <c r="I5" s="3">
        <f t="shared" si="2"/>
        <v>0</v>
      </c>
      <c r="J5" s="3">
        <f t="shared" si="2"/>
        <v>0</v>
      </c>
      <c r="K5" s="3">
        <f t="shared" si="2"/>
        <v>0.27377002390753091</v>
      </c>
      <c r="L5" s="3">
        <f t="shared" si="2"/>
        <v>0.59558998348443315</v>
      </c>
      <c r="M5" s="3">
        <f t="shared" si="2"/>
        <v>0.96265201663436728</v>
      </c>
      <c r="N5" s="3">
        <f t="shared" si="2"/>
        <v>1.3712716996901089</v>
      </c>
      <c r="O5" s="3">
        <f t="shared" si="2"/>
        <v>1.817175560998199</v>
      </c>
      <c r="P5" s="3">
        <f t="shared" si="2"/>
        <v>2.2957409485315807</v>
      </c>
      <c r="Q5" s="3">
        <f t="shared" si="2"/>
        <v>2.802190768503408</v>
      </c>
      <c r="R5" s="3">
        <f t="shared" si="2"/>
        <v>3.3317474387027506</v>
      </c>
      <c r="S5" s="3">
        <f t="shared" si="2"/>
        <v>3.8797511537929132</v>
      </c>
      <c r="T5" s="3">
        <f t="shared" si="2"/>
        <v>4.4417476814893364</v>
      </c>
      <c r="U5" s="3">
        <f t="shared" si="2"/>
        <v>5.0135506708661906</v>
      </c>
      <c r="V5" s="3">
        <f t="shared" si="2"/>
        <v>5.5912830264498083</v>
      </c>
      <c r="W5" s="3">
        <f t="shared" si="2"/>
        <v>6.171401389203977</v>
      </c>
      <c r="X5" s="3">
        <f t="shared" si="2"/>
        <v>6.7507072320163379</v>
      </c>
      <c r="Y5" s="3">
        <f t="shared" si="2"/>
        <v>7.3263475606492552</v>
      </c>
      <c r="Z5" s="3">
        <f t="shared" si="2"/>
        <v>7.8958077323073628</v>
      </c>
      <c r="AA5" s="3">
        <f t="shared" si="2"/>
        <v>8.4568984732614165</v>
      </c>
      <c r="AB5" s="3">
        <f t="shared" si="2"/>
        <v>9.0077387978992185</v>
      </c>
      <c r="AC5" s="3">
        <f t="shared" si="2"/>
        <v>9.5467362035881962</v>
      </c>
    </row>
    <row r="6" spans="1:29" x14ac:dyDescent="0.25">
      <c r="A6" t="s">
        <v>5</v>
      </c>
      <c r="B6" s="5">
        <v>-1.5209999999999999</v>
      </c>
      <c r="D6" t="s">
        <v>14</v>
      </c>
      <c r="E6" s="6">
        <v>1</v>
      </c>
      <c r="F6" s="3">
        <f t="shared" ref="F6:AC6" si="3">E6*So</f>
        <v>0.91119350029614055</v>
      </c>
      <c r="G6" s="3">
        <f t="shared" si="3"/>
        <v>0.83027359498193265</v>
      </c>
      <c r="H6" s="3">
        <f t="shared" si="3"/>
        <v>0.75653990321504727</v>
      </c>
      <c r="I6" s="3">
        <f t="shared" si="3"/>
        <v>0.68935424252422228</v>
      </c>
      <c r="J6" s="3">
        <f t="shared" si="3"/>
        <v>0.62813510518964066</v>
      </c>
      <c r="K6" s="3">
        <f t="shared" si="3"/>
        <v>0.5723526251566331</v>
      </c>
      <c r="L6" s="3">
        <f t="shared" si="3"/>
        <v>0.52152399192015741</v>
      </c>
      <c r="M6" s="3">
        <f t="shared" si="3"/>
        <v>0.47520927168614435</v>
      </c>
      <c r="N6" s="3">
        <f t="shared" si="3"/>
        <v>0.43300759964087748</v>
      </c>
      <c r="O6" s="3">
        <f t="shared" si="3"/>
        <v>0.39455371037160103</v>
      </c>
      <c r="P6" s="3">
        <f t="shared" si="3"/>
        <v>0.3595147764083288</v>
      </c>
      <c r="Q6" s="3">
        <f t="shared" si="3"/>
        <v>0.32758752752368947</v>
      </c>
      <c r="R6" s="3">
        <f t="shared" si="3"/>
        <v>0.29849562585766887</v>
      </c>
      <c r="S6" s="3">
        <f t="shared" si="3"/>
        <v>0.27198727414833646</v>
      </c>
      <c r="T6" s="3">
        <f t="shared" si="3"/>
        <v>0.24783303636722867</v>
      </c>
      <c r="U6" s="3">
        <f t="shared" si="3"/>
        <v>0.22582385189647577</v>
      </c>
      <c r="V6" s="3">
        <f t="shared" si="3"/>
        <v>0.205769226059907</v>
      </c>
      <c r="W6" s="3">
        <f t="shared" si="3"/>
        <v>0.18749558134675448</v>
      </c>
      <c r="X6" s="3">
        <f t="shared" si="3"/>
        <v>0.17084475505740898</v>
      </c>
      <c r="Y6" s="3">
        <f t="shared" si="3"/>
        <v>0.15567263036799725</v>
      </c>
      <c r="Z6" s="3">
        <f t="shared" si="3"/>
        <v>0.14184788896532269</v>
      </c>
      <c r="AA6" s="3">
        <f t="shared" si="3"/>
        <v>0.12925087445593067</v>
      </c>
      <c r="AB6" s="3">
        <f t="shared" si="3"/>
        <v>0.11777255671183649</v>
      </c>
      <c r="AC6" s="3">
        <f t="shared" si="3"/>
        <v>0.10731358818908401</v>
      </c>
    </row>
    <row r="7" spans="1:29" x14ac:dyDescent="0.25">
      <c r="D7" t="s">
        <v>15</v>
      </c>
      <c r="E7" s="6">
        <v>1</v>
      </c>
      <c r="F7" s="3">
        <f t="shared" ref="F7:AC7" si="4">E7*So*(1-u*E8)</f>
        <v>0.91119349914289527</v>
      </c>
      <c r="G7" s="3">
        <f t="shared" si="4"/>
        <v>0.83027082735907554</v>
      </c>
      <c r="H7" s="3">
        <f t="shared" si="4"/>
        <v>0.75606759590565586</v>
      </c>
      <c r="I7" s="3">
        <f t="shared" si="4"/>
        <v>0.67959979459877451</v>
      </c>
      <c r="J7" s="3">
        <f t="shared" si="4"/>
        <v>0.58306317049584133</v>
      </c>
      <c r="K7" s="3">
        <f t="shared" si="4"/>
        <v>0.48207358921067178</v>
      </c>
      <c r="L7" s="3">
        <f t="shared" si="4"/>
        <v>0.39553522603816149</v>
      </c>
      <c r="M7" s="3">
        <f t="shared" si="4"/>
        <v>0.32437208635560338</v>
      </c>
      <c r="N7" s="3">
        <f t="shared" si="4"/>
        <v>0.26600919682830504</v>
      </c>
      <c r="O7" s="3">
        <f t="shared" si="4"/>
        <v>0.21814726620541025</v>
      </c>
      <c r="P7" s="3">
        <f t="shared" si="4"/>
        <v>0.17889693396678516</v>
      </c>
      <c r="Q7" s="3">
        <f t="shared" si="4"/>
        <v>0.14670875110809903</v>
      </c>
      <c r="R7" s="3">
        <f t="shared" si="4"/>
        <v>0.12031205440163764</v>
      </c>
      <c r="S7" s="3">
        <f t="shared" si="4"/>
        <v>9.8664805780243101E-2</v>
      </c>
      <c r="T7" s="3">
        <f t="shared" si="4"/>
        <v>8.0912456761444734E-2</v>
      </c>
      <c r="U7" s="3">
        <f t="shared" si="4"/>
        <v>6.635421422461886E-2</v>
      </c>
      <c r="V7" s="3">
        <f t="shared" si="4"/>
        <v>5.4415375846857378E-2</v>
      </c>
      <c r="W7" s="3">
        <f t="shared" si="4"/>
        <v>4.4624643109045237E-2</v>
      </c>
      <c r="X7" s="3">
        <f t="shared" si="4"/>
        <v>3.6595516278597286E-2</v>
      </c>
      <c r="Y7" s="3">
        <f t="shared" si="4"/>
        <v>3.001103691573551E-2</v>
      </c>
      <c r="Z7" s="3">
        <f t="shared" si="4"/>
        <v>2.4611275597289158E-2</v>
      </c>
      <c r="AA7" s="3">
        <f t="shared" si="4"/>
        <v>2.0183070922422205E-2</v>
      </c>
      <c r="AB7" s="3">
        <f t="shared" si="4"/>
        <v>1.6551614736474429E-2</v>
      </c>
      <c r="AC7" s="3">
        <f t="shared" si="4"/>
        <v>1.3573551390553185E-2</v>
      </c>
    </row>
    <row r="8" spans="1:29" x14ac:dyDescent="0.25">
      <c r="A8" t="s">
        <v>6</v>
      </c>
      <c r="B8" s="5">
        <f>10^-6.42937</f>
        <v>3.7207457983382173E-7</v>
      </c>
      <c r="D8" t="s">
        <v>18</v>
      </c>
      <c r="E8" s="2">
        <f t="shared" ref="E8:AC8" si="5">_xlfn.NORM.DIST(E3,Min_LL,min_sd,TRUE)</f>
        <v>1.2656425680520308E-8</v>
      </c>
      <c r="F8" s="2">
        <f t="shared" si="5"/>
        <v>3.3321209391857777E-5</v>
      </c>
      <c r="G8" s="2">
        <f t="shared" si="5"/>
        <v>6.2096795346569065E-3</v>
      </c>
      <c r="H8" s="2">
        <f t="shared" si="5"/>
        <v>0.13534274042250488</v>
      </c>
      <c r="I8" s="2">
        <f t="shared" si="5"/>
        <v>0.58431853645487553</v>
      </c>
      <c r="J8" s="2">
        <f t="shared" si="5"/>
        <v>0.92624359566147796</v>
      </c>
      <c r="K8" s="2">
        <f t="shared" si="5"/>
        <v>0.99546655857569388</v>
      </c>
      <c r="L8" s="2">
        <f t="shared" si="5"/>
        <v>0.99989256759642364</v>
      </c>
      <c r="M8" s="2">
        <f t="shared" si="5"/>
        <v>0.9999988584585735</v>
      </c>
      <c r="N8" s="2">
        <f t="shared" si="5"/>
        <v>0.99999999367303016</v>
      </c>
      <c r="O8" s="2">
        <f t="shared" si="5"/>
        <v>0.99999999997899192</v>
      </c>
      <c r="P8" s="2">
        <f t="shared" si="5"/>
        <v>0.99999999999995282</v>
      </c>
      <c r="Q8" s="2">
        <f t="shared" si="5"/>
        <v>0.99999999999999989</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7</v>
      </c>
      <c r="B9" s="5">
        <v>3.5089700000000001</v>
      </c>
      <c r="E9" s="2"/>
      <c r="F9" s="2"/>
      <c r="G9" s="2"/>
      <c r="H9" s="2"/>
      <c r="I9" s="2"/>
      <c r="J9" s="2"/>
      <c r="K9" s="2"/>
      <c r="L9" s="2"/>
      <c r="M9" s="2"/>
      <c r="N9" s="2"/>
      <c r="O9" s="2"/>
      <c r="P9" s="2"/>
      <c r="Q9" s="2"/>
      <c r="R9" s="2"/>
      <c r="S9" s="2"/>
      <c r="T9" s="2"/>
      <c r="U9" s="2"/>
      <c r="V9" s="2"/>
      <c r="W9" s="2"/>
      <c r="X9" s="2"/>
      <c r="Y9" s="2"/>
      <c r="Z9" s="2"/>
      <c r="AA9" s="2"/>
      <c r="AB9" s="2"/>
      <c r="AC9" s="2"/>
    </row>
    <row r="10" spans="1:29" x14ac:dyDescent="0.25">
      <c r="E10" s="2"/>
      <c r="F10" s="2"/>
      <c r="G10" s="2"/>
      <c r="H10" s="2"/>
      <c r="I10" s="2"/>
      <c r="J10" s="2"/>
      <c r="K10" s="2"/>
      <c r="L10" s="2"/>
      <c r="M10" s="2"/>
      <c r="N10" s="2"/>
      <c r="O10" s="2"/>
      <c r="P10" s="2"/>
      <c r="Q10" s="2"/>
      <c r="R10" s="2"/>
      <c r="S10" s="2"/>
      <c r="T10" s="2"/>
      <c r="U10" s="2"/>
      <c r="V10" s="2"/>
      <c r="W10" s="2"/>
      <c r="X10" s="2"/>
      <c r="Y10" s="2"/>
      <c r="Z10" s="2"/>
      <c r="AA10" s="2"/>
      <c r="AB10" s="2"/>
      <c r="AC10" s="2"/>
    </row>
    <row r="11" spans="1:29" x14ac:dyDescent="0.25">
      <c r="A11" t="s">
        <v>9</v>
      </c>
      <c r="B11" s="3">
        <f>J4</f>
        <v>0.6802088929234229</v>
      </c>
      <c r="E11" s="2"/>
      <c r="F11" s="2"/>
      <c r="G11" s="2"/>
      <c r="H11" s="2"/>
      <c r="I11" s="2"/>
      <c r="J11" s="2"/>
      <c r="K11" s="2"/>
      <c r="L11" s="2"/>
      <c r="M11" s="2"/>
      <c r="N11" s="2"/>
      <c r="O11" s="2"/>
      <c r="P11" s="2"/>
      <c r="Q11" s="2"/>
      <c r="R11" s="2"/>
      <c r="S11" s="2"/>
      <c r="T11" s="2"/>
      <c r="U11" s="2"/>
      <c r="V11" s="2"/>
      <c r="W11" s="2"/>
      <c r="X11" s="2"/>
      <c r="Y11" s="2"/>
      <c r="Z11" s="2"/>
      <c r="AA11" s="2"/>
      <c r="AB11" s="2"/>
      <c r="AC11" s="2"/>
    </row>
    <row r="13" spans="1:29" x14ac:dyDescent="0.25">
      <c r="A13" t="s">
        <v>11</v>
      </c>
      <c r="B13">
        <f>1.5*K</f>
        <v>9.2999999999999999E-2</v>
      </c>
    </row>
    <row r="14" spans="1:29" x14ac:dyDescent="0.25">
      <c r="A14" t="s">
        <v>12</v>
      </c>
      <c r="B14" s="3">
        <f>EXP(-M)</f>
        <v>0.91119350029614055</v>
      </c>
    </row>
    <row r="15" spans="1:29" x14ac:dyDescent="0.25">
      <c r="A15" t="s">
        <v>13</v>
      </c>
      <c r="B15" s="5">
        <v>0.1</v>
      </c>
      <c r="E15" t="s">
        <v>21</v>
      </c>
      <c r="F15" t="s">
        <v>20</v>
      </c>
      <c r="H15" t="s">
        <v>21</v>
      </c>
      <c r="I15" t="s">
        <v>19</v>
      </c>
      <c r="J15" t="s">
        <v>22</v>
      </c>
    </row>
    <row r="16" spans="1:29" x14ac:dyDescent="0.25">
      <c r="E16">
        <v>0</v>
      </c>
      <c r="F16" s="3">
        <f>YPR_mll</f>
        <v>0.77858689963454708</v>
      </c>
      <c r="H16">
        <v>0</v>
      </c>
      <c r="I16" s="3">
        <f>SPR</f>
        <v>0.3163345166403283</v>
      </c>
    </row>
    <row r="17" spans="1:10" x14ac:dyDescent="0.25">
      <c r="A17" s="1" t="s">
        <v>23</v>
      </c>
      <c r="E17" s="3">
        <v>0.02</v>
      </c>
      <c r="F17" s="3">
        <f t="dataTable" ref="F17:F35" dt2D="0" dtr="0" r1="B15"/>
        <v>0.34393706388185019</v>
      </c>
      <c r="H17" s="3">
        <v>0.02</v>
      </c>
      <c r="I17" s="3">
        <f t="dataTable" ref="I17:I35" dt2D="0" dtr="0" r1="B15" ca="1"/>
        <v>0.78590814304729661</v>
      </c>
      <c r="J17">
        <v>0.35</v>
      </c>
    </row>
    <row r="18" spans="1:10" x14ac:dyDescent="0.25">
      <c r="A18" t="s">
        <v>16</v>
      </c>
      <c r="B18" s="5">
        <v>381</v>
      </c>
      <c r="E18" s="3">
        <v>0.04</v>
      </c>
      <c r="F18" s="3">
        <v>0.55698471815437156</v>
      </c>
      <c r="H18" s="3">
        <v>0.04</v>
      </c>
      <c r="I18" s="3">
        <v>0.62069334558163292</v>
      </c>
      <c r="J18">
        <v>0.35</v>
      </c>
    </row>
    <row r="19" spans="1:10" x14ac:dyDescent="0.25">
      <c r="A19" t="s">
        <v>37</v>
      </c>
      <c r="B19" s="5">
        <v>38</v>
      </c>
      <c r="E19" s="3">
        <v>0.06</v>
      </c>
      <c r="F19" s="3">
        <v>0.68216698099814788</v>
      </c>
      <c r="H19" s="3">
        <v>0.06</v>
      </c>
      <c r="I19" s="3">
        <v>0.49286206755728762</v>
      </c>
      <c r="J19">
        <v>0.35</v>
      </c>
    </row>
    <row r="20" spans="1:10" x14ac:dyDescent="0.25">
      <c r="E20" s="3">
        <v>0.08</v>
      </c>
      <c r="F20" s="3">
        <v>0.74923804182650611</v>
      </c>
      <c r="H20" s="3">
        <v>0.08</v>
      </c>
      <c r="I20" s="3">
        <v>0.39363987396319988</v>
      </c>
      <c r="J20">
        <v>0.35</v>
      </c>
    </row>
    <row r="21" spans="1:10" x14ac:dyDescent="0.25">
      <c r="E21" s="3">
        <v>0.1</v>
      </c>
      <c r="F21" s="3">
        <v>0.77858689963454708</v>
      </c>
      <c r="H21" s="3">
        <v>0.1</v>
      </c>
      <c r="I21" s="3">
        <v>0.3163345166403283</v>
      </c>
      <c r="J21">
        <v>0.35</v>
      </c>
    </row>
    <row r="22" spans="1:10" x14ac:dyDescent="0.25">
      <c r="A22" s="8" t="s">
        <v>32</v>
      </c>
      <c r="B22" s="7"/>
      <c r="E22" s="3">
        <v>0.12</v>
      </c>
      <c r="F22" s="3">
        <v>0.78404277827177071</v>
      </c>
      <c r="H22" s="3">
        <v>0.12</v>
      </c>
      <c r="I22" s="3">
        <v>0.25584500635026697</v>
      </c>
      <c r="J22">
        <v>0.35</v>
      </c>
    </row>
    <row r="23" spans="1:10" x14ac:dyDescent="0.25">
      <c r="A23" s="7" t="s">
        <v>30</v>
      </c>
      <c r="B23" s="9">
        <f>SUMPRODUCT(Wt,S_fished,Vul_minLL)</f>
        <v>7.7858689963454708</v>
      </c>
      <c r="E23" s="3">
        <v>0.14000000000000001</v>
      </c>
      <c r="F23" s="3">
        <v>0.77487695405863655</v>
      </c>
      <c r="H23" s="3">
        <v>0.14000000000000001</v>
      </c>
      <c r="I23" s="3">
        <v>0.20828423974972457</v>
      </c>
      <c r="J23">
        <v>0.35</v>
      </c>
    </row>
    <row r="24" spans="1:10" x14ac:dyDescent="0.25">
      <c r="A24" s="7" t="s">
        <v>34</v>
      </c>
      <c r="B24" s="9">
        <f>phi_vbF*u</f>
        <v>0.77858689963454708</v>
      </c>
      <c r="E24" s="3">
        <v>0.16</v>
      </c>
      <c r="F24" s="3">
        <v>0.75722091491119115</v>
      </c>
      <c r="H24" s="3">
        <v>0.16</v>
      </c>
      <c r="I24" s="3">
        <v>0.17068967242408709</v>
      </c>
      <c r="J24">
        <v>0.35</v>
      </c>
    </row>
    <row r="25" spans="1:10" x14ac:dyDescent="0.25">
      <c r="A25" s="7" t="s">
        <v>39</v>
      </c>
      <c r="B25" s="7">
        <f>SUMPRODUCT(S_fished,Rel_Fec)/SUMPRODUCT(S_unfished,Rel_Fec)</f>
        <v>0.3163345166403283</v>
      </c>
      <c r="E25" s="3">
        <v>0.18</v>
      </c>
      <c r="F25" s="3">
        <v>0.73506344099055787</v>
      </c>
      <c r="H25" s="3">
        <v>0.18</v>
      </c>
      <c r="I25" s="3">
        <v>0.14080204533429733</v>
      </c>
      <c r="J25">
        <v>0.35</v>
      </c>
    </row>
    <row r="26" spans="1:10" x14ac:dyDescent="0.25">
      <c r="E26" s="3">
        <v>0.2</v>
      </c>
      <c r="F26" s="3">
        <v>0.71094604309507536</v>
      </c>
      <c r="H26" s="3">
        <v>0.2</v>
      </c>
      <c r="I26" s="3">
        <v>0.11689654947407166</v>
      </c>
      <c r="J26">
        <v>0.35</v>
      </c>
    </row>
    <row r="27" spans="1:10" x14ac:dyDescent="0.25">
      <c r="A27" s="1"/>
      <c r="E27" s="3">
        <v>0.22</v>
      </c>
      <c r="F27" s="3">
        <v>0.68644390918386144</v>
      </c>
      <c r="H27" s="3">
        <v>0.22</v>
      </c>
      <c r="I27" s="3">
        <v>9.7654274755350004E-2</v>
      </c>
      <c r="J27">
        <v>0.35</v>
      </c>
    </row>
    <row r="28" spans="1:10" x14ac:dyDescent="0.25">
      <c r="E28" s="3">
        <v>0.24</v>
      </c>
      <c r="F28" s="3">
        <v>0.66249550785455791</v>
      </c>
      <c r="H28" s="3">
        <v>0.24</v>
      </c>
      <c r="I28" s="3">
        <v>8.2064515878136929E-2</v>
      </c>
      <c r="J28">
        <v>0.35</v>
      </c>
    </row>
    <row r="29" spans="1:10" x14ac:dyDescent="0.25">
      <c r="E29" s="3">
        <v>0.26</v>
      </c>
      <c r="F29" s="3">
        <v>0.63962627285419205</v>
      </c>
      <c r="H29" s="3">
        <v>0.26</v>
      </c>
      <c r="I29" s="3">
        <v>6.9350648084686689E-2</v>
      </c>
      <c r="J29">
        <v>0.35</v>
      </c>
    </row>
    <row r="30" spans="1:10" x14ac:dyDescent="0.25">
      <c r="E30" s="3">
        <v>0.28000000000000003</v>
      </c>
      <c r="F30" s="3">
        <v>0.61809879390631928</v>
      </c>
      <c r="H30" s="3">
        <v>0.28000000000000003</v>
      </c>
      <c r="I30" s="3">
        <v>5.8913959144702543E-2</v>
      </c>
      <c r="J30">
        <v>0.35</v>
      </c>
    </row>
    <row r="31" spans="1:10" x14ac:dyDescent="0.25">
      <c r="E31" s="3">
        <v>0.3</v>
      </c>
      <c r="F31" s="3">
        <v>0.59801247523378209</v>
      </c>
      <c r="H31" s="3">
        <v>0.3</v>
      </c>
      <c r="I31" s="3">
        <v>5.0291127503109531E-2</v>
      </c>
      <c r="J31">
        <v>0.35</v>
      </c>
    </row>
    <row r="32" spans="1:10" x14ac:dyDescent="0.25">
      <c r="E32" s="3">
        <v>0.32</v>
      </c>
      <c r="F32" s="3">
        <v>0.57936878509116096</v>
      </c>
      <c r="H32" s="3">
        <v>0.32</v>
      </c>
      <c r="I32" s="3">
        <v>4.3122048148914092E-2</v>
      </c>
      <c r="J32">
        <v>0.35</v>
      </c>
    </row>
    <row r="33" spans="1:10" x14ac:dyDescent="0.25">
      <c r="E33" s="3">
        <v>0.34</v>
      </c>
      <c r="F33" s="3">
        <v>0.56211331807640164</v>
      </c>
      <c r="H33" s="3">
        <v>0.34</v>
      </c>
      <c r="I33" s="3">
        <v>3.712548985539927E-2</v>
      </c>
      <c r="J33">
        <v>0.35</v>
      </c>
    </row>
    <row r="34" spans="1:10" x14ac:dyDescent="0.25">
      <c r="A34" s="1"/>
      <c r="E34" s="3">
        <v>0.36</v>
      </c>
      <c r="F34" s="3">
        <v>0.54616240782604963</v>
      </c>
      <c r="H34" s="3">
        <v>0.36</v>
      </c>
      <c r="I34" s="3">
        <v>3.2080669811038548E-2</v>
      </c>
      <c r="J34">
        <v>0.35</v>
      </c>
    </row>
    <row r="35" spans="1:10" x14ac:dyDescent="0.25">
      <c r="E35" s="3">
        <v>0.38</v>
      </c>
      <c r="F35" s="3">
        <v>0.53141957272732887</v>
      </c>
      <c r="H35" s="3">
        <v>0.38</v>
      </c>
      <c r="I35" s="3">
        <v>2.7813293889887184E-2</v>
      </c>
      <c r="J35">
        <v>0.35</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584E-4212-407B-B0E5-1AE054520936}">
  <dimension ref="A2:AC34"/>
  <sheetViews>
    <sheetView tabSelected="1"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169.29800490703303</v>
      </c>
      <c r="F3" s="4">
        <f t="shared" si="0"/>
        <v>229.45732003442004</v>
      </c>
      <c r="G3" s="4">
        <f t="shared" si="0"/>
        <v>286.00003080372352</v>
      </c>
      <c r="H3" s="4">
        <f t="shared" si="0"/>
        <v>339.14355702856994</v>
      </c>
      <c r="I3" s="4">
        <f t="shared" si="0"/>
        <v>389.09224787103653</v>
      </c>
      <c r="J3" s="4">
        <f t="shared" si="0"/>
        <v>436.03816761148977</v>
      </c>
      <c r="K3" s="4">
        <f t="shared" si="0"/>
        <v>480.16183418020961</v>
      </c>
      <c r="L3" s="4">
        <f t="shared" si="0"/>
        <v>521.63291329062554</v>
      </c>
      <c r="M3" s="4">
        <f t="shared" si="0"/>
        <v>560.61087084326493</v>
      </c>
      <c r="N3" s="4">
        <f t="shared" si="0"/>
        <v>597.24558610906013</v>
      </c>
      <c r="O3" s="4">
        <f t="shared" si="0"/>
        <v>631.67792804984515</v>
      </c>
      <c r="P3" s="4">
        <f t="shared" si="0"/>
        <v>664.04029699212811</v>
      </c>
      <c r="Q3" s="4">
        <f t="shared" si="0"/>
        <v>694.45713373699937</v>
      </c>
      <c r="R3" s="4">
        <f t="shared" si="0"/>
        <v>723.04539806382229</v>
      </c>
      <c r="S3" s="4">
        <f t="shared" si="0"/>
        <v>749.91501846766334</v>
      </c>
      <c r="T3" s="4">
        <f t="shared" si="0"/>
        <v>775.16931485980615</v>
      </c>
      <c r="U3" s="4">
        <f t="shared" si="0"/>
        <v>798.90539585673105</v>
      </c>
      <c r="V3" s="4">
        <f t="shared" si="0"/>
        <v>821.21453218522799</v>
      </c>
      <c r="W3" s="4">
        <f t="shared" si="0"/>
        <v>842.18250763947162</v>
      </c>
      <c r="X3" s="4">
        <f t="shared" si="0"/>
        <v>861.8899489395709</v>
      </c>
      <c r="Y3" s="4">
        <f t="shared" si="0"/>
        <v>880.41263575997402</v>
      </c>
      <c r="Z3" s="4">
        <f t="shared" si="0"/>
        <v>897.82179211986181</v>
      </c>
      <c r="AA3" s="4">
        <f t="shared" si="0"/>
        <v>914.18436025599078</v>
      </c>
      <c r="AB3" s="4">
        <f t="shared" si="0"/>
        <v>929.56325803109132</v>
      </c>
      <c r="AC3" s="4">
        <f t="shared" si="0"/>
        <v>944.01762086761778</v>
      </c>
    </row>
    <row r="4" spans="1:29" x14ac:dyDescent="0.25">
      <c r="A4" t="s">
        <v>3</v>
      </c>
      <c r="B4" s="5">
        <v>1170</v>
      </c>
      <c r="D4" t="s">
        <v>8</v>
      </c>
      <c r="E4" s="3">
        <f t="shared" ref="E4:AC4" si="1">(a_wl*E3^b_wl)/1000</f>
        <v>2.4598150122807517E-2</v>
      </c>
      <c r="F4" s="3">
        <f t="shared" si="1"/>
        <v>7.1492783356680953E-2</v>
      </c>
      <c r="G4" s="3">
        <f t="shared" si="1"/>
        <v>0.15486200700566286</v>
      </c>
      <c r="H4" s="3">
        <f t="shared" si="1"/>
        <v>0.2816242438140879</v>
      </c>
      <c r="I4" s="3">
        <f t="shared" si="1"/>
        <v>0.45608605656118839</v>
      </c>
      <c r="J4" s="3">
        <f t="shared" si="1"/>
        <v>0.6802088929234229</v>
      </c>
      <c r="K4" s="3">
        <f t="shared" si="1"/>
        <v>0.95397891683095382</v>
      </c>
      <c r="L4" s="3">
        <f t="shared" si="1"/>
        <v>1.2757988764078561</v>
      </c>
      <c r="M4" s="3">
        <f t="shared" si="1"/>
        <v>1.6428609095577902</v>
      </c>
      <c r="N4" s="3">
        <f t="shared" si="1"/>
        <v>2.0514805926135318</v>
      </c>
      <c r="O4" s="3">
        <f t="shared" si="1"/>
        <v>2.4973844539216219</v>
      </c>
      <c r="P4" s="3">
        <f t="shared" si="1"/>
        <v>2.9759498414550034</v>
      </c>
      <c r="Q4" s="3">
        <f t="shared" si="1"/>
        <v>3.4823996614268307</v>
      </c>
      <c r="R4" s="3">
        <f t="shared" si="1"/>
        <v>4.0119563316261733</v>
      </c>
      <c r="S4" s="3">
        <f t="shared" si="1"/>
        <v>4.5599600467163359</v>
      </c>
      <c r="T4" s="3">
        <f t="shared" si="1"/>
        <v>5.1219565744127591</v>
      </c>
      <c r="U4" s="3">
        <f t="shared" si="1"/>
        <v>5.6937595637896132</v>
      </c>
      <c r="V4" s="3">
        <f t="shared" si="1"/>
        <v>6.271491919373231</v>
      </c>
      <c r="W4" s="3">
        <f t="shared" si="1"/>
        <v>6.8516102821273996</v>
      </c>
      <c r="X4" s="3">
        <f t="shared" si="1"/>
        <v>7.4309161249397606</v>
      </c>
      <c r="Y4" s="3">
        <f t="shared" si="1"/>
        <v>8.0065564535726779</v>
      </c>
      <c r="Z4" s="3">
        <f t="shared" si="1"/>
        <v>8.5760166252307855</v>
      </c>
      <c r="AA4" s="3">
        <f t="shared" si="1"/>
        <v>9.1371073661848392</v>
      </c>
      <c r="AB4" s="3">
        <f t="shared" si="1"/>
        <v>9.6879476908226412</v>
      </c>
      <c r="AC4" s="3">
        <f t="shared" si="1"/>
        <v>10.226945096511619</v>
      </c>
    </row>
    <row r="5" spans="1:29" x14ac:dyDescent="0.25">
      <c r="A5" t="s">
        <v>4</v>
      </c>
      <c r="B5" s="5">
        <v>6.2E-2</v>
      </c>
      <c r="D5" t="s">
        <v>10</v>
      </c>
      <c r="E5" s="3">
        <f t="shared" ref="E5:AC5" si="2">MAX(0,E4-wmat)</f>
        <v>0</v>
      </c>
      <c r="F5" s="3">
        <f t="shared" si="2"/>
        <v>0</v>
      </c>
      <c r="G5" s="3">
        <f t="shared" si="2"/>
        <v>0</v>
      </c>
      <c r="H5" s="3">
        <f t="shared" si="2"/>
        <v>0</v>
      </c>
      <c r="I5" s="3">
        <f t="shared" si="2"/>
        <v>0</v>
      </c>
      <c r="J5" s="3">
        <f t="shared" si="2"/>
        <v>0</v>
      </c>
      <c r="K5" s="3">
        <f t="shared" si="2"/>
        <v>0.27377002390753091</v>
      </c>
      <c r="L5" s="3">
        <f t="shared" si="2"/>
        <v>0.59558998348443315</v>
      </c>
      <c r="M5" s="3">
        <f t="shared" si="2"/>
        <v>0.96265201663436728</v>
      </c>
      <c r="N5" s="3">
        <f t="shared" si="2"/>
        <v>1.3712716996901089</v>
      </c>
      <c r="O5" s="3">
        <f t="shared" si="2"/>
        <v>1.817175560998199</v>
      </c>
      <c r="P5" s="3">
        <f t="shared" si="2"/>
        <v>2.2957409485315807</v>
      </c>
      <c r="Q5" s="3">
        <f t="shared" si="2"/>
        <v>2.802190768503408</v>
      </c>
      <c r="R5" s="3">
        <f t="shared" si="2"/>
        <v>3.3317474387027506</v>
      </c>
      <c r="S5" s="3">
        <f t="shared" si="2"/>
        <v>3.8797511537929132</v>
      </c>
      <c r="T5" s="3">
        <f t="shared" si="2"/>
        <v>4.4417476814893364</v>
      </c>
      <c r="U5" s="3">
        <f t="shared" si="2"/>
        <v>5.0135506708661906</v>
      </c>
      <c r="V5" s="3">
        <f t="shared" si="2"/>
        <v>5.5912830264498083</v>
      </c>
      <c r="W5" s="3">
        <f t="shared" si="2"/>
        <v>6.171401389203977</v>
      </c>
      <c r="X5" s="3">
        <f t="shared" si="2"/>
        <v>6.7507072320163379</v>
      </c>
      <c r="Y5" s="3">
        <f t="shared" si="2"/>
        <v>7.3263475606492552</v>
      </c>
      <c r="Z5" s="3">
        <f t="shared" si="2"/>
        <v>7.8958077323073628</v>
      </c>
      <c r="AA5" s="3">
        <f t="shared" si="2"/>
        <v>8.4568984732614165</v>
      </c>
      <c r="AB5" s="3">
        <f t="shared" si="2"/>
        <v>9.0077387978992185</v>
      </c>
      <c r="AC5" s="3">
        <f t="shared" si="2"/>
        <v>9.5467362035881962</v>
      </c>
    </row>
    <row r="6" spans="1:29" x14ac:dyDescent="0.25">
      <c r="A6" t="s">
        <v>5</v>
      </c>
      <c r="B6" s="5">
        <v>-1.5209999999999999</v>
      </c>
      <c r="D6" t="s">
        <v>14</v>
      </c>
      <c r="E6" s="6">
        <v>1</v>
      </c>
      <c r="F6" s="3">
        <f t="shared" ref="F6:AC6" si="3">E6*So</f>
        <v>0.91119350029614055</v>
      </c>
      <c r="G6" s="3">
        <f t="shared" si="3"/>
        <v>0.83027359498193265</v>
      </c>
      <c r="H6" s="3">
        <f t="shared" si="3"/>
        <v>0.75653990321504727</v>
      </c>
      <c r="I6" s="3">
        <f t="shared" si="3"/>
        <v>0.68935424252422228</v>
      </c>
      <c r="J6" s="3">
        <f t="shared" si="3"/>
        <v>0.62813510518964066</v>
      </c>
      <c r="K6" s="3">
        <f t="shared" si="3"/>
        <v>0.5723526251566331</v>
      </c>
      <c r="L6" s="3">
        <f t="shared" si="3"/>
        <v>0.52152399192015741</v>
      </c>
      <c r="M6" s="3">
        <f t="shared" si="3"/>
        <v>0.47520927168614435</v>
      </c>
      <c r="N6" s="3">
        <f t="shared" si="3"/>
        <v>0.43300759964087748</v>
      </c>
      <c r="O6" s="3">
        <f t="shared" si="3"/>
        <v>0.39455371037160103</v>
      </c>
      <c r="P6" s="3">
        <f t="shared" si="3"/>
        <v>0.3595147764083288</v>
      </c>
      <c r="Q6" s="3">
        <f t="shared" si="3"/>
        <v>0.32758752752368947</v>
      </c>
      <c r="R6" s="3">
        <f t="shared" si="3"/>
        <v>0.29849562585766887</v>
      </c>
      <c r="S6" s="3">
        <f t="shared" si="3"/>
        <v>0.27198727414833646</v>
      </c>
      <c r="T6" s="3">
        <f t="shared" si="3"/>
        <v>0.24783303636722867</v>
      </c>
      <c r="U6" s="3">
        <f t="shared" si="3"/>
        <v>0.22582385189647577</v>
      </c>
      <c r="V6" s="3">
        <f t="shared" si="3"/>
        <v>0.205769226059907</v>
      </c>
      <c r="W6" s="3">
        <f t="shared" si="3"/>
        <v>0.18749558134675448</v>
      </c>
      <c r="X6" s="3">
        <f t="shared" si="3"/>
        <v>0.17084475505740898</v>
      </c>
      <c r="Y6" s="3">
        <f t="shared" si="3"/>
        <v>0.15567263036799725</v>
      </c>
      <c r="Z6" s="3">
        <f t="shared" si="3"/>
        <v>0.14184788896532269</v>
      </c>
      <c r="AA6" s="3">
        <f t="shared" si="3"/>
        <v>0.12925087445593067</v>
      </c>
      <c r="AB6" s="3">
        <f t="shared" si="3"/>
        <v>0.11777255671183649</v>
      </c>
      <c r="AC6" s="3">
        <f t="shared" si="3"/>
        <v>0.10731358818908401</v>
      </c>
    </row>
    <row r="7" spans="1:29" x14ac:dyDescent="0.25">
      <c r="D7" t="s">
        <v>15</v>
      </c>
      <c r="E7" s="6">
        <v>1</v>
      </c>
      <c r="F7" s="3">
        <f t="shared" ref="F7:AC7" si="4">E7*So*(1-u*E10)</f>
        <v>0.82007415026652652</v>
      </c>
      <c r="G7" s="3">
        <f t="shared" si="4"/>
        <v>0.67252161193536553</v>
      </c>
      <c r="H7" s="3">
        <f t="shared" si="4"/>
        <v>0.55151758944376961</v>
      </c>
      <c r="I7" s="3">
        <f t="shared" si="4"/>
        <v>0.45228531852014253</v>
      </c>
      <c r="J7" s="3">
        <f t="shared" si="4"/>
        <v>0.37090749826581415</v>
      </c>
      <c r="K7" s="3">
        <f t="shared" si="4"/>
        <v>0.30417165466716328</v>
      </c>
      <c r="L7" s="3">
        <f t="shared" si="4"/>
        <v>0.24944402596008189</v>
      </c>
      <c r="M7" s="3">
        <f t="shared" si="4"/>
        <v>0.20459789823517599</v>
      </c>
      <c r="N7" s="3">
        <f t="shared" si="4"/>
        <v>0.16828364769114615</v>
      </c>
      <c r="O7" s="3">
        <f t="shared" si="4"/>
        <v>0.14056148569574686</v>
      </c>
      <c r="P7" s="3">
        <f t="shared" si="4"/>
        <v>0.12136273754901523</v>
      </c>
      <c r="Q7" s="3">
        <f t="shared" si="4"/>
        <v>0.10821169697063038</v>
      </c>
      <c r="R7" s="3">
        <f t="shared" si="4"/>
        <v>9.8051524417056862E-2</v>
      </c>
      <c r="S7" s="3">
        <f t="shared" si="4"/>
        <v>8.9258525723639515E-2</v>
      </c>
      <c r="T7" s="3">
        <f t="shared" si="4"/>
        <v>8.1322494685389282E-2</v>
      </c>
      <c r="U7" s="3">
        <f t="shared" si="4"/>
        <v>7.4090378462871323E-2</v>
      </c>
      <c r="V7" s="3">
        <f t="shared" si="4"/>
        <v>6.7450774739418004E-2</v>
      </c>
      <c r="W7" s="3">
        <f t="shared" si="4"/>
        <v>6.1231915125844985E-2</v>
      </c>
      <c r="X7" s="3">
        <f t="shared" si="4"/>
        <v>5.5186150097027417E-2</v>
      </c>
      <c r="Y7" s="3">
        <f t="shared" si="4"/>
        <v>4.9089516938016095E-2</v>
      </c>
      <c r="Z7" s="3">
        <f t="shared" si="4"/>
        <v>4.2893400685272358E-2</v>
      </c>
      <c r="AA7" s="3">
        <f t="shared" si="4"/>
        <v>3.6771224027273258E-2</v>
      </c>
      <c r="AB7" s="3">
        <f t="shared" si="4"/>
        <v>3.1005325779058051E-2</v>
      </c>
      <c r="AC7" s="3">
        <f t="shared" si="4"/>
        <v>2.58303382541973E-2</v>
      </c>
    </row>
    <row r="8" spans="1:29" x14ac:dyDescent="0.25">
      <c r="A8" t="s">
        <v>6</v>
      </c>
      <c r="B8" s="5">
        <f>10^-6.42937</f>
        <v>3.7207457983382173E-7</v>
      </c>
      <c r="D8" t="s">
        <v>18</v>
      </c>
      <c r="E8" s="2">
        <f t="shared" ref="E8:AC8" si="5">_xlfn.NORM.DIST(E3,Min_LL,Min_SD,TRUE)</f>
        <v>1.0880063701046676E-34</v>
      </c>
      <c r="F8" s="2">
        <f t="shared" si="5"/>
        <v>9.1146548215578274E-27</v>
      </c>
      <c r="G8" s="2">
        <f t="shared" si="5"/>
        <v>2.6459998535464269E-20</v>
      </c>
      <c r="H8" s="2">
        <f t="shared" si="5"/>
        <v>4.2672761234564754E-15</v>
      </c>
      <c r="I8" s="2">
        <f t="shared" si="5"/>
        <v>5.7822756576510134E-11</v>
      </c>
      <c r="J8" s="2">
        <f t="shared" si="5"/>
        <v>9.4663927828341041E-8</v>
      </c>
      <c r="K8" s="2">
        <f t="shared" si="5"/>
        <v>2.5787477202023433E-5</v>
      </c>
      <c r="L8" s="2">
        <f t="shared" si="5"/>
        <v>1.5530965376239407E-3</v>
      </c>
      <c r="M8" s="2">
        <f t="shared" si="5"/>
        <v>2.6723422157590371E-2</v>
      </c>
      <c r="N8" s="2">
        <f t="shared" si="5"/>
        <v>0.16671667865386469</v>
      </c>
      <c r="O8" s="2">
        <f t="shared" si="5"/>
        <v>0.47563693483763386</v>
      </c>
      <c r="P8" s="2">
        <f t="shared" si="5"/>
        <v>0.78539205130640166</v>
      </c>
      <c r="Q8" s="2">
        <f t="shared" si="5"/>
        <v>0.94419264690301108</v>
      </c>
      <c r="R8" s="2">
        <f t="shared" si="5"/>
        <v>0.99044299520299883</v>
      </c>
      <c r="S8" s="2">
        <f t="shared" si="5"/>
        <v>0.99885729796676248</v>
      </c>
      <c r="T8" s="2">
        <f t="shared" si="5"/>
        <v>0.99989839090804167</v>
      </c>
      <c r="U8" s="2">
        <f t="shared" si="5"/>
        <v>0.99999286339420546</v>
      </c>
      <c r="V8" s="2">
        <f t="shared" si="5"/>
        <v>0.99999958184615212</v>
      </c>
      <c r="W8" s="2">
        <f t="shared" si="5"/>
        <v>0.99999997855110034</v>
      </c>
      <c r="X8" s="2">
        <f t="shared" si="5"/>
        <v>0.99999999899566239</v>
      </c>
      <c r="Y8" s="2">
        <f t="shared" si="5"/>
        <v>0.99999999995549949</v>
      </c>
      <c r="Z8" s="2">
        <f t="shared" si="5"/>
        <v>0.99999999999807632</v>
      </c>
      <c r="AA8" s="2">
        <f t="shared" si="5"/>
        <v>0.99999999999991673</v>
      </c>
      <c r="AB8" s="2">
        <f t="shared" si="5"/>
        <v>0.99999999999999634</v>
      </c>
      <c r="AC8" s="2">
        <f t="shared" si="5"/>
        <v>0.99999999999999978</v>
      </c>
    </row>
    <row r="9" spans="1:29" x14ac:dyDescent="0.25">
      <c r="A9" t="s">
        <v>7</v>
      </c>
      <c r="B9" s="5">
        <v>3.5089700000000001</v>
      </c>
      <c r="D9" t="s">
        <v>25</v>
      </c>
      <c r="E9" s="2">
        <f t="shared" ref="E9:AC9" si="6">1-_xlfn.NORM.DIST(E3,Upper_LL,Min_SD,TRUE)</f>
        <v>1</v>
      </c>
      <c r="F9" s="2">
        <f t="shared" si="6"/>
        <v>1</v>
      </c>
      <c r="G9" s="2">
        <f t="shared" si="6"/>
        <v>1</v>
      </c>
      <c r="H9" s="2">
        <f t="shared" si="6"/>
        <v>1</v>
      </c>
      <c r="I9" s="2">
        <f t="shared" si="6"/>
        <v>1</v>
      </c>
      <c r="J9" s="2">
        <f t="shared" si="6"/>
        <v>1</v>
      </c>
      <c r="K9" s="2">
        <f t="shared" si="6"/>
        <v>1</v>
      </c>
      <c r="L9" s="2">
        <f t="shared" si="6"/>
        <v>1</v>
      </c>
      <c r="M9" s="2">
        <f t="shared" si="6"/>
        <v>1</v>
      </c>
      <c r="N9" s="2">
        <f t="shared" si="6"/>
        <v>0.9999999999999919</v>
      </c>
      <c r="O9" s="2">
        <f t="shared" si="6"/>
        <v>0.9999999999936332</v>
      </c>
      <c r="P9" s="2">
        <f t="shared" si="6"/>
        <v>0.99999999839021536</v>
      </c>
      <c r="Q9" s="2">
        <f t="shared" si="6"/>
        <v>0.99999984686649668</v>
      </c>
      <c r="R9" s="2">
        <f t="shared" si="6"/>
        <v>0.99999370828532141</v>
      </c>
      <c r="S9" s="2">
        <f t="shared" si="6"/>
        <v>0.99987395687704117</v>
      </c>
      <c r="T9" s="2">
        <f t="shared" si="6"/>
        <v>0.99863022268307489</v>
      </c>
      <c r="U9" s="2">
        <f t="shared" si="6"/>
        <v>0.99112783960118922</v>
      </c>
      <c r="V9" s="2">
        <f t="shared" si="6"/>
        <v>0.96277419902287475</v>
      </c>
      <c r="W9" s="2">
        <f t="shared" si="6"/>
        <v>0.89103279291115678</v>
      </c>
      <c r="X9" s="2">
        <f t="shared" si="6"/>
        <v>0.76220779082194834</v>
      </c>
      <c r="Y9" s="2">
        <f t="shared" si="6"/>
        <v>0.58939278360529523</v>
      </c>
      <c r="Z9" s="2">
        <f t="shared" si="6"/>
        <v>0.40820981414019131</v>
      </c>
      <c r="AA9" s="2">
        <f t="shared" si="6"/>
        <v>0.25374651841865892</v>
      </c>
      <c r="AB9" s="2">
        <f t="shared" si="6"/>
        <v>0.14288340171541336</v>
      </c>
      <c r="AC9" s="2">
        <f t="shared" si="6"/>
        <v>7.3832002554329534E-2</v>
      </c>
    </row>
    <row r="10" spans="1:29" x14ac:dyDescent="0.25">
      <c r="D10" t="s">
        <v>26</v>
      </c>
      <c r="E10" s="2">
        <f>1-(MIN(E8:E9))</f>
        <v>1</v>
      </c>
      <c r="F10" s="2">
        <f t="shared" ref="F10:R10" si="7">1-(MIN(F8:F9))</f>
        <v>1</v>
      </c>
      <c r="G10" s="2">
        <f t="shared" si="7"/>
        <v>1</v>
      </c>
      <c r="H10" s="2">
        <f t="shared" si="7"/>
        <v>0.99999999999999578</v>
      </c>
      <c r="I10" s="2">
        <f t="shared" si="7"/>
        <v>0.99999999994217725</v>
      </c>
      <c r="J10" s="2">
        <f t="shared" si="7"/>
        <v>0.99999990533607219</v>
      </c>
      <c r="K10" s="2">
        <f t="shared" si="7"/>
        <v>0.99997421252279795</v>
      </c>
      <c r="L10" s="2">
        <f t="shared" si="7"/>
        <v>0.99844690346237608</v>
      </c>
      <c r="M10" s="2">
        <f t="shared" si="7"/>
        <v>0.97327657784240962</v>
      </c>
      <c r="N10" s="2">
        <f t="shared" si="7"/>
        <v>0.83328332134613525</v>
      </c>
      <c r="O10" s="2">
        <f t="shared" si="7"/>
        <v>0.52436306516236608</v>
      </c>
      <c r="P10" s="2">
        <f t="shared" si="7"/>
        <v>0.21460794869359834</v>
      </c>
      <c r="Q10" s="2">
        <f t="shared" si="7"/>
        <v>5.5807353096988921E-2</v>
      </c>
      <c r="R10" s="2">
        <f t="shared" si="7"/>
        <v>9.5570047970011673E-3</v>
      </c>
      <c r="S10" s="2">
        <f>1-(MIN(S8:S9))</f>
        <v>1.1427020332375193E-3</v>
      </c>
      <c r="T10" s="2">
        <f t="shared" ref="T10:AC10" si="8">1-(MIN(T8:T9))</f>
        <v>1.3697773169251137E-3</v>
      </c>
      <c r="U10" s="2">
        <f t="shared" si="8"/>
        <v>8.87216039881078E-3</v>
      </c>
      <c r="V10" s="2">
        <f t="shared" si="8"/>
        <v>3.7225800977125245E-2</v>
      </c>
      <c r="W10" s="2">
        <f t="shared" si="8"/>
        <v>0.10896720708884322</v>
      </c>
      <c r="X10" s="2">
        <f t="shared" si="8"/>
        <v>0.23779220917805166</v>
      </c>
      <c r="Y10" s="2">
        <f t="shared" si="8"/>
        <v>0.41060721639470477</v>
      </c>
      <c r="Z10" s="2">
        <f t="shared" si="8"/>
        <v>0.59179018585980869</v>
      </c>
      <c r="AA10" s="2">
        <f t="shared" si="8"/>
        <v>0.74625348158134108</v>
      </c>
      <c r="AB10" s="2">
        <f t="shared" si="8"/>
        <v>0.85711659828458664</v>
      </c>
      <c r="AC10" s="2">
        <f t="shared" si="8"/>
        <v>0.92616799744567047</v>
      </c>
    </row>
    <row r="11" spans="1:29" x14ac:dyDescent="0.25">
      <c r="A11" t="s">
        <v>9</v>
      </c>
      <c r="B11" s="3">
        <f>J4</f>
        <v>0.6802088929234229</v>
      </c>
    </row>
    <row r="13" spans="1:29" x14ac:dyDescent="0.25">
      <c r="A13" t="s">
        <v>11</v>
      </c>
      <c r="B13">
        <f>1.5*K</f>
        <v>9.2999999999999999E-2</v>
      </c>
    </row>
    <row r="14" spans="1:29" x14ac:dyDescent="0.25">
      <c r="A14" t="s">
        <v>12</v>
      </c>
      <c r="B14" s="3">
        <f>EXP(-M)</f>
        <v>0.91119350029614055</v>
      </c>
      <c r="E14" t="s">
        <v>21</v>
      </c>
      <c r="F14" t="s">
        <v>20</v>
      </c>
      <c r="H14" t="s">
        <v>21</v>
      </c>
      <c r="I14" t="s">
        <v>19</v>
      </c>
      <c r="J14" t="s">
        <v>22</v>
      </c>
    </row>
    <row r="15" spans="1:29" x14ac:dyDescent="0.25">
      <c r="A15" t="s">
        <v>13</v>
      </c>
      <c r="B15" s="5">
        <v>0.1</v>
      </c>
      <c r="E15">
        <v>0</v>
      </c>
      <c r="F15" s="3">
        <f>YPR_proslot</f>
        <v>0.36060539275137038</v>
      </c>
      <c r="H15">
        <v>0</v>
      </c>
      <c r="I15" s="3">
        <f>B25</f>
        <v>0.32428665158528724</v>
      </c>
    </row>
    <row r="16" spans="1:29" x14ac:dyDescent="0.25">
      <c r="E16" s="3">
        <v>0.02</v>
      </c>
      <c r="F16" s="3">
        <f t="dataTable" ref="F16:F34" dt2D="0" dtr="0" r1="B15"/>
        <v>0.15384032934413608</v>
      </c>
      <c r="H16" s="3">
        <v>0.02</v>
      </c>
      <c r="I16" s="3">
        <f t="dataTable" ref="I16:I34" dt2D="0" dtr="0" r1="B15" ca="1"/>
        <v>0.80407414353511808</v>
      </c>
      <c r="J16">
        <v>0.35</v>
      </c>
    </row>
    <row r="17" spans="1:10" x14ac:dyDescent="0.25">
      <c r="A17" s="1" t="s">
        <v>23</v>
      </c>
      <c r="E17" s="3">
        <v>0.04</v>
      </c>
      <c r="F17" s="3">
        <v>0.25418663235729827</v>
      </c>
      <c r="H17" s="3">
        <v>0.04</v>
      </c>
      <c r="I17" s="3">
        <v>0.64430851091331798</v>
      </c>
      <c r="J17">
        <v>0.35</v>
      </c>
    </row>
    <row r="18" spans="1:10" x14ac:dyDescent="0.25">
      <c r="A18" t="s">
        <v>16</v>
      </c>
      <c r="B18" s="5">
        <v>634</v>
      </c>
      <c r="E18" s="3">
        <v>0.06</v>
      </c>
      <c r="F18" s="3">
        <v>0.31526871681557511</v>
      </c>
      <c r="H18" s="3">
        <v>0.06</v>
      </c>
      <c r="I18" s="3">
        <v>0.51444364647106122</v>
      </c>
      <c r="J18">
        <v>0.35</v>
      </c>
    </row>
    <row r="19" spans="1:10" x14ac:dyDescent="0.25">
      <c r="A19" t="s">
        <v>24</v>
      </c>
      <c r="B19" s="5">
        <v>889</v>
      </c>
      <c r="E19" s="3">
        <v>0.08</v>
      </c>
      <c r="F19" s="3">
        <v>0.34798311994270337</v>
      </c>
      <c r="H19" s="3">
        <v>0.08</v>
      </c>
      <c r="I19" s="3">
        <v>0.40923221535236393</v>
      </c>
      <c r="J19">
        <v>0.35</v>
      </c>
    </row>
    <row r="20" spans="1:10" x14ac:dyDescent="0.25">
      <c r="A20" t="s">
        <v>17</v>
      </c>
      <c r="B20" s="5">
        <v>38</v>
      </c>
      <c r="E20" s="3">
        <v>0.1</v>
      </c>
      <c r="F20" s="3">
        <v>0.36060539275137038</v>
      </c>
      <c r="H20" s="3">
        <v>0.1</v>
      </c>
      <c r="I20" s="3">
        <v>0.32428665158528724</v>
      </c>
      <c r="J20">
        <v>0.35</v>
      </c>
    </row>
    <row r="21" spans="1:10" x14ac:dyDescent="0.25">
      <c r="E21" s="3">
        <v>0.12</v>
      </c>
      <c r="F21" s="3">
        <v>0.35936204221094792</v>
      </c>
      <c r="H21" s="3">
        <v>0.12</v>
      </c>
      <c r="I21" s="3">
        <v>0.25594811085400193</v>
      </c>
      <c r="J21">
        <v>0.35</v>
      </c>
    </row>
    <row r="22" spans="1:10" x14ac:dyDescent="0.25">
      <c r="A22" s="8" t="s">
        <v>28</v>
      </c>
      <c r="B22" s="7"/>
      <c r="E22" s="3">
        <v>0.14000000000000001</v>
      </c>
      <c r="F22" s="3">
        <v>0.34888767598314108</v>
      </c>
      <c r="H22" s="3">
        <v>0.14000000000000001</v>
      </c>
      <c r="I22" s="3">
        <v>0.20117396103361027</v>
      </c>
      <c r="J22">
        <v>0.35</v>
      </c>
    </row>
    <row r="23" spans="1:10" x14ac:dyDescent="0.25">
      <c r="A23" s="7" t="s">
        <v>29</v>
      </c>
      <c r="B23" s="7">
        <f>SUMPRODUCT(Wt,S_fished,Vul_proslot)</f>
        <v>3.6060539275137033</v>
      </c>
      <c r="E23" s="3">
        <v>0.16</v>
      </c>
      <c r="F23" s="3">
        <v>0.3325886091613498</v>
      </c>
      <c r="H23" s="3">
        <v>0.16</v>
      </c>
      <c r="I23" s="3">
        <v>0.15744137779847392</v>
      </c>
      <c r="J23">
        <v>0.35</v>
      </c>
    </row>
    <row r="24" spans="1:10" x14ac:dyDescent="0.25">
      <c r="A24" s="7" t="s">
        <v>35</v>
      </c>
      <c r="B24" s="7">
        <f>phi_vb_proslotF*u</f>
        <v>0.36060539275137038</v>
      </c>
      <c r="E24" s="3">
        <v>0.18</v>
      </c>
      <c r="F24" s="3">
        <v>0.31293056636909822</v>
      </c>
      <c r="H24" s="3">
        <v>0.18</v>
      </c>
      <c r="I24" s="3">
        <v>0.12266490923973974</v>
      </c>
      <c r="J24">
        <v>0.35</v>
      </c>
    </row>
    <row r="25" spans="1:10" x14ac:dyDescent="0.25">
      <c r="A25" s="7" t="s">
        <v>38</v>
      </c>
      <c r="B25" s="7">
        <f>SUMPRODUCT(S_fished,Rel_Fec)/SUMPRODUCT(S_unfished,Rel_Fec)</f>
        <v>0.32428665158528724</v>
      </c>
      <c r="E25" s="3">
        <v>0.2</v>
      </c>
      <c r="F25" s="3">
        <v>0.29166505340284121</v>
      </c>
      <c r="H25" s="3">
        <v>0.2</v>
      </c>
      <c r="I25" s="3">
        <v>9.5126136372191E-2</v>
      </c>
      <c r="J25">
        <v>0.35</v>
      </c>
    </row>
    <row r="26" spans="1:10" x14ac:dyDescent="0.25">
      <c r="E26" s="3">
        <v>0.22</v>
      </c>
      <c r="F26" s="3">
        <v>0.27000639968496848</v>
      </c>
      <c r="H26" s="3">
        <v>0.22</v>
      </c>
      <c r="I26" s="3">
        <v>7.3413789232793833E-2</v>
      </c>
      <c r="J26">
        <v>0.35</v>
      </c>
    </row>
    <row r="27" spans="1:10" x14ac:dyDescent="0.25">
      <c r="E27" s="3">
        <v>0.24</v>
      </c>
      <c r="F27" s="3">
        <v>0.24876931580846989</v>
      </c>
      <c r="H27" s="3">
        <v>0.24</v>
      </c>
      <c r="I27" s="3">
        <v>5.6372884184899413E-2</v>
      </c>
      <c r="J27">
        <v>0.35</v>
      </c>
    </row>
    <row r="28" spans="1:10" x14ac:dyDescent="0.25">
      <c r="E28" s="3">
        <v>0.26</v>
      </c>
      <c r="F28" s="3">
        <v>0.22847500825319594</v>
      </c>
      <c r="H28" s="3">
        <v>0.26</v>
      </c>
      <c r="I28" s="3">
        <v>4.3061629938369241E-2</v>
      </c>
      <c r="J28">
        <v>0.35</v>
      </c>
    </row>
    <row r="29" spans="1:10" x14ac:dyDescent="0.25">
      <c r="E29" s="3">
        <v>0.28000000000000003</v>
      </c>
      <c r="F29" s="3">
        <v>0.20943239288278362</v>
      </c>
      <c r="H29" s="3">
        <v>0.28000000000000003</v>
      </c>
      <c r="I29" s="3">
        <v>3.2715010284293598E-2</v>
      </c>
      <c r="J29">
        <v>0.35</v>
      </c>
    </row>
    <row r="30" spans="1:10" x14ac:dyDescent="0.25">
      <c r="E30" s="3">
        <v>0.3</v>
      </c>
      <c r="F30" s="3">
        <v>0.1917997041841471</v>
      </c>
      <c r="H30" s="3">
        <v>0.3</v>
      </c>
      <c r="I30" s="3">
        <v>2.4714092968864072E-2</v>
      </c>
      <c r="J30">
        <v>0.35</v>
      </c>
    </row>
    <row r="31" spans="1:10" x14ac:dyDescent="0.25">
      <c r="E31" s="3">
        <v>0.32</v>
      </c>
      <c r="F31" s="3">
        <v>0.17563076877002901</v>
      </c>
      <c r="H31" s="3">
        <v>0.32</v>
      </c>
      <c r="I31" s="3">
        <v>1.8560238601645258E-2</v>
      </c>
      <c r="J31">
        <v>0.35</v>
      </c>
    </row>
    <row r="32" spans="1:10" x14ac:dyDescent="0.25">
      <c r="E32" s="3">
        <v>0.34</v>
      </c>
      <c r="F32" s="3">
        <v>0.16090936533412603</v>
      </c>
      <c r="H32" s="3">
        <v>0.34</v>
      </c>
      <c r="I32" s="3">
        <v>1.3853492900203474E-2</v>
      </c>
      <c r="J32">
        <v>0.35</v>
      </c>
    </row>
    <row r="33" spans="5:10" x14ac:dyDescent="0.25">
      <c r="E33" s="3">
        <v>0.36</v>
      </c>
      <c r="F33" s="3">
        <v>0.14757439977050801</v>
      </c>
      <c r="H33" s="3">
        <v>0.36</v>
      </c>
      <c r="I33" s="3">
        <v>1.0274541611132814E-2</v>
      </c>
      <c r="J33">
        <v>0.35</v>
      </c>
    </row>
    <row r="34" spans="5:10" x14ac:dyDescent="0.25">
      <c r="E34" s="3">
        <v>0.38</v>
      </c>
      <c r="F34" s="3">
        <v>0.13553805851493544</v>
      </c>
      <c r="H34" s="3">
        <v>0.38</v>
      </c>
      <c r="I34" s="3">
        <v>7.569691634967431E-3</v>
      </c>
      <c r="J34">
        <v>0.35</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85E2-1E07-46CD-A77C-8D62FB306C89}">
  <dimension ref="A2:AC34"/>
  <sheetViews>
    <sheetView zoomScale="70" zoomScaleNormal="70" workbookViewId="0">
      <selection activeCell="G6" sqref="G6"/>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169.29800490703303</v>
      </c>
      <c r="F3" s="4">
        <f t="shared" si="0"/>
        <v>229.45732003442004</v>
      </c>
      <c r="G3" s="4">
        <f t="shared" si="0"/>
        <v>286.00003080372352</v>
      </c>
      <c r="H3" s="4">
        <f t="shared" si="0"/>
        <v>339.14355702856994</v>
      </c>
      <c r="I3" s="4">
        <f t="shared" si="0"/>
        <v>389.09224787103653</v>
      </c>
      <c r="J3" s="4">
        <f t="shared" si="0"/>
        <v>436.03816761148977</v>
      </c>
      <c r="K3" s="4">
        <f t="shared" si="0"/>
        <v>480.16183418020961</v>
      </c>
      <c r="L3" s="4">
        <f t="shared" si="0"/>
        <v>521.63291329062554</v>
      </c>
      <c r="M3" s="4">
        <f t="shared" si="0"/>
        <v>560.61087084326493</v>
      </c>
      <c r="N3" s="4">
        <f t="shared" si="0"/>
        <v>597.24558610906013</v>
      </c>
      <c r="O3" s="4">
        <f t="shared" si="0"/>
        <v>631.67792804984515</v>
      </c>
      <c r="P3" s="4">
        <f t="shared" si="0"/>
        <v>664.04029699212811</v>
      </c>
      <c r="Q3" s="4">
        <f t="shared" si="0"/>
        <v>694.45713373699937</v>
      </c>
      <c r="R3" s="4">
        <f t="shared" si="0"/>
        <v>723.04539806382229</v>
      </c>
      <c r="S3" s="4">
        <f t="shared" si="0"/>
        <v>749.91501846766334</v>
      </c>
      <c r="T3" s="4">
        <f t="shared" si="0"/>
        <v>775.16931485980615</v>
      </c>
      <c r="U3" s="4">
        <f t="shared" si="0"/>
        <v>798.90539585673105</v>
      </c>
      <c r="V3" s="4">
        <f t="shared" si="0"/>
        <v>821.21453218522799</v>
      </c>
      <c r="W3" s="4">
        <f t="shared" si="0"/>
        <v>842.18250763947162</v>
      </c>
      <c r="X3" s="4">
        <f t="shared" si="0"/>
        <v>861.8899489395709</v>
      </c>
      <c r="Y3" s="4">
        <f t="shared" si="0"/>
        <v>880.41263575997402</v>
      </c>
      <c r="Z3" s="4">
        <f t="shared" si="0"/>
        <v>897.82179211986181</v>
      </c>
      <c r="AA3" s="4">
        <f t="shared" si="0"/>
        <v>914.18436025599078</v>
      </c>
      <c r="AB3" s="4">
        <f t="shared" si="0"/>
        <v>929.56325803109132</v>
      </c>
      <c r="AC3" s="4">
        <f t="shared" si="0"/>
        <v>944.01762086761778</v>
      </c>
    </row>
    <row r="4" spans="1:29" x14ac:dyDescent="0.25">
      <c r="A4" t="s">
        <v>3</v>
      </c>
      <c r="B4" s="5">
        <v>1170</v>
      </c>
      <c r="D4" t="s">
        <v>8</v>
      </c>
      <c r="E4" s="3">
        <f t="shared" ref="E4:AC4" si="1">(a_wl*E3^b_wl)/1000</f>
        <v>2.4598150122807517E-2</v>
      </c>
      <c r="F4" s="3">
        <f t="shared" si="1"/>
        <v>7.1492783356680953E-2</v>
      </c>
      <c r="G4" s="3">
        <f t="shared" si="1"/>
        <v>0.15486200700566286</v>
      </c>
      <c r="H4" s="3">
        <f t="shared" si="1"/>
        <v>0.2816242438140879</v>
      </c>
      <c r="I4" s="3">
        <f t="shared" si="1"/>
        <v>0.45608605656118839</v>
      </c>
      <c r="J4" s="3">
        <f t="shared" si="1"/>
        <v>0.6802088929234229</v>
      </c>
      <c r="K4" s="3">
        <f t="shared" si="1"/>
        <v>0.95397891683095382</v>
      </c>
      <c r="L4" s="3">
        <f t="shared" si="1"/>
        <v>1.2757988764078561</v>
      </c>
      <c r="M4" s="3">
        <f t="shared" si="1"/>
        <v>1.6428609095577902</v>
      </c>
      <c r="N4" s="3">
        <f t="shared" si="1"/>
        <v>2.0514805926135318</v>
      </c>
      <c r="O4" s="3">
        <f t="shared" si="1"/>
        <v>2.4973844539216219</v>
      </c>
      <c r="P4" s="3">
        <f t="shared" si="1"/>
        <v>2.9759498414550034</v>
      </c>
      <c r="Q4" s="3">
        <f t="shared" si="1"/>
        <v>3.4823996614268307</v>
      </c>
      <c r="R4" s="3">
        <f t="shared" si="1"/>
        <v>4.0119563316261733</v>
      </c>
      <c r="S4" s="3">
        <f t="shared" si="1"/>
        <v>4.5599600467163359</v>
      </c>
      <c r="T4" s="3">
        <f t="shared" si="1"/>
        <v>5.1219565744127591</v>
      </c>
      <c r="U4" s="3">
        <f t="shared" si="1"/>
        <v>5.6937595637896132</v>
      </c>
      <c r="V4" s="3">
        <f t="shared" si="1"/>
        <v>6.271491919373231</v>
      </c>
      <c r="W4" s="3">
        <f t="shared" si="1"/>
        <v>6.8516102821273996</v>
      </c>
      <c r="X4" s="3">
        <f t="shared" si="1"/>
        <v>7.4309161249397606</v>
      </c>
      <c r="Y4" s="3">
        <f t="shared" si="1"/>
        <v>8.0065564535726779</v>
      </c>
      <c r="Z4" s="3">
        <f t="shared" si="1"/>
        <v>8.5760166252307855</v>
      </c>
      <c r="AA4" s="3">
        <f t="shared" si="1"/>
        <v>9.1371073661848392</v>
      </c>
      <c r="AB4" s="3">
        <f t="shared" si="1"/>
        <v>9.6879476908226412</v>
      </c>
      <c r="AC4" s="3">
        <f t="shared" si="1"/>
        <v>10.226945096511619</v>
      </c>
    </row>
    <row r="5" spans="1:29" x14ac:dyDescent="0.25">
      <c r="A5" t="s">
        <v>4</v>
      </c>
      <c r="B5" s="5">
        <v>6.2E-2</v>
      </c>
      <c r="D5" t="s">
        <v>10</v>
      </c>
      <c r="E5" s="3">
        <f t="shared" ref="E5:AC5" si="2">MAX(0,E4-wmat)</f>
        <v>0</v>
      </c>
      <c r="F5" s="3">
        <f t="shared" si="2"/>
        <v>0</v>
      </c>
      <c r="G5" s="3">
        <f t="shared" si="2"/>
        <v>0</v>
      </c>
      <c r="H5" s="3">
        <f t="shared" si="2"/>
        <v>0</v>
      </c>
      <c r="I5" s="3">
        <f t="shared" si="2"/>
        <v>0</v>
      </c>
      <c r="J5" s="3">
        <f t="shared" si="2"/>
        <v>0</v>
      </c>
      <c r="K5" s="3">
        <f t="shared" si="2"/>
        <v>0.27377002390753091</v>
      </c>
      <c r="L5" s="3">
        <f t="shared" si="2"/>
        <v>0.59558998348443315</v>
      </c>
      <c r="M5" s="3">
        <f t="shared" si="2"/>
        <v>0.96265201663436728</v>
      </c>
      <c r="N5" s="3">
        <f t="shared" si="2"/>
        <v>1.3712716996901089</v>
      </c>
      <c r="O5" s="3">
        <f t="shared" si="2"/>
        <v>1.817175560998199</v>
      </c>
      <c r="P5" s="3">
        <f t="shared" si="2"/>
        <v>2.2957409485315807</v>
      </c>
      <c r="Q5" s="3">
        <f t="shared" si="2"/>
        <v>2.802190768503408</v>
      </c>
      <c r="R5" s="3">
        <f t="shared" si="2"/>
        <v>3.3317474387027506</v>
      </c>
      <c r="S5" s="3">
        <f t="shared" si="2"/>
        <v>3.8797511537929132</v>
      </c>
      <c r="T5" s="3">
        <f t="shared" si="2"/>
        <v>4.4417476814893364</v>
      </c>
      <c r="U5" s="3">
        <f t="shared" si="2"/>
        <v>5.0135506708661906</v>
      </c>
      <c r="V5" s="3">
        <f t="shared" si="2"/>
        <v>5.5912830264498083</v>
      </c>
      <c r="W5" s="3">
        <f t="shared" si="2"/>
        <v>6.171401389203977</v>
      </c>
      <c r="X5" s="3">
        <f t="shared" si="2"/>
        <v>6.7507072320163379</v>
      </c>
      <c r="Y5" s="3">
        <f t="shared" si="2"/>
        <v>7.3263475606492552</v>
      </c>
      <c r="Z5" s="3">
        <f t="shared" si="2"/>
        <v>7.8958077323073628</v>
      </c>
      <c r="AA5" s="3">
        <f t="shared" si="2"/>
        <v>8.4568984732614165</v>
      </c>
      <c r="AB5" s="3">
        <f t="shared" si="2"/>
        <v>9.0077387978992185</v>
      </c>
      <c r="AC5" s="3">
        <f t="shared" si="2"/>
        <v>9.5467362035881962</v>
      </c>
    </row>
    <row r="6" spans="1:29" x14ac:dyDescent="0.25">
      <c r="A6" t="s">
        <v>5</v>
      </c>
      <c r="B6" s="5">
        <v>-1.5209999999999999</v>
      </c>
      <c r="D6" t="s">
        <v>14</v>
      </c>
      <c r="E6" s="6">
        <v>1</v>
      </c>
      <c r="F6" s="3">
        <f t="shared" ref="F6:AC6" si="3">E6*So</f>
        <v>0.91119350029614055</v>
      </c>
      <c r="G6" s="3">
        <f t="shared" si="3"/>
        <v>0.83027359498193265</v>
      </c>
      <c r="H6" s="3">
        <f t="shared" si="3"/>
        <v>0.75653990321504727</v>
      </c>
      <c r="I6" s="3">
        <f t="shared" si="3"/>
        <v>0.68935424252422228</v>
      </c>
      <c r="J6" s="3">
        <f t="shared" si="3"/>
        <v>0.62813510518964066</v>
      </c>
      <c r="K6" s="3">
        <f t="shared" si="3"/>
        <v>0.5723526251566331</v>
      </c>
      <c r="L6" s="3">
        <f t="shared" si="3"/>
        <v>0.52152399192015741</v>
      </c>
      <c r="M6" s="3">
        <f t="shared" si="3"/>
        <v>0.47520927168614435</v>
      </c>
      <c r="N6" s="3">
        <f t="shared" si="3"/>
        <v>0.43300759964087748</v>
      </c>
      <c r="O6" s="3">
        <f t="shared" si="3"/>
        <v>0.39455371037160103</v>
      </c>
      <c r="P6" s="3">
        <f t="shared" si="3"/>
        <v>0.3595147764083288</v>
      </c>
      <c r="Q6" s="3">
        <f t="shared" si="3"/>
        <v>0.32758752752368947</v>
      </c>
      <c r="R6" s="3">
        <f t="shared" si="3"/>
        <v>0.29849562585766887</v>
      </c>
      <c r="S6" s="3">
        <f t="shared" si="3"/>
        <v>0.27198727414833646</v>
      </c>
      <c r="T6" s="3">
        <f t="shared" si="3"/>
        <v>0.24783303636722867</v>
      </c>
      <c r="U6" s="3">
        <f t="shared" si="3"/>
        <v>0.22582385189647577</v>
      </c>
      <c r="V6" s="3">
        <f t="shared" si="3"/>
        <v>0.205769226059907</v>
      </c>
      <c r="W6" s="3">
        <f t="shared" si="3"/>
        <v>0.18749558134675448</v>
      </c>
      <c r="X6" s="3">
        <f t="shared" si="3"/>
        <v>0.17084475505740898</v>
      </c>
      <c r="Y6" s="3">
        <f t="shared" si="3"/>
        <v>0.15567263036799725</v>
      </c>
      <c r="Z6" s="3">
        <f t="shared" si="3"/>
        <v>0.14184788896532269</v>
      </c>
      <c r="AA6" s="3">
        <f t="shared" si="3"/>
        <v>0.12925087445593067</v>
      </c>
      <c r="AB6" s="3">
        <f t="shared" si="3"/>
        <v>0.11777255671183649</v>
      </c>
      <c r="AC6" s="3">
        <f t="shared" si="3"/>
        <v>0.10731358818908401</v>
      </c>
    </row>
    <row r="7" spans="1:29" x14ac:dyDescent="0.25">
      <c r="D7" t="s">
        <v>15</v>
      </c>
      <c r="E7" s="6">
        <v>1</v>
      </c>
      <c r="F7" s="3">
        <f t="shared" ref="F7:AC7" si="4">E7*So*(1-u*E11)</f>
        <v>0.91119349914289527</v>
      </c>
      <c r="G7" s="3">
        <f t="shared" si="4"/>
        <v>0.83027082735907554</v>
      </c>
      <c r="H7" s="3">
        <f t="shared" si="4"/>
        <v>0.75606759590565586</v>
      </c>
      <c r="I7" s="3">
        <f t="shared" si="4"/>
        <v>0.67959979459877451</v>
      </c>
      <c r="J7" s="3">
        <f t="shared" si="4"/>
        <v>0.58306317049584133</v>
      </c>
      <c r="K7" s="3">
        <f t="shared" si="4"/>
        <v>0.48207358921067178</v>
      </c>
      <c r="L7" s="3">
        <f t="shared" si="4"/>
        <v>0.39553522603816149</v>
      </c>
      <c r="M7" s="3">
        <f t="shared" si="4"/>
        <v>0.32437208635560338</v>
      </c>
      <c r="N7" s="3">
        <f t="shared" si="4"/>
        <v>0.26600919682830504</v>
      </c>
      <c r="O7" s="3">
        <f t="shared" si="4"/>
        <v>0.21814744218779777</v>
      </c>
      <c r="P7" s="3">
        <f t="shared" si="4"/>
        <v>0.1789030875529071</v>
      </c>
      <c r="Q7" s="3">
        <f t="shared" si="4"/>
        <v>0.14679482144029191</v>
      </c>
      <c r="R7" s="3">
        <f t="shared" si="4"/>
        <v>0.12088754492190046</v>
      </c>
      <c r="S7" s="3">
        <f t="shared" si="4"/>
        <v>0.10081825343879201</v>
      </c>
      <c r="T7" s="3">
        <f t="shared" si="4"/>
        <v>8.6125516106389688E-2</v>
      </c>
      <c r="U7" s="3">
        <f t="shared" si="4"/>
        <v>7.5616832607372828E-2</v>
      </c>
      <c r="V7" s="3">
        <f t="shared" si="4"/>
        <v>6.7759690461049113E-2</v>
      </c>
      <c r="W7" s="3">
        <f t="shared" si="4"/>
        <v>6.1374306225920799E-2</v>
      </c>
      <c r="X7" s="3">
        <f t="shared" si="4"/>
        <v>5.5826414104696361E-2</v>
      </c>
      <c r="Y7" s="3">
        <f t="shared" si="4"/>
        <v>5.0846864319238919E-2</v>
      </c>
      <c r="Z7" s="3">
        <f t="shared" si="4"/>
        <v>4.6327087252110891E-2</v>
      </c>
      <c r="AA7" s="3">
        <f t="shared" si="4"/>
        <v>4.2212199484196536E-2</v>
      </c>
      <c r="AB7" s="3">
        <f t="shared" si="4"/>
        <v>3.846336245788514E-2</v>
      </c>
      <c r="AC7" s="3">
        <f t="shared" si="4"/>
        <v>3.5047547719826357E-2</v>
      </c>
    </row>
    <row r="8" spans="1:29" x14ac:dyDescent="0.25">
      <c r="A8" t="s">
        <v>6</v>
      </c>
      <c r="B8" s="5">
        <f>10^-6.42937</f>
        <v>3.7207457983382173E-7</v>
      </c>
      <c r="D8" t="s">
        <v>18</v>
      </c>
      <c r="E8" s="2">
        <f t="shared" ref="E8:AC8" si="5">_xlfn.NORM.DIST(E3,Min_LL,Min_SD,TRUE)</f>
        <v>1.2656425680520308E-8</v>
      </c>
      <c r="F8" s="2">
        <f t="shared" si="5"/>
        <v>3.3321209391857777E-5</v>
      </c>
      <c r="G8" s="2">
        <f t="shared" si="5"/>
        <v>6.2096795346569065E-3</v>
      </c>
      <c r="H8" s="2">
        <f t="shared" si="5"/>
        <v>0.13534274042250488</v>
      </c>
      <c r="I8" s="2">
        <f t="shared" si="5"/>
        <v>0.58431853645487553</v>
      </c>
      <c r="J8" s="2">
        <f t="shared" si="5"/>
        <v>0.92624359566147796</v>
      </c>
      <c r="K8" s="2">
        <f t="shared" si="5"/>
        <v>0.99546655857569388</v>
      </c>
      <c r="L8" s="2">
        <f t="shared" si="5"/>
        <v>0.99989256759642364</v>
      </c>
      <c r="M8" s="2">
        <f t="shared" si="5"/>
        <v>0.9999988584585735</v>
      </c>
      <c r="N8" s="2">
        <f t="shared" si="5"/>
        <v>0.99999999367303016</v>
      </c>
      <c r="O8" s="2">
        <f t="shared" si="5"/>
        <v>0.99999999997899192</v>
      </c>
      <c r="P8" s="2">
        <f t="shared" si="5"/>
        <v>0.99999999999995282</v>
      </c>
      <c r="Q8" s="2">
        <f t="shared" si="5"/>
        <v>0.99999999999999989</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7</v>
      </c>
      <c r="B9" s="5">
        <v>3.5089700000000001</v>
      </c>
      <c r="D9" t="s">
        <v>25</v>
      </c>
      <c r="E9" s="2">
        <f t="shared" ref="E9:AC9" si="6">1-_xlfn.NORM.DIST(E3,Upper_LL,Min_SD,TRUE)</f>
        <v>1</v>
      </c>
      <c r="F9" s="2">
        <f t="shared" si="6"/>
        <v>1</v>
      </c>
      <c r="G9" s="2">
        <f t="shared" si="6"/>
        <v>1</v>
      </c>
      <c r="H9" s="2">
        <f t="shared" si="6"/>
        <v>1</v>
      </c>
      <c r="I9" s="2">
        <f t="shared" si="6"/>
        <v>1</v>
      </c>
      <c r="J9" s="2">
        <f t="shared" si="6"/>
        <v>1</v>
      </c>
      <c r="K9" s="2">
        <f t="shared" si="6"/>
        <v>0.99999999999994005</v>
      </c>
      <c r="L9" s="2">
        <f t="shared" si="6"/>
        <v>0.99999999987375188</v>
      </c>
      <c r="M9" s="2">
        <f t="shared" si="6"/>
        <v>0.99999994200786646</v>
      </c>
      <c r="N9" s="2">
        <f t="shared" si="6"/>
        <v>0.99999273324975613</v>
      </c>
      <c r="O9" s="2">
        <f t="shared" si="6"/>
        <v>0.99969768421087657</v>
      </c>
      <c r="P9" s="2">
        <f t="shared" si="6"/>
        <v>0.99502967389602437</v>
      </c>
      <c r="Q9" s="2">
        <f t="shared" si="6"/>
        <v>0.96225237916517603</v>
      </c>
      <c r="R9" s="2">
        <f t="shared" si="6"/>
        <v>0.84734697547909099</v>
      </c>
      <c r="S9" s="2">
        <f t="shared" si="6"/>
        <v>0.62476732803534651</v>
      </c>
      <c r="T9" s="2">
        <f t="shared" si="6"/>
        <v>0.36446060581497475</v>
      </c>
      <c r="U9" s="2">
        <f t="shared" si="6"/>
        <v>0.16572568428891954</v>
      </c>
      <c r="V9" s="2">
        <f t="shared" si="6"/>
        <v>5.9583780080505688E-2</v>
      </c>
      <c r="W9" s="2">
        <f t="shared" si="6"/>
        <v>1.7426336094538142E-2</v>
      </c>
      <c r="X9" s="2">
        <f t="shared" si="6"/>
        <v>4.2858127908452781E-3</v>
      </c>
      <c r="Y9" s="2">
        <f t="shared" si="6"/>
        <v>9.1623223650783014E-4</v>
      </c>
      <c r="Z9" s="2">
        <f t="shared" si="6"/>
        <v>1.7561145118005772E-4</v>
      </c>
      <c r="AA9" s="2">
        <f t="shared" si="6"/>
        <v>3.1028215139228266E-5</v>
      </c>
      <c r="AB9" s="2">
        <f t="shared" si="6"/>
        <v>5.1790567230369788E-6</v>
      </c>
      <c r="AC9" s="2">
        <f t="shared" si="6"/>
        <v>8.3416679885761624E-7</v>
      </c>
    </row>
    <row r="10" spans="1:29" x14ac:dyDescent="0.25">
      <c r="D10" t="s">
        <v>26</v>
      </c>
      <c r="E10" s="2">
        <f>1-(MIN(E8:E9))</f>
        <v>0.99999998734357431</v>
      </c>
      <c r="F10" s="2">
        <f t="shared" ref="F10:R10" si="7">1-(MIN(F8:F9))</f>
        <v>0.99996667879060819</v>
      </c>
      <c r="G10" s="2">
        <f t="shared" si="7"/>
        <v>0.9937903204653431</v>
      </c>
      <c r="H10" s="2">
        <f t="shared" si="7"/>
        <v>0.86465725957749506</v>
      </c>
      <c r="I10" s="2">
        <f t="shared" si="7"/>
        <v>0.41568146354512447</v>
      </c>
      <c r="J10" s="2">
        <f t="shared" si="7"/>
        <v>7.3756404338522041E-2</v>
      </c>
      <c r="K10" s="2">
        <f t="shared" si="7"/>
        <v>4.5334414243061172E-3</v>
      </c>
      <c r="L10" s="2">
        <f t="shared" si="7"/>
        <v>1.0743240357635742E-4</v>
      </c>
      <c r="M10" s="2">
        <f t="shared" si="7"/>
        <v>1.1415414264970281E-6</v>
      </c>
      <c r="N10" s="2">
        <f t="shared" si="7"/>
        <v>7.2667502438727993E-6</v>
      </c>
      <c r="O10" s="2">
        <f t="shared" si="7"/>
        <v>3.0231578912343071E-4</v>
      </c>
      <c r="P10" s="2">
        <f t="shared" si="7"/>
        <v>4.9703261039756308E-3</v>
      </c>
      <c r="Q10" s="2">
        <f t="shared" si="7"/>
        <v>3.7747620834823969E-2</v>
      </c>
      <c r="R10" s="2">
        <f t="shared" si="7"/>
        <v>0.15265302452090901</v>
      </c>
      <c r="S10" s="2">
        <f>1-(MIN(S8:S9))</f>
        <v>0.37523267196465349</v>
      </c>
      <c r="T10" s="2">
        <f t="shared" ref="T10:AC10" si="8">1-(MIN(T8:T9))</f>
        <v>0.63553939418502525</v>
      </c>
      <c r="U10" s="2">
        <f t="shared" si="8"/>
        <v>0.83427431571108046</v>
      </c>
      <c r="V10" s="2">
        <f t="shared" si="8"/>
        <v>0.94041621991949431</v>
      </c>
      <c r="W10" s="2">
        <f t="shared" si="8"/>
        <v>0.98257366390546186</v>
      </c>
      <c r="X10" s="2">
        <f t="shared" si="8"/>
        <v>0.99571418720915472</v>
      </c>
      <c r="Y10" s="2">
        <f t="shared" si="8"/>
        <v>0.99908376776349217</v>
      </c>
      <c r="Z10" s="2">
        <f t="shared" si="8"/>
        <v>0.99982438854881994</v>
      </c>
      <c r="AA10" s="2">
        <f t="shared" si="8"/>
        <v>0.99996897178486077</v>
      </c>
      <c r="AB10" s="2">
        <f t="shared" si="8"/>
        <v>0.99999482094327696</v>
      </c>
      <c r="AC10" s="2">
        <f t="shared" si="8"/>
        <v>0.99999916583320114</v>
      </c>
    </row>
    <row r="11" spans="1:29" x14ac:dyDescent="0.25">
      <c r="A11" t="s">
        <v>9</v>
      </c>
      <c r="B11" s="3">
        <f>J4</f>
        <v>0.6802088929234229</v>
      </c>
      <c r="D11" t="s">
        <v>27</v>
      </c>
      <c r="E11" s="2">
        <f>1-E10</f>
        <v>1.2656425685264594E-8</v>
      </c>
      <c r="F11" s="2">
        <f t="shared" ref="F11:AC11" si="9">1-F10</f>
        <v>3.3321209391812268E-5</v>
      </c>
      <c r="G11" s="2">
        <f t="shared" si="9"/>
        <v>6.2096795346568978E-3</v>
      </c>
      <c r="H11" s="2">
        <f t="shared" si="9"/>
        <v>0.13534274042250494</v>
      </c>
      <c r="I11" s="2">
        <f t="shared" si="9"/>
        <v>0.58431853645487553</v>
      </c>
      <c r="J11" s="2">
        <f t="shared" si="9"/>
        <v>0.92624359566147796</v>
      </c>
      <c r="K11" s="2">
        <f t="shared" si="9"/>
        <v>0.99546655857569388</v>
      </c>
      <c r="L11" s="2">
        <f t="shared" si="9"/>
        <v>0.99989256759642364</v>
      </c>
      <c r="M11" s="2">
        <f t="shared" si="9"/>
        <v>0.9999988584585735</v>
      </c>
      <c r="N11" s="2">
        <f t="shared" si="9"/>
        <v>0.99999273324975613</v>
      </c>
      <c r="O11" s="2">
        <f t="shared" si="9"/>
        <v>0.99969768421087657</v>
      </c>
      <c r="P11" s="2">
        <f t="shared" si="9"/>
        <v>0.99502967389602437</v>
      </c>
      <c r="Q11" s="2">
        <f t="shared" si="9"/>
        <v>0.96225237916517603</v>
      </c>
      <c r="R11" s="2">
        <f t="shared" si="9"/>
        <v>0.84734697547909099</v>
      </c>
      <c r="S11" s="2">
        <f t="shared" si="9"/>
        <v>0.62476732803534651</v>
      </c>
      <c r="T11" s="2">
        <f t="shared" si="9"/>
        <v>0.36446060581497475</v>
      </c>
      <c r="U11" s="2">
        <f t="shared" si="9"/>
        <v>0.16572568428891954</v>
      </c>
      <c r="V11" s="2">
        <f t="shared" si="9"/>
        <v>5.9583780080505688E-2</v>
      </c>
      <c r="W11" s="2">
        <f t="shared" si="9"/>
        <v>1.7426336094538142E-2</v>
      </c>
      <c r="X11" s="2">
        <f t="shared" si="9"/>
        <v>4.2858127908452781E-3</v>
      </c>
      <c r="Y11" s="2">
        <f t="shared" si="9"/>
        <v>9.1623223650783014E-4</v>
      </c>
      <c r="Z11" s="2">
        <f t="shared" si="9"/>
        <v>1.7561145118005772E-4</v>
      </c>
      <c r="AA11" s="2">
        <f t="shared" si="9"/>
        <v>3.1028215139228266E-5</v>
      </c>
      <c r="AB11" s="2">
        <f t="shared" si="9"/>
        <v>5.1790567230369788E-6</v>
      </c>
      <c r="AC11" s="2">
        <f t="shared" si="9"/>
        <v>8.3416679885761624E-7</v>
      </c>
    </row>
    <row r="13" spans="1:29" x14ac:dyDescent="0.25">
      <c r="A13" t="s">
        <v>11</v>
      </c>
      <c r="B13">
        <f>1.5*K</f>
        <v>9.2999999999999999E-2</v>
      </c>
    </row>
    <row r="14" spans="1:29" x14ac:dyDescent="0.25">
      <c r="A14" t="s">
        <v>12</v>
      </c>
      <c r="B14" s="3">
        <f>EXP(-M)</f>
        <v>0.91119350029614055</v>
      </c>
      <c r="E14" t="s">
        <v>21</v>
      </c>
      <c r="F14" t="s">
        <v>20</v>
      </c>
      <c r="H14" t="s">
        <v>21</v>
      </c>
      <c r="I14" t="s">
        <v>19</v>
      </c>
      <c r="J14" t="s">
        <v>22</v>
      </c>
    </row>
    <row r="15" spans="1:29" x14ac:dyDescent="0.25">
      <c r="A15" t="s">
        <v>13</v>
      </c>
      <c r="B15" s="5">
        <v>0.1</v>
      </c>
      <c r="E15">
        <v>0</v>
      </c>
      <c r="F15" s="3">
        <f>YPR_proslot</f>
        <v>0.515055096806596</v>
      </c>
      <c r="H15">
        <v>0</v>
      </c>
      <c r="I15" s="3">
        <f>B25</f>
        <v>0.39212754223489521</v>
      </c>
    </row>
    <row r="16" spans="1:29" x14ac:dyDescent="0.25">
      <c r="E16" s="3">
        <v>0.02</v>
      </c>
      <c r="F16" s="3">
        <f t="dataTable" ref="F16:F34" dt2D="0" dtr="0" r1="B15" ca="1"/>
        <v>0.16345633473368804</v>
      </c>
      <c r="H16" s="3">
        <v>0.02</v>
      </c>
      <c r="I16" s="3">
        <f t="dataTable" ref="I16:I34" dt2D="0" dtr="0" r1="B15"/>
        <v>0.83082339281428108</v>
      </c>
      <c r="J16">
        <v>0.35</v>
      </c>
    </row>
    <row r="17" spans="1:10" x14ac:dyDescent="0.25">
      <c r="A17" s="1" t="s">
        <v>23</v>
      </c>
      <c r="E17" s="3">
        <v>0.04</v>
      </c>
      <c r="F17" s="3">
        <v>0.29059914980511037</v>
      </c>
      <c r="H17" s="3">
        <v>0.04</v>
      </c>
      <c r="I17" s="3">
        <v>0.68949051743385015</v>
      </c>
      <c r="J17">
        <v>0.35</v>
      </c>
    </row>
    <row r="18" spans="1:10" x14ac:dyDescent="0.25">
      <c r="A18" t="s">
        <v>16</v>
      </c>
      <c r="B18" s="5">
        <v>381</v>
      </c>
      <c r="E18" s="3">
        <v>0.06</v>
      </c>
      <c r="F18" s="3">
        <v>0.38803506216325967</v>
      </c>
      <c r="H18" s="3">
        <v>0.06</v>
      </c>
      <c r="I18" s="3">
        <v>0.5716502688678583</v>
      </c>
      <c r="J18">
        <v>0.35</v>
      </c>
    </row>
    <row r="19" spans="1:10" x14ac:dyDescent="0.25">
      <c r="A19" t="s">
        <v>24</v>
      </c>
      <c r="B19" s="5">
        <v>762</v>
      </c>
      <c r="E19" s="3">
        <v>0.08</v>
      </c>
      <c r="F19" s="3">
        <v>0.46130863283685108</v>
      </c>
      <c r="H19" s="3">
        <v>0.08</v>
      </c>
      <c r="I19" s="3">
        <v>0.47358535008167174</v>
      </c>
      <c r="J19">
        <v>0.35</v>
      </c>
    </row>
    <row r="20" spans="1:10" x14ac:dyDescent="0.25">
      <c r="A20" t="s">
        <v>17</v>
      </c>
      <c r="B20" s="5">
        <v>38</v>
      </c>
      <c r="E20" s="3">
        <v>0.1</v>
      </c>
      <c r="F20" s="3">
        <v>0.515055096806596</v>
      </c>
      <c r="H20" s="3">
        <v>0.1</v>
      </c>
      <c r="I20" s="3">
        <v>0.39212754223489521</v>
      </c>
      <c r="J20">
        <v>0.35</v>
      </c>
    </row>
    <row r="21" spans="1:10" x14ac:dyDescent="0.25">
      <c r="E21" s="3">
        <v>0.12</v>
      </c>
      <c r="F21" s="3">
        <v>0.55313351418156032</v>
      </c>
      <c r="H21" s="3">
        <v>0.12</v>
      </c>
      <c r="I21" s="3">
        <v>0.32458321314621252</v>
      </c>
      <c r="J21">
        <v>0.35</v>
      </c>
    </row>
    <row r="22" spans="1:10" x14ac:dyDescent="0.25">
      <c r="A22" s="8" t="s">
        <v>31</v>
      </c>
      <c r="B22" s="7"/>
      <c r="E22" s="3">
        <v>0.14000000000000001</v>
      </c>
      <c r="F22" s="3">
        <v>0.57874255641750139</v>
      </c>
      <c r="H22" s="3">
        <v>0.14000000000000001</v>
      </c>
      <c r="I22" s="3">
        <v>0.26866796414317645</v>
      </c>
      <c r="J22">
        <v>0.35</v>
      </c>
    </row>
    <row r="23" spans="1:10" x14ac:dyDescent="0.25">
      <c r="A23" s="7" t="s">
        <v>33</v>
      </c>
      <c r="B23" s="7">
        <f>SUMPRODUCT(Wt,S_fished,Vul_harvslot)</f>
        <v>5.1505509680659598</v>
      </c>
      <c r="E23" s="3">
        <v>0.16</v>
      </c>
      <c r="F23" s="3">
        <v>0.59452092399524537</v>
      </c>
      <c r="H23" s="3">
        <v>0.16</v>
      </c>
      <c r="I23" s="3">
        <v>0.22244941848526206</v>
      </c>
      <c r="J23">
        <v>0.35</v>
      </c>
    </row>
    <row r="24" spans="1:10" x14ac:dyDescent="0.25">
      <c r="A24" s="7" t="s">
        <v>36</v>
      </c>
      <c r="B24" s="7">
        <f>phi_vb_harvslotF*u</f>
        <v>0.515055096806596</v>
      </c>
      <c r="E24" s="3">
        <v>0.18</v>
      </c>
      <c r="F24" s="3">
        <v>0.60263419279247965</v>
      </c>
      <c r="H24" s="3">
        <v>0.18</v>
      </c>
      <c r="I24" s="3">
        <v>0.18429724935831707</v>
      </c>
      <c r="J24">
        <v>0.35</v>
      </c>
    </row>
    <row r="25" spans="1:10" x14ac:dyDescent="0.25">
      <c r="A25" s="7" t="s">
        <v>40</v>
      </c>
      <c r="B25" s="7">
        <f>SUMPRODUCT(S_fished,Rel_Fec)/SUMPRODUCT(S_unfished,Rel_Fec)</f>
        <v>0.39212754223489521</v>
      </c>
      <c r="E25" s="3">
        <v>0.2</v>
      </c>
      <c r="F25" s="3">
        <v>0.60484970408152461</v>
      </c>
      <c r="H25" s="3">
        <v>0.2</v>
      </c>
      <c r="I25" s="3">
        <v>0.15283963257019725</v>
      </c>
      <c r="J25">
        <v>0.35</v>
      </c>
    </row>
    <row r="26" spans="1:10" x14ac:dyDescent="0.25">
      <c r="E26" s="3">
        <v>0.22</v>
      </c>
      <c r="F26" s="3">
        <v>0.60260094648637241</v>
      </c>
      <c r="H26" s="3">
        <v>0.22</v>
      </c>
      <c r="I26" s="3">
        <v>0.12692538904468742</v>
      </c>
      <c r="J26">
        <v>0.35</v>
      </c>
    </row>
    <row r="27" spans="1:10" x14ac:dyDescent="0.25">
      <c r="E27" s="3">
        <v>0.24</v>
      </c>
      <c r="F27" s="3">
        <v>0.59704272621812027</v>
      </c>
      <c r="H27" s="3">
        <v>0.24</v>
      </c>
      <c r="I27" s="3">
        <v>0.10559115550025971</v>
      </c>
      <c r="J27">
        <v>0.35</v>
      </c>
    </row>
    <row r="28" spans="1:10" x14ac:dyDescent="0.25">
      <c r="E28" s="3">
        <v>0.26</v>
      </c>
      <c r="F28" s="3">
        <v>0.58909828342546933</v>
      </c>
      <c r="H28" s="3">
        <v>0.26</v>
      </c>
      <c r="I28" s="3">
        <v>8.8032988772032986E-2</v>
      </c>
      <c r="J28">
        <v>0.35</v>
      </c>
    </row>
    <row r="29" spans="1:10" x14ac:dyDescent="0.25">
      <c r="E29" s="3">
        <v>0.28000000000000003</v>
      </c>
      <c r="F29" s="3">
        <v>0.57949938655342881</v>
      </c>
      <c r="H29" s="3">
        <v>0.28000000000000003</v>
      </c>
      <c r="I29" s="3">
        <v>7.3581870524566093E-2</v>
      </c>
      <c r="J29">
        <v>0.35</v>
      </c>
    </row>
    <row r="30" spans="1:10" x14ac:dyDescent="0.25">
      <c r="E30" s="3">
        <v>0.3</v>
      </c>
      <c r="F30" s="3">
        <v>0.56882032226362311</v>
      </c>
      <c r="H30" s="3">
        <v>0.3</v>
      </c>
      <c r="I30" s="3">
        <v>6.1682635020793922E-2</v>
      </c>
      <c r="J30">
        <v>0.35</v>
      </c>
    </row>
    <row r="31" spans="1:10" x14ac:dyDescent="0.25">
      <c r="E31" s="3">
        <v>0.32</v>
      </c>
      <c r="F31" s="3">
        <v>0.5575065948539063</v>
      </c>
      <c r="H31" s="3">
        <v>0.32</v>
      </c>
      <c r="I31" s="3">
        <v>5.1875893546325429E-2</v>
      </c>
      <c r="J31">
        <v>0.35</v>
      </c>
    </row>
    <row r="32" spans="1:10" x14ac:dyDescent="0.25">
      <c r="E32" s="3">
        <v>0.34</v>
      </c>
      <c r="F32" s="3">
        <v>0.54589905539634875</v>
      </c>
      <c r="H32" s="3">
        <v>0.34</v>
      </c>
      <c r="I32" s="3">
        <v>4.3782575404159967E-2</v>
      </c>
      <c r="J32">
        <v>0.35</v>
      </c>
    </row>
    <row r="33" spans="5:10" x14ac:dyDescent="0.25">
      <c r="E33" s="3">
        <v>0.36</v>
      </c>
      <c r="F33" s="3">
        <v>0.53425409621456488</v>
      </c>
      <c r="H33" s="3">
        <v>0.36</v>
      </c>
      <c r="I33" s="3">
        <v>3.7090747437125711E-2</v>
      </c>
      <c r="J33">
        <v>0.35</v>
      </c>
    </row>
    <row r="34" spans="5:10" x14ac:dyDescent="0.25">
      <c r="E34" s="3">
        <v>0.38</v>
      </c>
      <c r="F34" s="3">
        <v>0.52276047011535787</v>
      </c>
      <c r="H34" s="3">
        <v>0.38</v>
      </c>
      <c r="I34" s="3">
        <v>3.154441212821342E-2</v>
      </c>
      <c r="J34">
        <v>0.35</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92</vt:i4>
      </vt:variant>
    </vt:vector>
  </HeadingPairs>
  <TitlesOfParts>
    <vt:vector size="95" baseType="lpstr">
      <vt:lpstr>no_length</vt:lpstr>
      <vt:lpstr>protected_slot</vt:lpstr>
      <vt:lpstr>maximum</vt:lpstr>
      <vt:lpstr>maximum!a_wl</vt:lpstr>
      <vt:lpstr>no_length!a_wl</vt:lpstr>
      <vt:lpstr>protected_slot!a_wl</vt:lpstr>
      <vt:lpstr>maximum!Age</vt:lpstr>
      <vt:lpstr>no_length!Age</vt:lpstr>
      <vt:lpstr>protected_slot!Age</vt:lpstr>
      <vt:lpstr>maximum!b_wl</vt:lpstr>
      <vt:lpstr>no_length!b_wl</vt:lpstr>
      <vt:lpstr>protected_slot!b_wl</vt:lpstr>
      <vt:lpstr>no_length!Harvest_Slot</vt:lpstr>
      <vt:lpstr>maximum!K</vt:lpstr>
      <vt:lpstr>no_length!K</vt:lpstr>
      <vt:lpstr>protected_slot!K</vt:lpstr>
      <vt:lpstr>maximum!Linf</vt:lpstr>
      <vt:lpstr>no_length!Linf</vt:lpstr>
      <vt:lpstr>protected_slot!Linf</vt:lpstr>
      <vt:lpstr>maximum!M</vt:lpstr>
      <vt:lpstr>no_length!M</vt:lpstr>
      <vt:lpstr>protected_slot!M</vt:lpstr>
      <vt:lpstr>maximum!Min_LL</vt:lpstr>
      <vt:lpstr>no_length!Min_LL</vt:lpstr>
      <vt:lpstr>protected_slot!Min_LL</vt:lpstr>
      <vt:lpstr>maximum!Min_SD</vt:lpstr>
      <vt:lpstr>no_length!min_sd</vt:lpstr>
      <vt:lpstr>protected_slot!Min_SD</vt:lpstr>
      <vt:lpstr>Minimum_Length_Limit</vt:lpstr>
      <vt:lpstr>maximum!phi_vb_harvslotF</vt:lpstr>
      <vt:lpstr>no_length!phi_vb_harvslotF</vt:lpstr>
      <vt:lpstr>no_length!phi_vb_harvslotU</vt:lpstr>
      <vt:lpstr>maximum!phi_vb_proslotF</vt:lpstr>
      <vt:lpstr>no_length!phi_vb_proslotF</vt:lpstr>
      <vt:lpstr>protected_slot!phi_vb_proslotF</vt:lpstr>
      <vt:lpstr>no_length!phi_vb_proslotU</vt:lpstr>
      <vt:lpstr>no_length!phi_vbF</vt:lpstr>
      <vt:lpstr>maximum!Protected_Slot</vt:lpstr>
      <vt:lpstr>no_length!Protected_Slot</vt:lpstr>
      <vt:lpstr>protected_slot!Protected_Slot</vt:lpstr>
      <vt:lpstr>maximum!Rel_Fec</vt:lpstr>
      <vt:lpstr>no_length!Rel_Fec</vt:lpstr>
      <vt:lpstr>protected_slot!Rel_Fec</vt:lpstr>
      <vt:lpstr>maximum!S_fished</vt:lpstr>
      <vt:lpstr>no_length!S_fished</vt:lpstr>
      <vt:lpstr>protected_slot!S_fished</vt:lpstr>
      <vt:lpstr>maximum!S_unfished</vt:lpstr>
      <vt:lpstr>no_length!S_unfished</vt:lpstr>
      <vt:lpstr>protected_slot!S_unfished</vt:lpstr>
      <vt:lpstr>maximum!So</vt:lpstr>
      <vt:lpstr>no_length!So</vt:lpstr>
      <vt:lpstr>protected_slot!So</vt:lpstr>
      <vt:lpstr>no_length!SPR</vt:lpstr>
      <vt:lpstr>SPR_harvslot</vt:lpstr>
      <vt:lpstr>SPR_mll</vt:lpstr>
      <vt:lpstr>maximum!SPR_proslot</vt:lpstr>
      <vt:lpstr>SPR_proslot</vt:lpstr>
      <vt:lpstr>maximum!TL</vt:lpstr>
      <vt:lpstr>no_length!TL</vt:lpstr>
      <vt:lpstr>protected_slot!TL</vt:lpstr>
      <vt:lpstr>maximum!tnot</vt:lpstr>
      <vt:lpstr>no_length!tnot</vt:lpstr>
      <vt:lpstr>protected_slot!tnot</vt:lpstr>
      <vt:lpstr>maximum!u</vt:lpstr>
      <vt:lpstr>no_length!u</vt:lpstr>
      <vt:lpstr>protected_slot!u</vt:lpstr>
      <vt:lpstr>maximum!Upper_LL</vt:lpstr>
      <vt:lpstr>protected_slot!Upper_LL</vt:lpstr>
      <vt:lpstr>maximum!Vul_harvslot</vt:lpstr>
      <vt:lpstr>no_length!Vul_harvslot</vt:lpstr>
      <vt:lpstr>maximum!Vul_minLL</vt:lpstr>
      <vt:lpstr>no_length!Vul_minLL</vt:lpstr>
      <vt:lpstr>protected_slot!Vul_minLL</vt:lpstr>
      <vt:lpstr>maximum!Vul_proslot</vt:lpstr>
      <vt:lpstr>no_length!Vul_proslot</vt:lpstr>
      <vt:lpstr>protected_slot!Vul_proslot</vt:lpstr>
      <vt:lpstr>maximum!Vul_slot</vt:lpstr>
      <vt:lpstr>no_length!Vul_slot</vt:lpstr>
      <vt:lpstr>protected_slot!Vul_slot</vt:lpstr>
      <vt:lpstr>maximum!Vul_upLL</vt:lpstr>
      <vt:lpstr>no_length!Vul_upLL</vt:lpstr>
      <vt:lpstr>protected_slot!Vul_upLL</vt:lpstr>
      <vt:lpstr>maximum!wmat</vt:lpstr>
      <vt:lpstr>no_length!wmat</vt:lpstr>
      <vt:lpstr>protected_slot!wmat</vt:lpstr>
      <vt:lpstr>maximum!Wt</vt:lpstr>
      <vt:lpstr>no_length!Wt</vt:lpstr>
      <vt:lpstr>protected_slot!Wt</vt:lpstr>
      <vt:lpstr>no_length!YPR</vt:lpstr>
      <vt:lpstr>maximum!YPR_harvslot</vt:lpstr>
      <vt:lpstr>no_length!YPR_harvslot</vt:lpstr>
      <vt:lpstr>no_length!YPR_mll</vt:lpstr>
      <vt:lpstr>maximum!YPR_proslot</vt:lpstr>
      <vt:lpstr>no_length!YPR_proslot</vt:lpstr>
      <vt:lpstr>protected_slot!YPR_proslot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Ben.Neely</dc:creator>
  <cp:lastModifiedBy>Neely, Ben [KDWP]</cp:lastModifiedBy>
  <dcterms:created xsi:type="dcterms:W3CDTF">2020-02-21T15:12:57Z</dcterms:created>
  <dcterms:modified xsi:type="dcterms:W3CDTF">2024-04-18T18:33:12Z</dcterms:modified>
</cp:coreProperties>
</file>