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xml"/>
  <Override PartName="/xl/comments2.xml" ContentType="application/vnd.openxmlformats-officedocument.spreadsheetml.comments+xml"/>
  <Override PartName="/xl/threadedComments/threadedComment2.xml" ContentType="application/vnd.ms-excel.threadedcomment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3.xml" ContentType="application/vnd.openxmlformats-officedocument.drawing+xml"/>
  <Override PartName="/xl/comments3.xml" ContentType="application/vnd.openxmlformats-officedocument.spreadsheetml.comments+xml"/>
  <Override PartName="/xl/threadedComments/threadedComment3.xml" ContentType="application/vnd.ms-excel.threadedcomment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4.xml" ContentType="application/vnd.openxmlformats-officedocument.drawing+xml"/>
  <Override PartName="/xl/comments4.xml" ContentType="application/vnd.openxmlformats-officedocument.spreadsheetml.comments+xml"/>
  <Override PartName="/xl/threadedComments/threadedComment4.xml" ContentType="application/vnd.ms-excel.threadedcomment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defaultThemeVersion="166925"/>
  <mc:AlternateContent xmlns:mc="http://schemas.openxmlformats.org/markup-compatibility/2006">
    <mc:Choice Requires="x15">
      <x15ac:absPath xmlns:x15ac="http://schemas.microsoft.com/office/spreadsheetml/2010/11/ac" url="https://sokansas-my.sharepoint.com/personal/ben_neely_kansas_gov/Documents/Desktop/JFWM analysis/pop models/"/>
    </mc:Choice>
  </mc:AlternateContent>
  <xr:revisionPtr revIDLastSave="161" documentId="13_ncr:1_{871B92D9-FBB7-41B3-81CD-88E30161B4DA}" xr6:coauthVersionLast="47" xr6:coauthVersionMax="47" xr10:uidLastSave="{6469F4B7-DF6A-4D2F-AF0F-B4DDB4DB5DBD}"/>
  <bookViews>
    <workbookView xWindow="-120" yWindow="-120" windowWidth="29040" windowHeight="15720" xr2:uid="{A1F43D1B-5E26-48D9-A86E-BCA1B1606665}"/>
  </bookViews>
  <sheets>
    <sheet name="artproc" sheetId="8" r:id="rId1"/>
    <sheet name="artsurf" sheetId="9" r:id="rId2"/>
    <sheet name="basal" sheetId="10" r:id="rId3"/>
    <sheet name="otolith" sheetId="11" r:id="rId4"/>
  </sheets>
  <definedNames>
    <definedName name="a_wl" localSheetId="0">artproc!$B$8</definedName>
    <definedName name="a_wl" localSheetId="1">artsurf!$B$8</definedName>
    <definedName name="a_wl" localSheetId="2">basal!$B$8</definedName>
    <definedName name="a_wl" localSheetId="3">otolith!$B$8</definedName>
    <definedName name="a_wl">#REF!</definedName>
    <definedName name="Age" localSheetId="0">artproc!$E$2:$AC$2</definedName>
    <definedName name="Age" localSheetId="1">artsurf!$E$2:$AC$2</definedName>
    <definedName name="Age" localSheetId="2">basal!$E$2:$AC$2</definedName>
    <definedName name="Age" localSheetId="3">otolith!$E$2:$AC$2</definedName>
    <definedName name="Age">#REF!</definedName>
    <definedName name="b_wl" localSheetId="0">artproc!$B$9</definedName>
    <definedName name="b_wl" localSheetId="1">artsurf!$B$9</definedName>
    <definedName name="b_wl" localSheetId="2">basal!$B$9</definedName>
    <definedName name="b_wl" localSheetId="3">otolith!$B$9</definedName>
    <definedName name="b_wl">#REF!</definedName>
    <definedName name="Harvest_Slot" localSheetId="0">artproc!#REF!</definedName>
    <definedName name="Harvest_Slot" localSheetId="1">artsurf!#REF!</definedName>
    <definedName name="Harvest_Slot" localSheetId="2">basal!#REF!</definedName>
    <definedName name="Harvest_Slot" localSheetId="3">otolith!#REF!</definedName>
    <definedName name="Harvest_Slot">#REF!</definedName>
    <definedName name="K" localSheetId="0">artproc!$B$5</definedName>
    <definedName name="K" localSheetId="1">artsurf!$B$5</definedName>
    <definedName name="K" localSheetId="2">basal!$B$5</definedName>
    <definedName name="K" localSheetId="3">otolith!$B$5</definedName>
    <definedName name="K">#REF!</definedName>
    <definedName name="Linf" localSheetId="0">artproc!$B$4</definedName>
    <definedName name="Linf" localSheetId="1">artsurf!$B$4</definedName>
    <definedName name="Linf" localSheetId="2">basal!$B$4</definedName>
    <definedName name="Linf" localSheetId="3">otolith!$B$4</definedName>
    <definedName name="Linf">#REF!</definedName>
    <definedName name="M" localSheetId="0">artproc!$B$13</definedName>
    <definedName name="M" localSheetId="1">artsurf!$B$13</definedName>
    <definedName name="M" localSheetId="2">basal!$B$13</definedName>
    <definedName name="M" localSheetId="3">otolith!$B$13</definedName>
    <definedName name="M">#REF!</definedName>
    <definedName name="Min_LL" localSheetId="0">artproc!$B$18</definedName>
    <definedName name="Min_LL" localSheetId="1">artsurf!$B$18</definedName>
    <definedName name="Min_LL" localSheetId="2">basal!$B$18</definedName>
    <definedName name="Min_LL" localSheetId="3">otolith!$B$18</definedName>
    <definedName name="Min_LL">#REF!</definedName>
    <definedName name="Min_SD" localSheetId="0">artproc!$B$20</definedName>
    <definedName name="Min_SD" localSheetId="1">artsurf!$B$20</definedName>
    <definedName name="Min_SD" localSheetId="2">basal!$B$20</definedName>
    <definedName name="Min_SD" localSheetId="3">otolith!$B$20</definedName>
    <definedName name="Min_SD">#REF!</definedName>
    <definedName name="Minimum_Length_Limit">#REF!</definedName>
    <definedName name="phi_count0">#REF!</definedName>
    <definedName name="phi_countf">#REF!</definedName>
    <definedName name="phi_vb_harvslotF" localSheetId="0">artproc!$B$23</definedName>
    <definedName name="phi_vb_harvslotF" localSheetId="1">artsurf!$B$23</definedName>
    <definedName name="phi_vb_harvslotF" localSheetId="2">basal!$B$23</definedName>
    <definedName name="phi_vb_harvslotF" localSheetId="3">otolith!$B$23</definedName>
    <definedName name="phi_vb_harvslotF">#REF!</definedName>
    <definedName name="phi_vb_harvslotU" localSheetId="0">artproc!#REF!</definedName>
    <definedName name="phi_vb_harvslotU" localSheetId="1">artsurf!#REF!</definedName>
    <definedName name="phi_vb_harvslotU" localSheetId="2">basal!#REF!</definedName>
    <definedName name="phi_vb_harvslotU" localSheetId="3">otolith!#REF!</definedName>
    <definedName name="phi_vb_harvslotU">#REF!</definedName>
    <definedName name="phi_vb_proslotF" localSheetId="0">artproc!$B$23</definedName>
    <definedName name="phi_vb_proslotF" localSheetId="1">artsurf!$B$23</definedName>
    <definedName name="phi_vb_proslotF" localSheetId="2">basal!$B$23</definedName>
    <definedName name="phi_vb_proslotF" localSheetId="3">otolith!$B$23</definedName>
    <definedName name="phi_vb_proslotF">#REF!</definedName>
    <definedName name="phi_vb_proslotU" localSheetId="0">artproc!#REF!</definedName>
    <definedName name="phi_vb_proslotU" localSheetId="1">artsurf!#REF!</definedName>
    <definedName name="phi_vb_proslotU" localSheetId="2">basal!#REF!</definedName>
    <definedName name="phi_vb_proslotU" localSheetId="3">otolith!#REF!</definedName>
    <definedName name="phi_vb_proslotU">#REF!</definedName>
    <definedName name="phi_vb0" localSheetId="0">artproc!#REF!</definedName>
    <definedName name="phi_vb0" localSheetId="1">artsurf!#REF!</definedName>
    <definedName name="phi_vb0" localSheetId="2">basal!#REF!</definedName>
    <definedName name="phi_vb0" localSheetId="3">otolith!#REF!</definedName>
    <definedName name="phi_vb0">#REF!</definedName>
    <definedName name="phi_vbF" localSheetId="0">artproc!#REF!</definedName>
    <definedName name="phi_vbF" localSheetId="1">artsurf!#REF!</definedName>
    <definedName name="phi_vbF" localSheetId="2">basal!#REF!</definedName>
    <definedName name="phi_vbF" localSheetId="3">otolith!#REF!</definedName>
    <definedName name="phi_vbF">#REF!</definedName>
    <definedName name="phi_vbU" localSheetId="0">artproc!#REF!</definedName>
    <definedName name="phi_vbU" localSheetId="1">artsurf!#REF!</definedName>
    <definedName name="phi_vbU" localSheetId="2">basal!#REF!</definedName>
    <definedName name="phi_vbU" localSheetId="3">otolith!#REF!</definedName>
    <definedName name="phi_vbU">#REF!</definedName>
    <definedName name="Protected_Slot" localSheetId="0">artproc!$B$22</definedName>
    <definedName name="Protected_Slot" localSheetId="1">artsurf!$B$22</definedName>
    <definedName name="Protected_Slot" localSheetId="2">basal!$B$22</definedName>
    <definedName name="Protected_Slot" localSheetId="3">otolith!$B$22</definedName>
    <definedName name="Protected_Slot">#REF!</definedName>
    <definedName name="Recruits">#REF!</definedName>
    <definedName name="Rel_Fec" localSheetId="0">artproc!$E$5:$AC$5</definedName>
    <definedName name="Rel_Fec" localSheetId="1">artsurf!$E$5:$AC$5</definedName>
    <definedName name="Rel_Fec" localSheetId="2">basal!$E$5:$AC$5</definedName>
    <definedName name="Rel_Fec" localSheetId="3">otolith!$E$5:$AC$5</definedName>
    <definedName name="Rel_Fec">#REF!</definedName>
    <definedName name="S_fished" localSheetId="0">artproc!$E$7:$AC$7</definedName>
    <definedName name="S_fished" localSheetId="1">artsurf!$E$7:$AC$7</definedName>
    <definedName name="S_fished" localSheetId="2">basal!$E$7:$AC$7</definedName>
    <definedName name="S_fished" localSheetId="3">otolith!$E$7:$AC$7</definedName>
    <definedName name="S_fished">#REF!</definedName>
    <definedName name="S_unfished" localSheetId="0">artproc!$E$6:$AC$6</definedName>
    <definedName name="S_unfished" localSheetId="1">artsurf!$E$6:$AC$6</definedName>
    <definedName name="S_unfished" localSheetId="2">basal!$E$6:$AC$6</definedName>
    <definedName name="S_unfished" localSheetId="3">otolith!$E$6:$AC$6</definedName>
    <definedName name="S_unfished">#REF!</definedName>
    <definedName name="So" localSheetId="0">artproc!$B$14</definedName>
    <definedName name="So" localSheetId="1">artsurf!$B$14</definedName>
    <definedName name="So" localSheetId="2">basal!$B$14</definedName>
    <definedName name="So" localSheetId="3">otolith!$B$14</definedName>
    <definedName name="So">#REF!</definedName>
    <definedName name="SPR" localSheetId="0">artproc!#REF!</definedName>
    <definedName name="SPR" localSheetId="1">artsurf!#REF!</definedName>
    <definedName name="SPR" localSheetId="2">basal!#REF!</definedName>
    <definedName name="SPR" localSheetId="3">otolith!#REF!</definedName>
    <definedName name="SPR">#REF!</definedName>
    <definedName name="SPR_harvslot" localSheetId="1">artsurf!$B$25</definedName>
    <definedName name="SPR_harvslot" localSheetId="2">basal!$B$25</definedName>
    <definedName name="SPR_harvslot" localSheetId="3">otolith!$B$25</definedName>
    <definedName name="SPR_harvslot">artproc!$B$25</definedName>
    <definedName name="SPR_mll">#REF!</definedName>
    <definedName name="SPR_proslot" localSheetId="0">artproc!$B$25</definedName>
    <definedName name="SPR_proslot" localSheetId="1">artsurf!$B$25</definedName>
    <definedName name="SPR_proslot" localSheetId="2">basal!$B$25</definedName>
    <definedName name="SPR_proslot" localSheetId="3">otolith!$B$25</definedName>
    <definedName name="SPR_proslot">#REF!</definedName>
    <definedName name="TL" localSheetId="0">artproc!$E$3:$AC$3</definedName>
    <definedName name="TL" localSheetId="1">artsurf!$E$3:$AC$3</definedName>
    <definedName name="TL" localSheetId="2">basal!$E$3:$AC$3</definedName>
    <definedName name="TL" localSheetId="3">otolith!$E$3:$AC$3</definedName>
    <definedName name="TL">#REF!</definedName>
    <definedName name="tnot" localSheetId="0">artproc!$B$6</definedName>
    <definedName name="tnot" localSheetId="1">artsurf!$B$6</definedName>
    <definedName name="tnot" localSheetId="2">basal!$B$6</definedName>
    <definedName name="tnot" localSheetId="3">otolith!$B$6</definedName>
    <definedName name="tnot">#REF!</definedName>
    <definedName name="u" localSheetId="0">artproc!$B$15</definedName>
    <definedName name="u" localSheetId="1">artsurf!$B$15</definedName>
    <definedName name="u" localSheetId="2">basal!$B$15</definedName>
    <definedName name="u" localSheetId="3">otolith!$B$15</definedName>
    <definedName name="u">#REF!</definedName>
    <definedName name="Upper_LL" localSheetId="0">artproc!$B$19</definedName>
    <definedName name="Upper_LL" localSheetId="1">artsurf!$B$19</definedName>
    <definedName name="Upper_LL" localSheetId="2">basal!$B$19</definedName>
    <definedName name="Upper_LL" localSheetId="3">otolith!$B$19</definedName>
    <definedName name="Upper_LL">#REF!</definedName>
    <definedName name="Vul_harvslot" localSheetId="0">artproc!$E$11:$AC$11</definedName>
    <definedName name="Vul_harvslot" localSheetId="1">artsurf!$E$11:$AC$11</definedName>
    <definedName name="Vul_harvslot" localSheetId="2">basal!$E$11:$AC$11</definedName>
    <definedName name="Vul_harvslot" localSheetId="3">otolith!$E$11:$AC$11</definedName>
    <definedName name="Vul_harvslot">#REF!</definedName>
    <definedName name="Vul_minLL" localSheetId="0">artproc!$E$8:$AC$8</definedName>
    <definedName name="Vul_minLL" localSheetId="1">artsurf!$E$8:$AC$8</definedName>
    <definedName name="Vul_minLL" localSheetId="2">basal!$E$8:$AC$8</definedName>
    <definedName name="Vul_minLL" localSheetId="3">otolith!$E$8:$AC$8</definedName>
    <definedName name="Vul_minLL">#REF!</definedName>
    <definedName name="Vul_proslot" localSheetId="0">artproc!$E$10:$AC$10</definedName>
    <definedName name="Vul_proslot" localSheetId="1">artsurf!$E$10:$AC$10</definedName>
    <definedName name="Vul_proslot" localSheetId="2">basal!$E$10:$AC$10</definedName>
    <definedName name="Vul_proslot" localSheetId="3">otolith!$E$10:$AC$10</definedName>
    <definedName name="Vul_proslot">#REF!</definedName>
    <definedName name="Vul_slot" localSheetId="0">artproc!$E$10:$AC$10</definedName>
    <definedName name="Vul_slot" localSheetId="1">artsurf!$E$10:$AC$10</definedName>
    <definedName name="Vul_slot" localSheetId="2">basal!$E$10:$AC$10</definedName>
    <definedName name="Vul_slot" localSheetId="3">otolith!$E$10:$AC$10</definedName>
    <definedName name="Vul_slot">#REF!</definedName>
    <definedName name="Vul_upLL" localSheetId="0">artproc!$E$9:$AC$9</definedName>
    <definedName name="Vul_upLL" localSheetId="1">artsurf!$E$9:$AC$9</definedName>
    <definedName name="Vul_upLL" localSheetId="2">basal!$E$9:$AC$9</definedName>
    <definedName name="Vul_upLL" localSheetId="3">otolith!$E$9:$AC$9</definedName>
    <definedName name="Vul_upLL">#REF!</definedName>
    <definedName name="wmat" localSheetId="0">artproc!$B$11</definedName>
    <definedName name="wmat" localSheetId="1">artsurf!$B$11</definedName>
    <definedName name="wmat" localSheetId="2">basal!$B$11</definedName>
    <definedName name="wmat" localSheetId="3">otolith!$B$11</definedName>
    <definedName name="wmat">#REF!</definedName>
    <definedName name="Wt" localSheetId="0">artproc!$E$4:$AC$4</definedName>
    <definedName name="Wt" localSheetId="1">artsurf!$E$4:$AC$4</definedName>
    <definedName name="Wt" localSheetId="2">basal!$E$4:$AC$4</definedName>
    <definedName name="Wt" localSheetId="3">otolith!$E$4:$AC$4</definedName>
    <definedName name="Wt">#REF!</definedName>
    <definedName name="YPR" localSheetId="0">artproc!#REF!</definedName>
    <definedName name="YPR" localSheetId="1">artsurf!#REF!</definedName>
    <definedName name="YPR" localSheetId="2">basal!#REF!</definedName>
    <definedName name="YPR" localSheetId="3">otolith!#REF!</definedName>
    <definedName name="YPR">#REF!</definedName>
    <definedName name="YPR_harvslot" localSheetId="0">artproc!$B$24</definedName>
    <definedName name="YPR_harvslot" localSheetId="1">artsurf!$B$24</definedName>
    <definedName name="YPR_harvslot" localSheetId="2">basal!$B$24</definedName>
    <definedName name="YPR_harvslot" localSheetId="3">otolith!$B$24</definedName>
    <definedName name="YPR_harvslot">#REF!</definedName>
    <definedName name="YPR_mll" localSheetId="0">artproc!#REF!</definedName>
    <definedName name="YPR_mll" localSheetId="1">artsurf!#REF!</definedName>
    <definedName name="YPR_mll" localSheetId="2">basal!#REF!</definedName>
    <definedName name="YPR_mll" localSheetId="3">otolith!#REF!</definedName>
    <definedName name="YPR_mll">#REF!</definedName>
    <definedName name="YPR_proslot" localSheetId="0">artproc!$B$24</definedName>
    <definedName name="YPR_proslot" localSheetId="1">artsurf!$B$24</definedName>
    <definedName name="YPR_proslot" localSheetId="2">basal!$B$24</definedName>
    <definedName name="YPR_proslot" localSheetId="3">otolith!$B$24</definedName>
    <definedName name="YPR_proslot">#REF!</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14" i="11" l="1"/>
  <c r="Q8" i="11"/>
  <c r="Q10" i="11" s="1"/>
  <c r="Q11" i="11" s="1"/>
  <c r="P8" i="11"/>
  <c r="B8" i="11"/>
  <c r="F6" i="11"/>
  <c r="G6" i="11" s="1"/>
  <c r="H6" i="11" s="1"/>
  <c r="I6" i="11" s="1"/>
  <c r="J6" i="11" s="1"/>
  <c r="K6" i="11" s="1"/>
  <c r="L6" i="11" s="1"/>
  <c r="M6" i="11" s="1"/>
  <c r="N6" i="11" s="1"/>
  <c r="O6" i="11" s="1"/>
  <c r="P6" i="11" s="1"/>
  <c r="Q6" i="11" s="1"/>
  <c r="R6" i="11" s="1"/>
  <c r="S6" i="11" s="1"/>
  <c r="T6" i="11" s="1"/>
  <c r="U6" i="11" s="1"/>
  <c r="V6" i="11" s="1"/>
  <c r="W6" i="11" s="1"/>
  <c r="X6" i="11" s="1"/>
  <c r="Y6" i="11" s="1"/>
  <c r="Z6" i="11" s="1"/>
  <c r="AA6" i="11" s="1"/>
  <c r="AB6" i="11" s="1"/>
  <c r="AC6" i="11" s="1"/>
  <c r="AC3" i="11"/>
  <c r="AC9" i="11" s="1"/>
  <c r="AB3" i="11"/>
  <c r="AB8" i="11" s="1"/>
  <c r="AA3" i="11"/>
  <c r="AA8" i="11" s="1"/>
  <c r="Z3" i="11"/>
  <c r="Z9" i="11" s="1"/>
  <c r="Y3" i="11"/>
  <c r="Y9" i="11" s="1"/>
  <c r="X3" i="11"/>
  <c r="X9" i="11" s="1"/>
  <c r="W3" i="11"/>
  <c r="W8" i="11" s="1"/>
  <c r="V3" i="11"/>
  <c r="V9" i="11" s="1"/>
  <c r="U3" i="11"/>
  <c r="U9" i="11" s="1"/>
  <c r="T3" i="11"/>
  <c r="T9" i="11" s="1"/>
  <c r="S3" i="11"/>
  <c r="S9" i="11" s="1"/>
  <c r="R3" i="11"/>
  <c r="R9" i="11" s="1"/>
  <c r="Q3" i="11"/>
  <c r="Q9" i="11" s="1"/>
  <c r="P3" i="11"/>
  <c r="P9" i="11" s="1"/>
  <c r="O3" i="11"/>
  <c r="O8" i="11" s="1"/>
  <c r="N3" i="11"/>
  <c r="N9" i="11" s="1"/>
  <c r="M3" i="11"/>
  <c r="M9" i="11" s="1"/>
  <c r="L3" i="11"/>
  <c r="L9" i="11" s="1"/>
  <c r="K3" i="11"/>
  <c r="K9" i="11" s="1"/>
  <c r="J3" i="11"/>
  <c r="J9" i="11" s="1"/>
  <c r="I3" i="11"/>
  <c r="I9" i="11" s="1"/>
  <c r="H3" i="11"/>
  <c r="H9" i="11" s="1"/>
  <c r="G3" i="11"/>
  <c r="G9" i="11" s="1"/>
  <c r="F3" i="11"/>
  <c r="F9" i="11" s="1"/>
  <c r="E3" i="11"/>
  <c r="E9" i="11" s="1"/>
  <c r="B14" i="10"/>
  <c r="F6" i="10" s="1"/>
  <c r="G6" i="10" s="1"/>
  <c r="H6" i="10" s="1"/>
  <c r="I6" i="10" s="1"/>
  <c r="J6" i="10" s="1"/>
  <c r="K6" i="10" s="1"/>
  <c r="L6" i="10" s="1"/>
  <c r="M6" i="10" s="1"/>
  <c r="N6" i="10" s="1"/>
  <c r="O6" i="10" s="1"/>
  <c r="P6" i="10" s="1"/>
  <c r="Q6" i="10" s="1"/>
  <c r="R6" i="10" s="1"/>
  <c r="S6" i="10" s="1"/>
  <c r="T6" i="10" s="1"/>
  <c r="U6" i="10" s="1"/>
  <c r="V6" i="10" s="1"/>
  <c r="W6" i="10" s="1"/>
  <c r="X6" i="10" s="1"/>
  <c r="Y6" i="10" s="1"/>
  <c r="Z6" i="10" s="1"/>
  <c r="AA6" i="10" s="1"/>
  <c r="AB6" i="10" s="1"/>
  <c r="AC6" i="10" s="1"/>
  <c r="B8" i="10"/>
  <c r="AC3" i="10"/>
  <c r="AC9" i="10" s="1"/>
  <c r="AB3" i="10"/>
  <c r="AB8" i="10" s="1"/>
  <c r="AA3" i="10"/>
  <c r="AA9" i="10" s="1"/>
  <c r="Z3" i="10"/>
  <c r="Z4" i="10" s="1"/>
  <c r="Y3" i="10"/>
  <c r="Y9" i="10" s="1"/>
  <c r="X3" i="10"/>
  <c r="X4" i="10" s="1"/>
  <c r="W3" i="10"/>
  <c r="W8" i="10" s="1"/>
  <c r="V3" i="10"/>
  <c r="V9" i="10" s="1"/>
  <c r="U3" i="10"/>
  <c r="U9" i="10" s="1"/>
  <c r="T3" i="10"/>
  <c r="T9" i="10" s="1"/>
  <c r="S3" i="10"/>
  <c r="S9" i="10" s="1"/>
  <c r="R3" i="10"/>
  <c r="R9" i="10" s="1"/>
  <c r="Q3" i="10"/>
  <c r="Q9" i="10" s="1"/>
  <c r="P3" i="10"/>
  <c r="P9" i="10" s="1"/>
  <c r="O3" i="10"/>
  <c r="O9" i="10" s="1"/>
  <c r="N3" i="10"/>
  <c r="N9" i="10" s="1"/>
  <c r="M3" i="10"/>
  <c r="M9" i="10" s="1"/>
  <c r="L3" i="10"/>
  <c r="L8" i="10" s="1"/>
  <c r="K3" i="10"/>
  <c r="K8" i="10" s="1"/>
  <c r="J3" i="10"/>
  <c r="J8" i="10" s="1"/>
  <c r="I3" i="10"/>
  <c r="I9" i="10" s="1"/>
  <c r="H3" i="10"/>
  <c r="H9" i="10" s="1"/>
  <c r="G3" i="10"/>
  <c r="G9" i="10" s="1"/>
  <c r="F3" i="10"/>
  <c r="F9" i="10" s="1"/>
  <c r="E3" i="10"/>
  <c r="E9" i="10" s="1"/>
  <c r="B14" i="9"/>
  <c r="B8" i="9"/>
  <c r="AC3" i="9"/>
  <c r="AC9" i="9" s="1"/>
  <c r="AB3" i="9"/>
  <c r="AB4" i="9" s="1"/>
  <c r="AA3" i="9"/>
  <c r="AA8" i="9" s="1"/>
  <c r="Z3" i="9"/>
  <c r="Z9" i="9" s="1"/>
  <c r="Y3" i="9"/>
  <c r="Y4" i="9" s="1"/>
  <c r="X3" i="9"/>
  <c r="X8" i="9" s="1"/>
  <c r="W3" i="9"/>
  <c r="W8" i="9" s="1"/>
  <c r="V3" i="9"/>
  <c r="V8" i="9" s="1"/>
  <c r="U3" i="9"/>
  <c r="U8" i="9" s="1"/>
  <c r="T3" i="9"/>
  <c r="T9" i="9" s="1"/>
  <c r="S3" i="9"/>
  <c r="S9" i="9" s="1"/>
  <c r="R3" i="9"/>
  <c r="R4" i="9" s="1"/>
  <c r="Q3" i="9"/>
  <c r="Q9" i="9" s="1"/>
  <c r="P3" i="9"/>
  <c r="P4" i="9" s="1"/>
  <c r="O3" i="9"/>
  <c r="O8" i="9" s="1"/>
  <c r="N3" i="9"/>
  <c r="N9" i="9" s="1"/>
  <c r="M3" i="9"/>
  <c r="M8" i="9" s="1"/>
  <c r="L3" i="9"/>
  <c r="L8" i="9" s="1"/>
  <c r="K3" i="9"/>
  <c r="K9" i="9" s="1"/>
  <c r="J3" i="9"/>
  <c r="J9" i="9" s="1"/>
  <c r="I3" i="9"/>
  <c r="I8" i="9" s="1"/>
  <c r="H3" i="9"/>
  <c r="H9" i="9" s="1"/>
  <c r="G3" i="9"/>
  <c r="G9" i="9" s="1"/>
  <c r="F3" i="9"/>
  <c r="F4" i="9" s="1"/>
  <c r="E3" i="9"/>
  <c r="E9" i="9" s="1"/>
  <c r="B8" i="8"/>
  <c r="F3" i="8"/>
  <c r="F9" i="8" s="1"/>
  <c r="G3" i="8"/>
  <c r="G8" i="8" s="1"/>
  <c r="H3" i="8"/>
  <c r="H9" i="8" s="1"/>
  <c r="I3" i="8"/>
  <c r="J3" i="8"/>
  <c r="J8" i="8" s="1"/>
  <c r="K3" i="8"/>
  <c r="K8" i="8" s="1"/>
  <c r="L3" i="8"/>
  <c r="L9" i="8" s="1"/>
  <c r="M3" i="8"/>
  <c r="M8" i="8" s="1"/>
  <c r="N3" i="8"/>
  <c r="N9" i="8" s="1"/>
  <c r="O3" i="8"/>
  <c r="O8" i="8" s="1"/>
  <c r="P3" i="8"/>
  <c r="P9" i="8" s="1"/>
  <c r="Q3" i="8"/>
  <c r="R3" i="8"/>
  <c r="R8" i="8" s="1"/>
  <c r="S3" i="8"/>
  <c r="S9" i="8" s="1"/>
  <c r="T3" i="8"/>
  <c r="T9" i="8" s="1"/>
  <c r="U3" i="8"/>
  <c r="U8" i="8" s="1"/>
  <c r="V3" i="8"/>
  <c r="V9" i="8" s="1"/>
  <c r="W3" i="8"/>
  <c r="W8" i="8" s="1"/>
  <c r="X3" i="8"/>
  <c r="X9" i="8" s="1"/>
  <c r="Y3" i="8"/>
  <c r="Z3" i="8"/>
  <c r="Z8" i="8" s="1"/>
  <c r="AA3" i="8"/>
  <c r="AA9" i="8" s="1"/>
  <c r="AB3" i="8"/>
  <c r="AB9" i="8" s="1"/>
  <c r="AC3" i="8"/>
  <c r="AC8" i="8" s="1"/>
  <c r="E3" i="8"/>
  <c r="E8" i="8" s="1"/>
  <c r="B14" i="8"/>
  <c r="G4" i="11" l="1"/>
  <c r="O9" i="11"/>
  <c r="O10" i="11" s="1"/>
  <c r="O11" i="11" s="1"/>
  <c r="AC8" i="10"/>
  <c r="J9" i="10"/>
  <c r="V8" i="11"/>
  <c r="V10" i="11" s="1"/>
  <c r="V11" i="11" s="1"/>
  <c r="J8" i="11"/>
  <c r="J10" i="11"/>
  <c r="J11" i="11" s="1"/>
  <c r="AB9" i="11"/>
  <c r="AB10" i="11" s="1"/>
  <c r="AB11" i="11" s="1"/>
  <c r="S4" i="11"/>
  <c r="AC8" i="11"/>
  <c r="AC10" i="11" s="1"/>
  <c r="AC11" i="11" s="1"/>
  <c r="K8" i="11"/>
  <c r="K10" i="11" s="1"/>
  <c r="K11" i="11" s="1"/>
  <c r="W9" i="11"/>
  <c r="W10" i="11" s="1"/>
  <c r="W11" i="11" s="1"/>
  <c r="R4" i="11"/>
  <c r="L8" i="11"/>
  <c r="L10" i="11" s="1"/>
  <c r="L11" i="11" s="1"/>
  <c r="P10" i="11"/>
  <c r="P11" i="11" s="1"/>
  <c r="AA9" i="11"/>
  <c r="AA10" i="11" s="1"/>
  <c r="AA11" i="11" s="1"/>
  <c r="X8" i="11"/>
  <c r="X10" i="11" s="1"/>
  <c r="X11" i="11" s="1"/>
  <c r="E8" i="11"/>
  <c r="E10" i="11" s="1"/>
  <c r="E11" i="11" s="1"/>
  <c r="F7" i="11" s="1"/>
  <c r="K9" i="10"/>
  <c r="K10" i="10" s="1"/>
  <c r="K11" i="10" s="1"/>
  <c r="W9" i="10"/>
  <c r="X9" i="10"/>
  <c r="L4" i="10"/>
  <c r="L9" i="10"/>
  <c r="L10" i="10" s="1"/>
  <c r="L11" i="10" s="1"/>
  <c r="R4" i="10"/>
  <c r="O8" i="10"/>
  <c r="O10" i="10" s="1"/>
  <c r="O11" i="10" s="1"/>
  <c r="P8" i="10"/>
  <c r="P10" i="10" s="1"/>
  <c r="P11" i="10" s="1"/>
  <c r="J10" i="10"/>
  <c r="J11" i="10" s="1"/>
  <c r="AC4" i="10"/>
  <c r="E8" i="10"/>
  <c r="E10" i="10" s="1"/>
  <c r="E11" i="10" s="1"/>
  <c r="F7" i="10" s="1"/>
  <c r="X8" i="10"/>
  <c r="U9" i="9"/>
  <c r="U10" i="9" s="1"/>
  <c r="U11" i="9" s="1"/>
  <c r="M4" i="9"/>
  <c r="AA4" i="9"/>
  <c r="M9" i="9"/>
  <c r="M10" i="9" s="1"/>
  <c r="M11" i="9" s="1"/>
  <c r="W10" i="10"/>
  <c r="W11" i="10" s="1"/>
  <c r="Y9" i="9"/>
  <c r="I8" i="10"/>
  <c r="I10" i="10" s="1"/>
  <c r="I11" i="10" s="1"/>
  <c r="Z8" i="10"/>
  <c r="Z9" i="10"/>
  <c r="Z10" i="10" s="1"/>
  <c r="Z11" i="10" s="1"/>
  <c r="I4" i="11"/>
  <c r="U4" i="11"/>
  <c r="F8" i="11"/>
  <c r="F10" i="11" s="1"/>
  <c r="F11" i="11" s="1"/>
  <c r="R8" i="11"/>
  <c r="R10" i="11" s="1"/>
  <c r="R11" i="11" s="1"/>
  <c r="AA8" i="10"/>
  <c r="AA10" i="10" s="1"/>
  <c r="AA11" i="10" s="1"/>
  <c r="AB9" i="10"/>
  <c r="AB10" i="10" s="1"/>
  <c r="AB11" i="10" s="1"/>
  <c r="J4" i="11"/>
  <c r="V4" i="11"/>
  <c r="G8" i="11"/>
  <c r="G10" i="11" s="1"/>
  <c r="G11" i="11" s="1"/>
  <c r="S8" i="11"/>
  <c r="S10" i="11" s="1"/>
  <c r="S11" i="11" s="1"/>
  <c r="H4" i="11"/>
  <c r="T4" i="11"/>
  <c r="K4" i="11"/>
  <c r="W4" i="11"/>
  <c r="H8" i="11"/>
  <c r="H10" i="11" s="1"/>
  <c r="H11" i="11" s="1"/>
  <c r="T8" i="11"/>
  <c r="T10" i="11" s="1"/>
  <c r="T11" i="11" s="1"/>
  <c r="F4" i="10"/>
  <c r="L4" i="11"/>
  <c r="X4" i="11"/>
  <c r="I8" i="11"/>
  <c r="I10" i="11" s="1"/>
  <c r="I11" i="11" s="1"/>
  <c r="U8" i="11"/>
  <c r="U10" i="11" s="1"/>
  <c r="U11" i="11" s="1"/>
  <c r="N8" i="10"/>
  <c r="N10" i="10" s="1"/>
  <c r="N11" i="10" s="1"/>
  <c r="M4" i="11"/>
  <c r="Y4" i="11"/>
  <c r="N4" i="10"/>
  <c r="N4" i="11"/>
  <c r="Z4" i="11"/>
  <c r="O4" i="11"/>
  <c r="AA4" i="11"/>
  <c r="J8" i="9"/>
  <c r="J10" i="9" s="1"/>
  <c r="J11" i="9" s="1"/>
  <c r="Q8" i="10"/>
  <c r="Q10" i="10" s="1"/>
  <c r="Q11" i="10" s="1"/>
  <c r="P4" i="11"/>
  <c r="AB4" i="11"/>
  <c r="M8" i="11"/>
  <c r="M10" i="11" s="1"/>
  <c r="M11" i="11" s="1"/>
  <c r="Y8" i="11"/>
  <c r="Y10" i="11" s="1"/>
  <c r="Y11" i="11" s="1"/>
  <c r="Y8" i="9"/>
  <c r="U8" i="10"/>
  <c r="U10" i="10" s="1"/>
  <c r="U11" i="10" s="1"/>
  <c r="E4" i="11"/>
  <c r="Q4" i="11"/>
  <c r="AC4" i="11"/>
  <c r="N8" i="11"/>
  <c r="N10" i="11" s="1"/>
  <c r="N11" i="11" s="1"/>
  <c r="Z8" i="11"/>
  <c r="Z10" i="11" s="1"/>
  <c r="Z11" i="11" s="1"/>
  <c r="L9" i="9"/>
  <c r="L10" i="9" s="1"/>
  <c r="L11" i="9" s="1"/>
  <c r="V8" i="10"/>
  <c r="V10" i="10" s="1"/>
  <c r="V11" i="10" s="1"/>
  <c r="F4" i="11"/>
  <c r="AC10" i="10"/>
  <c r="AC11" i="10" s="1"/>
  <c r="V9" i="9"/>
  <c r="V10" i="9" s="1"/>
  <c r="V11" i="9" s="1"/>
  <c r="I4" i="10"/>
  <c r="U4" i="10"/>
  <c r="F8" i="10"/>
  <c r="F10" i="10" s="1"/>
  <c r="F11" i="10" s="1"/>
  <c r="R8" i="10"/>
  <c r="R10" i="10" s="1"/>
  <c r="R11" i="10" s="1"/>
  <c r="S4" i="10"/>
  <c r="H4" i="10"/>
  <c r="W9" i="9"/>
  <c r="W10" i="9" s="1"/>
  <c r="W11" i="9" s="1"/>
  <c r="J4" i="10"/>
  <c r="V4" i="10"/>
  <c r="G8" i="10"/>
  <c r="G10" i="10" s="1"/>
  <c r="G11" i="10" s="1"/>
  <c r="S8" i="10"/>
  <c r="S10" i="10" s="1"/>
  <c r="S11" i="10" s="1"/>
  <c r="G4" i="10"/>
  <c r="K8" i="9"/>
  <c r="K10" i="9" s="1"/>
  <c r="K11" i="9" s="1"/>
  <c r="T4" i="10"/>
  <c r="X9" i="9"/>
  <c r="X10" i="9" s="1"/>
  <c r="X11" i="9" s="1"/>
  <c r="K4" i="10"/>
  <c r="W4" i="10"/>
  <c r="H8" i="10"/>
  <c r="H10" i="10" s="1"/>
  <c r="H11" i="10" s="1"/>
  <c r="T8" i="10"/>
  <c r="T10" i="10" s="1"/>
  <c r="T11" i="10" s="1"/>
  <c r="E4" i="9"/>
  <c r="M4" i="10"/>
  <c r="Y4" i="10"/>
  <c r="Q4" i="9"/>
  <c r="I9" i="9"/>
  <c r="I10" i="9" s="1"/>
  <c r="I11" i="9" s="1"/>
  <c r="O4" i="10"/>
  <c r="AA4" i="10"/>
  <c r="P4" i="10"/>
  <c r="AB4" i="10"/>
  <c r="M8" i="10"/>
  <c r="M10" i="10" s="1"/>
  <c r="M11" i="10" s="1"/>
  <c r="Y8" i="10"/>
  <c r="Y10" i="10" s="1"/>
  <c r="Y11" i="10" s="1"/>
  <c r="AC4" i="9"/>
  <c r="E4" i="10"/>
  <c r="Q4" i="10"/>
  <c r="N8" i="9"/>
  <c r="N10" i="9" s="1"/>
  <c r="N11" i="9" s="1"/>
  <c r="H4" i="9"/>
  <c r="Q8" i="9"/>
  <c r="Q10" i="9" s="1"/>
  <c r="Q11" i="9" s="1"/>
  <c r="P9" i="9"/>
  <c r="AB9" i="9"/>
  <c r="U4" i="9"/>
  <c r="R8" i="9"/>
  <c r="J4" i="9"/>
  <c r="V4" i="9"/>
  <c r="G8" i="9"/>
  <c r="G10" i="9" s="1"/>
  <c r="G11" i="9" s="1"/>
  <c r="S8" i="9"/>
  <c r="S10" i="9" s="1"/>
  <c r="S11" i="9" s="1"/>
  <c r="F9" i="9"/>
  <c r="R9" i="9"/>
  <c r="G4" i="9"/>
  <c r="S4" i="9"/>
  <c r="F6" i="9"/>
  <c r="G6" i="9" s="1"/>
  <c r="H6" i="9" s="1"/>
  <c r="I6" i="9" s="1"/>
  <c r="J6" i="9" s="1"/>
  <c r="K6" i="9" s="1"/>
  <c r="L6" i="9" s="1"/>
  <c r="M6" i="9" s="1"/>
  <c r="N6" i="9" s="1"/>
  <c r="O6" i="9" s="1"/>
  <c r="P6" i="9" s="1"/>
  <c r="Q6" i="9" s="1"/>
  <c r="R6" i="9" s="1"/>
  <c r="S6" i="9" s="1"/>
  <c r="T6" i="9" s="1"/>
  <c r="U6" i="9" s="1"/>
  <c r="V6" i="9" s="1"/>
  <c r="W6" i="9" s="1"/>
  <c r="X6" i="9" s="1"/>
  <c r="Y6" i="9" s="1"/>
  <c r="Z6" i="9" s="1"/>
  <c r="AA6" i="9" s="1"/>
  <c r="AB6" i="9" s="1"/>
  <c r="AC6" i="9" s="1"/>
  <c r="P8" i="9"/>
  <c r="AB8" i="9"/>
  <c r="O9" i="9"/>
  <c r="O10" i="9" s="1"/>
  <c r="O11" i="9" s="1"/>
  <c r="AA9" i="9"/>
  <c r="AA10" i="9" s="1"/>
  <c r="AA11" i="9" s="1"/>
  <c r="T4" i="9"/>
  <c r="E8" i="9"/>
  <c r="E10" i="9" s="1"/>
  <c r="E11" i="9" s="1"/>
  <c r="F7" i="9" s="1"/>
  <c r="AC8" i="9"/>
  <c r="AC10" i="9" s="1"/>
  <c r="AC11" i="9" s="1"/>
  <c r="I4" i="9"/>
  <c r="F8" i="9"/>
  <c r="K4" i="9"/>
  <c r="W4" i="9"/>
  <c r="H8" i="9"/>
  <c r="H10" i="9" s="1"/>
  <c r="H11" i="9" s="1"/>
  <c r="T8" i="9"/>
  <c r="T10" i="9" s="1"/>
  <c r="T11" i="9" s="1"/>
  <c r="L4" i="9"/>
  <c r="X4" i="9"/>
  <c r="N4" i="9"/>
  <c r="Z4" i="9"/>
  <c r="Q4" i="8"/>
  <c r="O4" i="9"/>
  <c r="Z8" i="9"/>
  <c r="Z10" i="9" s="1"/>
  <c r="Z11" i="9" s="1"/>
  <c r="I4" i="8"/>
  <c r="Y4" i="8"/>
  <c r="AA8" i="8"/>
  <c r="AA10" i="8" s="1"/>
  <c r="AA11" i="8" s="1"/>
  <c r="W9" i="8"/>
  <c r="W10" i="8" s="1"/>
  <c r="W11" i="8" s="1"/>
  <c r="AC9" i="8"/>
  <c r="AC10" i="8" s="1"/>
  <c r="AC11" i="8" s="1"/>
  <c r="P4" i="8"/>
  <c r="R4" i="8"/>
  <c r="U4" i="8"/>
  <c r="AC4" i="8"/>
  <c r="T8" i="8"/>
  <c r="T10" i="8" s="1"/>
  <c r="T11" i="8" s="1"/>
  <c r="AB8" i="8"/>
  <c r="AB10" i="8" s="1"/>
  <c r="AB11" i="8" s="1"/>
  <c r="E9" i="8"/>
  <c r="E10" i="8" s="1"/>
  <c r="E11" i="8" s="1"/>
  <c r="F7" i="8" s="1"/>
  <c r="F8" i="8"/>
  <c r="F10" i="8" s="1"/>
  <c r="F11" i="8" s="1"/>
  <c r="G9" i="8"/>
  <c r="G10" i="8" s="1"/>
  <c r="G11" i="8" s="1"/>
  <c r="H8" i="8"/>
  <c r="H10" i="8" s="1"/>
  <c r="H11" i="8" s="1"/>
  <c r="J9" i="8"/>
  <c r="J10" i="8" s="1"/>
  <c r="J11" i="8" s="1"/>
  <c r="E4" i="8"/>
  <c r="L8" i="8"/>
  <c r="L10" i="8" s="1"/>
  <c r="L11" i="8" s="1"/>
  <c r="M9" i="8"/>
  <c r="M10" i="8" s="1"/>
  <c r="M11" i="8" s="1"/>
  <c r="Z4" i="8"/>
  <c r="H4" i="8"/>
  <c r="N8" i="8"/>
  <c r="N10" i="8" s="1"/>
  <c r="N11" i="8" s="1"/>
  <c r="O9" i="8"/>
  <c r="O10" i="8" s="1"/>
  <c r="O11" i="8" s="1"/>
  <c r="X8" i="8"/>
  <c r="X10" i="8" s="1"/>
  <c r="X11" i="8" s="1"/>
  <c r="J4" i="8"/>
  <c r="B11" i="8" s="1"/>
  <c r="P8" i="8"/>
  <c r="P10" i="8" s="1"/>
  <c r="P11" i="8" s="1"/>
  <c r="R9" i="8"/>
  <c r="R10" i="8" s="1"/>
  <c r="R11" i="8" s="1"/>
  <c r="M4" i="8"/>
  <c r="S8" i="8"/>
  <c r="S10" i="8" s="1"/>
  <c r="S11" i="8" s="1"/>
  <c r="U9" i="8"/>
  <c r="U10" i="8" s="1"/>
  <c r="U11" i="8" s="1"/>
  <c r="V8" i="8"/>
  <c r="V10" i="8" s="1"/>
  <c r="V11" i="8" s="1"/>
  <c r="Z9" i="8"/>
  <c r="Z10" i="8" s="1"/>
  <c r="Z11" i="8" s="1"/>
  <c r="X4" i="8"/>
  <c r="F6" i="8"/>
  <c r="G6" i="8" s="1"/>
  <c r="H6" i="8" s="1"/>
  <c r="I6" i="8" s="1"/>
  <c r="J6" i="8" s="1"/>
  <c r="K6" i="8" s="1"/>
  <c r="L6" i="8" s="1"/>
  <c r="M6" i="8" s="1"/>
  <c r="N6" i="8" s="1"/>
  <c r="O6" i="8" s="1"/>
  <c r="P6" i="8" s="1"/>
  <c r="Q6" i="8" s="1"/>
  <c r="R6" i="8" s="1"/>
  <c r="S6" i="8" s="1"/>
  <c r="T6" i="8" s="1"/>
  <c r="U6" i="8" s="1"/>
  <c r="V6" i="8" s="1"/>
  <c r="W6" i="8" s="1"/>
  <c r="X6" i="8" s="1"/>
  <c r="Y6" i="8" s="1"/>
  <c r="Z6" i="8" s="1"/>
  <c r="AA6" i="8" s="1"/>
  <c r="AB6" i="8" s="1"/>
  <c r="AC6" i="8" s="1"/>
  <c r="K4" i="8"/>
  <c r="S4" i="8"/>
  <c r="AA4" i="8"/>
  <c r="I8" i="8"/>
  <c r="Q8" i="8"/>
  <c r="Y8" i="8"/>
  <c r="L4" i="8"/>
  <c r="T4" i="8"/>
  <c r="AB4" i="8"/>
  <c r="I9" i="8"/>
  <c r="Q9" i="8"/>
  <c r="Y9" i="8"/>
  <c r="F4" i="8"/>
  <c r="V4" i="8"/>
  <c r="K9" i="8"/>
  <c r="K10" i="8" s="1"/>
  <c r="K11" i="8" s="1"/>
  <c r="N4" i="8"/>
  <c r="G4" i="8"/>
  <c r="O4" i="8"/>
  <c r="W4" i="8"/>
  <c r="G7" i="10" l="1"/>
  <c r="H7" i="10" s="1"/>
  <c r="I7" i="10" s="1"/>
  <c r="J7" i="10" s="1"/>
  <c r="K7" i="10" s="1"/>
  <c r="L7" i="10" s="1"/>
  <c r="M7" i="10" s="1"/>
  <c r="N7" i="10" s="1"/>
  <c r="O7" i="10" s="1"/>
  <c r="P7" i="10" s="1"/>
  <c r="Q7" i="10" s="1"/>
  <c r="R7" i="10" s="1"/>
  <c r="S7" i="10" s="1"/>
  <c r="T7" i="10" s="1"/>
  <c r="U7" i="10" s="1"/>
  <c r="V7" i="10" s="1"/>
  <c r="W7" i="10" s="1"/>
  <c r="X7" i="10" s="1"/>
  <c r="Y7" i="10" s="1"/>
  <c r="Z7" i="10" s="1"/>
  <c r="AA7" i="10" s="1"/>
  <c r="AB7" i="10" s="1"/>
  <c r="AC7" i="10" s="1"/>
  <c r="X10" i="10"/>
  <c r="X11" i="10" s="1"/>
  <c r="Y10" i="9"/>
  <c r="Y11" i="9" s="1"/>
  <c r="P10" i="9"/>
  <c r="P11" i="9" s="1"/>
  <c r="O5" i="11"/>
  <c r="B11" i="11"/>
  <c r="P5" i="11" s="1"/>
  <c r="J5" i="11"/>
  <c r="AA5" i="11"/>
  <c r="L5" i="11"/>
  <c r="Z5" i="11"/>
  <c r="G7" i="11"/>
  <c r="H7" i="11" s="1"/>
  <c r="I7" i="11" s="1"/>
  <c r="J7" i="11" s="1"/>
  <c r="K7" i="11" s="1"/>
  <c r="L7" i="11" s="1"/>
  <c r="M7" i="11" s="1"/>
  <c r="N7" i="11" s="1"/>
  <c r="O7" i="11" s="1"/>
  <c r="P7" i="11" s="1"/>
  <c r="Q7" i="11" s="1"/>
  <c r="R7" i="11" s="1"/>
  <c r="S7" i="11" s="1"/>
  <c r="T7" i="11" s="1"/>
  <c r="U7" i="11" s="1"/>
  <c r="V7" i="11" s="1"/>
  <c r="W7" i="11" s="1"/>
  <c r="X7" i="11" s="1"/>
  <c r="Y7" i="11" s="1"/>
  <c r="Z7" i="11" s="1"/>
  <c r="AA7" i="11" s="1"/>
  <c r="AB7" i="11" s="1"/>
  <c r="AC7" i="11" s="1"/>
  <c r="I5" i="11"/>
  <c r="T5" i="11"/>
  <c r="AB5" i="11"/>
  <c r="M5" i="11"/>
  <c r="B11" i="10"/>
  <c r="J5" i="10" s="1"/>
  <c r="O5" i="10"/>
  <c r="U5" i="10"/>
  <c r="G5" i="10"/>
  <c r="B11" i="9"/>
  <c r="X5" i="9" s="1"/>
  <c r="R10" i="9"/>
  <c r="R11" i="9" s="1"/>
  <c r="AB10" i="9"/>
  <c r="AB11" i="9" s="1"/>
  <c r="K5" i="9"/>
  <c r="H5" i="9"/>
  <c r="F10" i="9"/>
  <c r="F11" i="9" s="1"/>
  <c r="G7" i="9" s="1"/>
  <c r="N5" i="8"/>
  <c r="M5" i="8"/>
  <c r="AA5" i="8"/>
  <c r="J5" i="8"/>
  <c r="T5" i="8"/>
  <c r="W5" i="8"/>
  <c r="H5" i="8"/>
  <c r="G5" i="8"/>
  <c r="E5" i="8"/>
  <c r="AC5" i="8"/>
  <c r="X5" i="8"/>
  <c r="V5" i="8"/>
  <c r="S5" i="8"/>
  <c r="F5" i="8"/>
  <c r="K5" i="8"/>
  <c r="Q5" i="8"/>
  <c r="U5" i="8"/>
  <c r="I5" i="8"/>
  <c r="AB5" i="8"/>
  <c r="R5" i="8"/>
  <c r="O5" i="8"/>
  <c r="L5" i="8"/>
  <c r="G7" i="8"/>
  <c r="H7" i="8" s="1"/>
  <c r="I7" i="8" s="1"/>
  <c r="Z5" i="8"/>
  <c r="P5" i="8"/>
  <c r="Y5" i="8"/>
  <c r="Y10" i="8"/>
  <c r="Y11" i="8" s="1"/>
  <c r="Q10" i="8"/>
  <c r="Q11" i="8" s="1"/>
  <c r="I10" i="8"/>
  <c r="I11" i="8" s="1"/>
  <c r="V5" i="11" l="1"/>
  <c r="N5" i="11"/>
  <c r="Q5" i="11"/>
  <c r="E5" i="11"/>
  <c r="AA5" i="10"/>
  <c r="E5" i="10"/>
  <c r="AB5" i="10"/>
  <c r="S5" i="10"/>
  <c r="Y5" i="10"/>
  <c r="K5" i="10"/>
  <c r="I5" i="10"/>
  <c r="H5" i="10"/>
  <c r="T5" i="10"/>
  <c r="G5" i="9"/>
  <c r="H5" i="11"/>
  <c r="M5" i="10"/>
  <c r="V5" i="10"/>
  <c r="P5" i="10"/>
  <c r="S5" i="11"/>
  <c r="R5" i="11"/>
  <c r="G5" i="11"/>
  <c r="O5" i="9"/>
  <c r="Y5" i="11"/>
  <c r="X5" i="11"/>
  <c r="J5" i="9"/>
  <c r="F5" i="11"/>
  <c r="AC5" i="11"/>
  <c r="W5" i="11"/>
  <c r="K5" i="11"/>
  <c r="U5" i="11"/>
  <c r="B23" i="11"/>
  <c r="B24" i="11" s="1"/>
  <c r="F15" i="11" s="1"/>
  <c r="Q5" i="10"/>
  <c r="N5" i="10"/>
  <c r="Z5" i="10"/>
  <c r="AC5" i="10"/>
  <c r="R5" i="10"/>
  <c r="F5" i="10"/>
  <c r="X5" i="10"/>
  <c r="L5" i="10"/>
  <c r="B23" i="10"/>
  <c r="B24" i="10" s="1"/>
  <c r="F15" i="10" s="1"/>
  <c r="W5" i="10"/>
  <c r="H7" i="9"/>
  <c r="I7" i="9" s="1"/>
  <c r="J7" i="9" s="1"/>
  <c r="K7" i="9" s="1"/>
  <c r="L7" i="9" s="1"/>
  <c r="M7" i="9" s="1"/>
  <c r="N7" i="9" s="1"/>
  <c r="O7" i="9" s="1"/>
  <c r="P7" i="9" s="1"/>
  <c r="Q7" i="9" s="1"/>
  <c r="R7" i="9" s="1"/>
  <c r="S7" i="9" s="1"/>
  <c r="T7" i="9" s="1"/>
  <c r="U7" i="9" s="1"/>
  <c r="V7" i="9" s="1"/>
  <c r="W7" i="9" s="1"/>
  <c r="X7" i="9" s="1"/>
  <c r="Y7" i="9" s="1"/>
  <c r="Z7" i="9" s="1"/>
  <c r="AA7" i="9" s="1"/>
  <c r="AB7" i="9" s="1"/>
  <c r="AC7" i="9" s="1"/>
  <c r="N5" i="9"/>
  <c r="AA5" i="9"/>
  <c r="AB5" i="9"/>
  <c r="E5" i="9"/>
  <c r="R5" i="9"/>
  <c r="Q5" i="9"/>
  <c r="F5" i="9"/>
  <c r="Y5" i="9"/>
  <c r="AC5" i="9"/>
  <c r="P5" i="9"/>
  <c r="M5" i="9"/>
  <c r="U5" i="9"/>
  <c r="S5" i="9"/>
  <c r="V5" i="9"/>
  <c r="L5" i="9"/>
  <c r="T5" i="9"/>
  <c r="I5" i="9"/>
  <c r="W5" i="9"/>
  <c r="Z5" i="9"/>
  <c r="J7" i="8"/>
  <c r="K7" i="8" s="1"/>
  <c r="L7" i="8" s="1"/>
  <c r="M7" i="8" s="1"/>
  <c r="N7" i="8" s="1"/>
  <c r="O7" i="8" s="1"/>
  <c r="P7" i="8" s="1"/>
  <c r="Q7" i="8" s="1"/>
  <c r="R7" i="8" s="1"/>
  <c r="S7" i="8" s="1"/>
  <c r="T7" i="8" s="1"/>
  <c r="U7" i="8" s="1"/>
  <c r="V7" i="8" s="1"/>
  <c r="W7" i="8" s="1"/>
  <c r="X7" i="8" s="1"/>
  <c r="Y7" i="8" s="1"/>
  <c r="Z7" i="8" s="1"/>
  <c r="AA7" i="8" s="1"/>
  <c r="AB7" i="8" s="1"/>
  <c r="AC7" i="8" s="1"/>
  <c r="B25" i="11" l="1"/>
  <c r="I15" i="11" s="1"/>
  <c r="B25" i="10"/>
  <c r="I15" i="10" s="1"/>
  <c r="B23" i="9"/>
  <c r="B24" i="9" s="1"/>
  <c r="F15" i="9" s="1"/>
  <c r="B25" i="9"/>
  <c r="I15" i="9" s="1"/>
  <c r="B25" i="8"/>
  <c r="I15" i="8" s="1"/>
  <c r="B23" i="8"/>
  <c r="B24" i="8" s="1"/>
  <c r="F15" i="8"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tc={97CB868F-791C-4B06-87A5-4275E9F4121A}</author>
    <author>tc={230BCA66-6053-4937-957F-30B6D4E0BDD9}</author>
    <author>tc={9A9FCBC1-62E3-4723-9929-79A3CBAFF01F}</author>
    <author>tc={2424BCEB-5A6B-4E48-A5F2-390BD87C626D}</author>
    <author>tc={B0A5DE79-099A-4F01-AE34-D20786A165C5}</author>
    <author>tc={D9C9904B-93BB-4236-BDB3-D00E3A5F6670}</author>
    <author>tc={22149163-EB23-41DB-B3EE-FB9373C9E49A}</author>
    <author>tc={13C49DC7-9F31-4B7C-A208-41BE188C419A}</author>
    <author>tc={18D22DDD-2588-4ABC-A170-DEF01D901F1E}</author>
    <author>tc={BBAE738B-FA05-4264-BFBF-2304D77A4752}</author>
    <author>tc={AC00FF71-34F7-4941-8A2E-A924A9E54BBE}</author>
    <author>tc={31074EE1-5BAE-48F1-88DB-A017C743D74B}</author>
    <author>tc={0D28624B-6C8E-4EEA-A2EA-AA9B2B6E88CF}</author>
    <author>tc={77DFAEDF-2F92-4B90-B7C3-915343AA14F5}</author>
    <author>tc={5C1234BE-80C9-44BD-8ABA-5E3B7C7EA607}</author>
    <author>tc={057412C8-FEDC-4E09-9B7D-942C4E9A05AA}</author>
    <author>tc={D5F0C9EB-A93D-4EE3-93A3-27BF0710B7BA}</author>
    <author>tc={B39E4087-6D8B-416A-B84C-A262722425C0}</author>
    <author>tc={C6605091-7567-48F6-85E4-C99794B7B4C9}</author>
    <author>tc={D92CDD4C-1BEF-4369-9D4E-26B1E3BA0A51}</author>
    <author>tc={C1F1F1B4-E72B-49F2-B0E1-0F75ED04DCF1}</author>
    <author>tc={56D2A3E9-BD61-40E8-B163-729B66E85AF4}</author>
  </authors>
  <commentList>
    <comment ref="E3" authorId="0" shapeId="0" xr:uid="{97CB868F-791C-4B06-87A5-4275E9F4121A}">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230BCA66-6053-4937-957F-30B6D4E0BDD9}">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9A9FCBC1-62E3-4723-9929-79A3CBAFF01F}">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2424BCEB-5A6B-4E48-A5F2-390BD87C626D}">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B0A5DE79-099A-4F01-AE34-D20786A165C5}">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D9C9904B-93BB-4236-BDB3-D00E3A5F6670}">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22149163-EB23-41DB-B3EE-FB9373C9E49A}">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13C49DC7-9F31-4B7C-A208-41BE188C419A}">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18D22DDD-2588-4ABC-A170-DEF01D901F1E}">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BBAE738B-FA05-4264-BFBF-2304D77A4752}">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AC00FF71-34F7-4941-8A2E-A924A9E54BBE}">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31074EE1-5BAE-48F1-88DB-A017C743D74B}">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0D28624B-6C8E-4EEA-A2EA-AA9B2B6E88CF}">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77DFAEDF-2F92-4B90-B7C3-915343AA14F5}">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5C1234BE-80C9-44BD-8ABA-5E3B7C7EA607}">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057412C8-FEDC-4E09-9B7D-942C4E9A05AA}">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D5F0C9EB-A93D-4EE3-93A3-27BF0710B7BA}">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B39E4087-6D8B-416A-B84C-A262722425C0}">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C6605091-7567-48F6-85E4-C99794B7B4C9}">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D92CDD4C-1BEF-4369-9D4E-26B1E3BA0A51}">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 or where fish enter the fishery.</t>
      </text>
    </comment>
    <comment ref="A19" authorId="20" shapeId="0" xr:uid="{C1F1F1B4-E72B-49F2-B0E1-0F75ED04DCF1}">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6D2A3E9-BD61-40E8-B163-729B66E85AF4}">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tc={5FE115C0-A138-464C-9988-577598A9269E}</author>
    <author>tc={2E7867D3-1F8A-448E-A884-E95AD0AE43B8}</author>
    <author>tc={DEDABAA5-0CED-4864-B9A3-6BE57222BA04}</author>
    <author>tc={285EE1B7-AFFC-4005-AC39-BE73855574D8}</author>
    <author>tc={3E99EA99-E2C3-4C3E-8E82-08E5E20702DB}</author>
    <author>tc={9E51FCA7-9069-4A45-9164-1147F6B29DE2}</author>
    <author>tc={19E656D5-D210-4864-958B-5344D6C5B36D}</author>
    <author>tc={E53757BC-4886-4921-BE32-950D25442766}</author>
    <author>tc={3B73BC03-A428-463B-8ED3-BD03FAE0D097}</author>
    <author>tc={53B82A4F-F553-4F67-BEC8-3B0FBFB2A7C6}</author>
    <author>tc={CD68AFEA-A743-44AC-9840-4688DAE4AC44}</author>
    <author>tc={EB993A58-521E-46F4-917F-E1698F00BF03}</author>
    <author>tc={1AF90683-2C1C-4288-B912-70BBCA13C26C}</author>
    <author>tc={7533856A-D92A-421F-9189-E8773663D918}</author>
    <author>tc={75121C8B-986B-40AB-B93C-509AE4C2F2B2}</author>
    <author>tc={9D0EE82C-F70E-4B7A-99C3-4D392F0B3B54}</author>
    <author>tc={03B60703-482D-4788-A967-FE1A15F1A3F5}</author>
    <author>tc={4FD5FD0B-322B-4C7E-AC3E-F43564C8F394}</author>
    <author>tc={C2A87682-ED1E-407F-B7CD-E51A5A25442F}</author>
    <author>tc={22243929-A36E-489C-BF1E-C367D9173A2E}</author>
    <author>tc={E147313C-C333-4427-A78C-7BD7733BCDE8}</author>
    <author>tc={3EE7C6DA-C166-4044-9828-D0975D10B161}</author>
  </authors>
  <commentList>
    <comment ref="E3" authorId="0" shapeId="0" xr:uid="{5FE115C0-A138-464C-9988-577598A9269E}">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2E7867D3-1F8A-448E-A884-E95AD0AE43B8}">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DEDABAA5-0CED-4864-B9A3-6BE57222BA04}">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285EE1B7-AFFC-4005-AC39-BE73855574D8}">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3E99EA99-E2C3-4C3E-8E82-08E5E20702DB}">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9E51FCA7-9069-4A45-9164-1147F6B29DE2}">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19E656D5-D210-4864-958B-5344D6C5B36D}">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E53757BC-4886-4921-BE32-950D25442766}">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3B73BC03-A428-463B-8ED3-BD03FAE0D097}">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53B82A4F-F553-4F67-BEC8-3B0FBFB2A7C6}">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CD68AFEA-A743-44AC-9840-4688DAE4AC44}">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EB993A58-521E-46F4-917F-E1698F00BF03}">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1AF90683-2C1C-4288-B912-70BBCA13C26C}">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7533856A-D92A-421F-9189-E8773663D918}">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75121C8B-986B-40AB-B93C-509AE4C2F2B2}">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9D0EE82C-F70E-4B7A-99C3-4D392F0B3B54}">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03B60703-482D-4788-A967-FE1A15F1A3F5}">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4FD5FD0B-322B-4C7E-AC3E-F43564C8F394}">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C2A87682-ED1E-407F-B7CD-E51A5A25442F}">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22243929-A36E-489C-BF1E-C367D9173A2E}">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 or where fish enter the fishery.</t>
      </text>
    </comment>
    <comment ref="A19" authorId="20" shapeId="0" xr:uid="{E147313C-C333-4427-A78C-7BD7733BCDE8}">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3EE7C6DA-C166-4044-9828-D0975D10B161}">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tc={B084514E-DF44-476D-B9AD-0FAA9F661822}</author>
    <author>tc={D6155DE0-984B-45C1-B310-6848265047E2}</author>
    <author>tc={2C0D2D19-B0D1-4E99-80B0-BF57CD5A2266}</author>
    <author>tc={71B9AEAC-9DC6-4E0D-AD28-4C7952027F02}</author>
    <author>tc={53858319-A6DC-4197-8703-C0E914F3FA70}</author>
    <author>tc={A3A4178B-96B4-4E02-94F7-3B8DD8A6938B}</author>
    <author>tc={6E4D2967-6AE8-4F93-9F5B-98868400FBEA}</author>
    <author>tc={50082B10-947B-4678-B40D-648B0D7264CF}</author>
    <author>tc={B26165E0-D814-41A6-9E6F-EBAC48C4F99B}</author>
    <author>tc={E0A79D31-D621-4BF8-AEF3-873A96FA884F}</author>
    <author>tc={D7105CF7-DF14-4F17-8519-B3F42562C0BC}</author>
    <author>tc={40F6A9D1-A800-4AF0-903F-C7C95995CA48}</author>
    <author>tc={84A46AFA-29AA-47A9-90B0-2D7139706EC4}</author>
    <author>tc={8DDF3749-BDA4-4CEF-A3FE-FC47B2B46C19}</author>
    <author>tc={6BC6BC2B-6CCA-4ECE-974C-B42EDC89DB6D}</author>
    <author>tc={4A446D61-5C34-4B9F-8158-F04716ED85B9}</author>
    <author>tc={A9B9165E-C990-4C24-9A4C-978973BFF608}</author>
    <author>tc={B23F93F7-B734-48A1-9BEE-52FE5A69FC59}</author>
    <author>tc={8523F49E-0FD6-4D7B-9D63-F7D35CBF4D32}</author>
    <author>tc={223AACF5-3D1C-432F-BB6B-81E36216184A}</author>
    <author>tc={2F9C7C03-DA08-4FB4-BE05-EE59D8417CD3}</author>
    <author>tc={51C44994-2856-4819-9D8A-27A42B51AFE7}</author>
  </authors>
  <commentList>
    <comment ref="E3" authorId="0" shapeId="0" xr:uid="{B084514E-DF44-476D-B9AD-0FAA9F661822}">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D6155DE0-984B-45C1-B310-6848265047E2}">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2C0D2D19-B0D1-4E99-80B0-BF57CD5A2266}">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71B9AEAC-9DC6-4E0D-AD28-4C7952027F02}">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53858319-A6DC-4197-8703-C0E914F3FA70}">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A3A4178B-96B4-4E02-94F7-3B8DD8A6938B}">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6E4D2967-6AE8-4F93-9F5B-98868400FBEA}">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50082B10-947B-4678-B40D-648B0D7264CF}">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B26165E0-D814-41A6-9E6F-EBAC48C4F99B}">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E0A79D31-D621-4BF8-AEF3-873A96FA884F}">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D7105CF7-DF14-4F17-8519-B3F42562C0BC}">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40F6A9D1-A800-4AF0-903F-C7C95995CA48}">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84A46AFA-29AA-47A9-90B0-2D7139706EC4}">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8DDF3749-BDA4-4CEF-A3FE-FC47B2B46C19}">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6BC6BC2B-6CCA-4ECE-974C-B42EDC89DB6D}">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4A446D61-5C34-4B9F-8158-F04716ED85B9}">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A9B9165E-C990-4C24-9A4C-978973BFF608}">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B23F93F7-B734-48A1-9BEE-52FE5A69FC59}">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8523F49E-0FD6-4D7B-9D63-F7D35CBF4D32}">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223AACF5-3D1C-432F-BB6B-81E36216184A}">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 or where fish enter the fishery.</t>
      </text>
    </comment>
    <comment ref="A19" authorId="20" shapeId="0" xr:uid="{2F9C7C03-DA08-4FB4-BE05-EE59D8417CD3}">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51C44994-2856-4819-9D8A-27A42B51AFE7}">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tc={2C27A405-F082-4CFA-A3AF-B3330C125EE2}</author>
    <author>tc={4AB01ED1-15E0-4006-A7F3-9FCD7C871A57}</author>
    <author>tc={41FEF762-1730-4C83-A5AE-A188C42F726F}</author>
    <author>tc={5F0B2BFF-0D4C-41E9-AEC3-251C7A28CC2A}</author>
    <author>tc={702C82E1-7896-4B6C-BDDC-A0CDEA62C80B}</author>
    <author>tc={6BC25420-03C9-43EA-B89C-934AFA672FF0}</author>
    <author>tc={A67743A2-8D0B-416D-8C20-31D290D52D15}</author>
    <author>tc={120A946C-DDC3-468F-9D11-AFA5EDE4E340}</author>
    <author>tc={38908B31-BF50-460E-AA37-7CE1B1AA760B}</author>
    <author>tc={F63ADD75-A450-4EDE-A5E7-CB12DE921B3D}</author>
    <author>tc={390533FA-D891-40A9-92FA-6880B2A3BC4A}</author>
    <author>tc={2D4E1DC2-1958-4FD6-AE82-5B31F28DC929}</author>
    <author>tc={64CE000D-A738-4EE5-AC8A-406E23998574}</author>
    <author>tc={826BB208-59A7-4ABA-9F5B-3E5B3257F3EE}</author>
    <author>tc={0779E98B-26F4-464C-84BE-0C784D94BD73}</author>
    <author>tc={7DC65B41-B633-47DB-A251-334FAAEACDD4}</author>
    <author>tc={0A92D9C0-7B7F-4EC7-BA2B-355154BE8E65}</author>
    <author>tc={CB28DF26-808D-4283-82A5-F5FCF6B265BE}</author>
    <author>tc={49466024-0FAD-47FF-9AFB-0BC1AA07E6EB}</author>
    <author>tc={7E88E480-AD05-49CE-BBD5-9330173F2C51}</author>
    <author>tc={CE679654-1FFF-43C2-A936-FF3C3CA039A4}</author>
    <author>tc={DBDE9F1B-4F38-405E-A5B0-5CDCDA92D239}</author>
  </authors>
  <commentList>
    <comment ref="E3" authorId="0" shapeId="0" xr:uid="{2C27A405-F082-4CFA-A3AF-B3330C125EE2}">
      <text>
        <t>[Threaded comment]
Your version of Excel allows you to read this threaded comment; however, any edits to it will get removed if the file is opened in a newer version of Excel. Learn more: https://go.microsoft.com/fwlink/?linkid=870924
Comment:
    Use vB equation to predict expected TL at age. We can use whatever growth model best fits here (linear, Gompertz, double vB, etc). MILR BCF might need linear.</t>
      </text>
    </comment>
    <comment ref="B4" authorId="1" shapeId="0" xr:uid="{4AB01ED1-15E0-4006-A7F3-9FCD7C871A57}">
      <text>
        <t>[Threaded comment]
Your version of Excel allows you to read this threaded comment; however, any edits to it will get removed if the file is opened in a newer version of Excel. Learn more: https://go.microsoft.com/fwlink/?linkid=870924
Comment:
    Growth parameters from aged fish sample taken in XXXX from X Reservoir.</t>
      </text>
    </comment>
    <comment ref="E4" authorId="2" shapeId="0" xr:uid="{41FEF762-1730-4C83-A5AE-A188C42F726F}">
      <text>
        <t>[Threaded comment]
Your version of Excel allows you to read this threaded comment; however, any edits to it will get removed if the file is opened in a newer version of Excel. Learn more: https://go.microsoft.com/fwlink/?linkid=870924
Comment:
    Estimated weight (kg) at length for yield</t>
      </text>
    </comment>
    <comment ref="D5" authorId="3" shapeId="0" xr:uid="{5F0B2BFF-0D4C-41E9-AEC3-251C7A28CC2A}">
      <text>
        <t>[Threaded comment]
Your version of Excel allows you to read this threaded comment; however, any edits to it will get removed if the file is opened in a newer version of Excel. Learn more: https://go.microsoft.com/fwlink/?linkid=870924
Comment:
    Relative fecundity at age. Using weight at age past maturity as surrogate for fecundity.</t>
      </text>
    </comment>
    <comment ref="D6" authorId="4" shapeId="0" xr:uid="{702C82E1-7896-4B6C-BDDC-A0CDEA62C80B}">
      <text>
        <t>[Threaded comment]
Your version of Excel allows you to read this threaded comment; however, any edits to it will get removed if the file is opened in a newer version of Excel. Learn more: https://go.microsoft.com/fwlink/?linkid=870924
Comment:
    Expected survival of an unfished population. Referred to as a survivorship function.</t>
      </text>
    </comment>
    <comment ref="D7" authorId="5" shapeId="0" xr:uid="{6BC25420-03C9-43EA-B89C-934AFA672FF0}">
      <text>
        <t>[Threaded comment]
Your version of Excel allows you to read this threaded comment; however, any edits to it will get removed if the file is opened in a newer version of Excel. Learn more: https://go.microsoft.com/fwlink/?linkid=870924
Comment:
    Survivorship in a fished condition. Number (or proportion) alive at the beginning of age-x. Fish that survived age x-1</t>
      </text>
    </comment>
    <comment ref="A8" authorId="6" shapeId="0" xr:uid="{A67743A2-8D0B-416D-8C20-31D290D52D15}">
      <text>
        <t>[Threaded comment]
Your version of Excel allows you to read this threaded comment; however, any edits to it will get removed if the file is opened in a newer version of Excel. Learn more: https://go.microsoft.com/fwlink/?linkid=870924
Comment:
    Weight at length estimates</t>
      </text>
    </comment>
    <comment ref="D8" authorId="7" shapeId="0" xr:uid="{120A946C-DDC3-468F-9D11-AFA5EDE4E340}">
      <text>
        <t>[Threaded comment]
Your version of Excel allows you to read this threaded comment; however, any edits to it will get removed if the file is opened in a newer version of Excel. Learn more: https://go.microsoft.com/fwlink/?linkid=870924
Comment:
    Vulnerability to the minimum length limit. Think about this as the proportion of fish at age-x that are vulnerable to harvest.</t>
      </text>
    </comment>
    <comment ref="D9" authorId="8" shapeId="0" xr:uid="{38908B31-BF50-460E-AA37-7CE1B1AA760B}">
      <text>
        <t>[Threaded comment]
Your version of Excel allows you to read this threaded comment; however, any edits to it will get removed if the file is opened in a newer version of Excel. Learn more: https://go.microsoft.com/fwlink/?linkid=870924
Comment:
    Vulnerability to the maximum length limit. Think about this as the proportion of fish at age-x that are vulnerable to harvest.</t>
      </text>
    </comment>
    <comment ref="D10" authorId="9" shapeId="0" xr:uid="{F63ADD75-A450-4EDE-A5E7-CB12DE921B3D}">
      <text>
        <t>[Threaded comment]
Your version of Excel allows you to read this threaded comment; however, any edits to it will get removed if the file is opened in a newer version of Excel. Learn more: https://go.microsoft.com/fwlink/?linkid=870924
Comment:
    Vulnerability to a protected slot length limit. Think about this as the proportion of fish at age-x that are vulnerable to harvest.</t>
      </text>
    </comment>
    <comment ref="A11" authorId="10" shapeId="0" xr:uid="{390533FA-D891-40A9-92FA-6880B2A3BC4A}">
      <text>
        <t>[Threaded comment]
Your version of Excel allows you to read this threaded comment; however, any edits to it will get removed if the file is opened in a newer version of Excel. Learn more: https://go.microsoft.com/fwlink/?linkid=870924
Comment:
    Weight at maturation. Assuming they mature at age-6 here so estimated weight at age-6. This will change by species/population.</t>
      </text>
    </comment>
    <comment ref="A13" authorId="11" shapeId="0" xr:uid="{2D4E1DC2-1958-4FD6-AE82-5B31F28DC929}">
      <text>
        <t>[Threaded comment]
Your version of Excel allows you to read this threaded comment; however, any edits to it will get removed if the file is opened in a newer version of Excel. Learn more: https://go.microsoft.com/fwlink/?linkid=870924
Comment:
    Instantaneous natural annual mortality calculated with Jensen equation. There are tons of other equations that can be used to estimate natural annual mortality.</t>
      </text>
    </comment>
    <comment ref="A14" authorId="12" shapeId="0" xr:uid="{64CE000D-A738-4EE5-AC8A-406E23998574}">
      <text>
        <t>[Threaded comment]
Your version of Excel allows you to read this threaded comment; however, any edits to it will get removed if the file is opened in a newer version of Excel. Learn more: https://go.microsoft.com/fwlink/?linkid=870924
Comment:
    Finite survival from natural mortality.</t>
      </text>
    </comment>
    <comment ref="E14" authorId="13" shapeId="0" xr:uid="{826BB208-59A7-4ABA-9F5B-3E5B3257F3EE}">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H14" authorId="14" shapeId="0" xr:uid="{0779E98B-26F4-464C-84BE-0C784D94BD73}">
      <text>
        <t>[Threaded comment]
Your version of Excel allows you to read this threaded comment; however, any edits to it will get removed if the file is opened in a newer version of Excel. Learn more: https://go.microsoft.com/fwlink/?linkid=870924
Comment:
    Data -&gt; What-if analysis -&gt; Data table. Identify the column variable as u (cell B15 here). This calculates YPR at each value of u</t>
      </text>
    </comment>
    <comment ref="A15" authorId="15" shapeId="0" xr:uid="{7DC65B41-B633-47DB-A251-334FAAEACDD4}">
      <text>
        <t>[Threaded comment]
Your version of Excel allows you to read this threaded comment; however, any edits to it will get removed if the file is opened in a newer version of Excel. Learn more: https://go.microsoft.com/fwlink/?linkid=870924
Comment:
    Annual exploitation rate</t>
      </text>
    </comment>
    <comment ref="F15" authorId="16" shapeId="0" xr:uid="{0A92D9C0-7B7F-4EC7-BA2B-355154BE8E65}">
      <text>
        <t>[Threaded comment]
Your version of Excel allows you to read this threaded comment; however, any edits to it will get removed if the file is opened in a newer version of Excel. Learn more: https://go.microsoft.com/fwlink/?linkid=870924
Comment:
    This is just YPR</t>
      </text>
    </comment>
    <comment ref="I15" authorId="17" shapeId="0" xr:uid="{CB28DF26-808D-4283-82A5-F5FCF6B265BE}">
      <text>
        <t>[Threaded comment]
Your version of Excel allows you to read this threaded comment; however, any edits to it will get removed if the file is opened in a newer version of Excel. Learn more: https://go.microsoft.com/fwlink/?linkid=870924
Comment:
    This is just SPR</t>
      </text>
    </comment>
    <comment ref="A17" authorId="18" shapeId="0" xr:uid="{49466024-0FAD-47FF-9AFB-0BC1AA07E6EB}">
      <text>
        <t>[Threaded comment]
Your version of Excel allows you to read this threaded comment; however, any edits to it will get removed if the file is opened in a newer version of Excel. Learn more: https://go.microsoft.com/fwlink/?linkid=870924
Comment:
    Set up vulnerability functions for te different types of length limits. Pay attention to the Vul parameters that are being used in the S_Fished vector as those will determine which size limit type is being used.</t>
      </text>
    </comment>
    <comment ref="A18" authorId="19" shapeId="0" xr:uid="{7E88E480-AD05-49CE-BBD5-9330173F2C51}">
      <text>
        <t>[Threaded comment]
Your version of Excel allows you to read this threaded comment; however, any edits to it will get removed if the file is opened in a newer version of Excel. Learn more: https://go.microsoft.com/fwlink/?linkid=870924
Comment:
    Simulate minimum length limit in millimeters. This can also be used as the lower side of a slot or where fish enter the fishery.</t>
      </text>
    </comment>
    <comment ref="A19" authorId="20" shapeId="0" xr:uid="{CE679654-1FFF-43C2-A936-FF3C3CA039A4}">
      <text>
        <t>[Threaded comment]
Your version of Excel allows you to read this threaded comment; however, any edits to it will get removed if the file is opened in a newer version of Excel. Learn more: https://go.microsoft.com/fwlink/?linkid=870924
Comment:
    This can be used as a maximum length limit or as the upper end of a slot length limit.</t>
      </text>
    </comment>
    <comment ref="A20" authorId="21" shapeId="0" xr:uid="{DBDE9F1B-4F38-405E-A5B0-5CDCDA92D239}">
      <text>
        <t>[Threaded comment]
Your version of Excel allows you to read this threaded comment; however, any edits to it will get removed if the file is opened in a newer version of Excel. Learn more: https://go.microsoft.com/fwlink/?linkid=870924
Comment:
    Standard deviation used for length limit modeling. This is used in conjunction with mean length at age, not the SD around the MLL. Best practice is to use standard deviation from growth model.</t>
      </text>
    </comment>
  </commentList>
</comments>
</file>

<file path=xl/sharedStrings.xml><?xml version="1.0" encoding="utf-8"?>
<sst xmlns="http://schemas.openxmlformats.org/spreadsheetml/2006/main" count="132" uniqueCount="32">
  <si>
    <t>Parameters</t>
  </si>
  <si>
    <t>Age</t>
  </si>
  <si>
    <t>TL</t>
  </si>
  <si>
    <t>Linf</t>
  </si>
  <si>
    <t>a_wl</t>
  </si>
  <si>
    <t>b_wl</t>
  </si>
  <si>
    <t>Wt</t>
  </si>
  <si>
    <t>wmat</t>
  </si>
  <si>
    <t>Rel_Fec</t>
  </si>
  <si>
    <t>M</t>
  </si>
  <si>
    <t>So</t>
  </si>
  <si>
    <t>u</t>
  </si>
  <si>
    <t>S_unfished</t>
  </si>
  <si>
    <t>S_fished</t>
  </si>
  <si>
    <t>Min_LL</t>
  </si>
  <si>
    <t>Min_SD</t>
  </si>
  <si>
    <t>Vul_minLL</t>
  </si>
  <si>
    <t>SPR</t>
  </si>
  <si>
    <t>Yield</t>
  </si>
  <si>
    <t>Angler mort (u)</t>
  </si>
  <si>
    <t>target</t>
  </si>
  <si>
    <t>Vulnerability Section</t>
  </si>
  <si>
    <t>Upper_LL</t>
  </si>
  <si>
    <t>Vul_upLL</t>
  </si>
  <si>
    <t>Vul_proslot</t>
  </si>
  <si>
    <t>Vul_harvslot</t>
  </si>
  <si>
    <t>Harvest Slot</t>
  </si>
  <si>
    <t>phi_vb_harvslotF</t>
  </si>
  <si>
    <t>YPR_harvslot</t>
  </si>
  <si>
    <t>SPR_harvslot</t>
  </si>
  <si>
    <t>gi</t>
  </si>
  <si>
    <t>ti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</si>
</sst>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2" x14ac:knownFonts="1">
    <font>
      <sz val="11"/>
      <color theme="1"/>
      <name val="Calibri"/>
      <family val="2"/>
      <scheme val="minor"/>
    </font>
    <font>
      <b/>
      <u/>
      <sz val="11"/>
      <color theme="1"/>
      <name val="Calibri"/>
      <family val="2"/>
      <scheme val="minor"/>
    </font>
  </fonts>
  <fills count="4">
    <fill>
      <patternFill patternType="none"/>
    </fill>
    <fill>
      <patternFill patternType="gray125"/>
    </fill>
    <fill>
      <patternFill patternType="solid">
        <fgColor theme="7" tint="0.79998168889431442"/>
        <bgColor indexed="64"/>
      </patternFill>
    </fill>
    <fill>
      <patternFill patternType="solid">
        <fgColor theme="7" tint="0.59999389629810485"/>
        <bgColor indexed="64"/>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2" fontId="0" fillId="0" borderId="0" xfId="0" applyNumberFormat="1"/>
    <xf numFmtId="1" fontId="0" fillId="0" borderId="0" xfId="0" applyNumberFormat="1"/>
    <xf numFmtId="0" fontId="0" fillId="2" borderId="0" xfId="0" applyFill="1"/>
    <xf numFmtId="2" fontId="0" fillId="2" borderId="0" xfId="0" applyNumberForma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10/relationships/person" Target="persons/perso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artproc!$E$16:$E$34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artproc!$F$16:$F$34</c:f>
              <c:numCache>
                <c:formatCode>0.00</c:formatCode>
                <c:ptCount val="19"/>
                <c:pt idx="0">
                  <c:v>0.12312689115019886</c:v>
                </c:pt>
                <c:pt idx="1">
                  <c:v>0.22627815870093596</c:v>
                </c:pt>
                <c:pt idx="2">
                  <c:v>0.31198775647239291</c:v>
                </c:pt>
                <c:pt idx="3">
                  <c:v>0.38252136153989907</c:v>
                </c:pt>
                <c:pt idx="4">
                  <c:v>0.43990006888261884</c:v>
                </c:pt>
                <c:pt idx="5">
                  <c:v>0.48592237885643702</c:v>
                </c:pt>
                <c:pt idx="6">
                  <c:v>0.52218457398808971</c:v>
                </c:pt>
                <c:pt idx="7">
                  <c:v>0.55009957755773298</c:v>
                </c:pt>
                <c:pt idx="8">
                  <c:v>0.57091438252053728</c:v>
                </c:pt>
                <c:pt idx="9">
                  <c:v>0.58572613551273478</c:v>
                </c:pt>
                <c:pt idx="10">
                  <c:v>0.59549695699192184</c:v>
                </c:pt>
                <c:pt idx="11">
                  <c:v>0.60106757497362728</c:v>
                </c:pt>
                <c:pt idx="12">
                  <c:v>0.60316984634429049</c:v>
                </c:pt>
                <c:pt idx="13">
                  <c:v>0.60243823635313865</c:v>
                </c:pt>
                <c:pt idx="14">
                  <c:v>0.59942032361019904</c:v>
                </c:pt>
                <c:pt idx="15">
                  <c:v>0.59458639474308317</c:v>
                </c:pt>
                <c:pt idx="16">
                  <c:v>0.58833818978949348</c:v>
                </c:pt>
                <c:pt idx="17">
                  <c:v>0.58101685642387457</c:v>
                </c:pt>
                <c:pt idx="18">
                  <c:v>0.57291016823358065</c:v>
                </c:pt>
              </c:numCache>
            </c:numRef>
          </c:val>
          <c:smooth val="0"/>
          <c:extLst>
            <c:ext xmlns:c16="http://schemas.microsoft.com/office/drawing/2014/chart" uri="{C3380CC4-5D6E-409C-BE32-E72D297353CC}">
              <c16:uniqueId val="{00000000-6260-4104-B690-49E22B2A1A06}"/>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artproc!$H$16:$H$34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artproc!$I$16:$I$34</c:f>
              <c:numCache>
                <c:formatCode>0.00</c:formatCode>
                <c:ptCount val="19"/>
                <c:pt idx="0">
                  <c:v>0.86442077067408607</c:v>
                </c:pt>
                <c:pt idx="1">
                  <c:v>0.74563207167023471</c:v>
                </c:pt>
                <c:pt idx="2">
                  <c:v>0.6417712206942443</c:v>
                </c:pt>
                <c:pt idx="3">
                  <c:v>0.55115658195624218</c:v>
                </c:pt>
                <c:pt idx="4">
                  <c:v>0.4722725505043856</c:v>
                </c:pt>
                <c:pt idx="5">
                  <c:v>0.40375556427181053</c:v>
                </c:pt>
                <c:pt idx="6">
                  <c:v>0.34438108834347708</c:v>
                </c:pt>
                <c:pt idx="7">
                  <c:v>0.29305151816690822</c:v>
                </c:pt>
                <c:pt idx="8">
                  <c:v>0.24878495058864186</c:v>
                </c:pt>
                <c:pt idx="9">
                  <c:v>0.21070477369748941</c:v>
                </c:pt>
                <c:pt idx="10">
                  <c:v>0.17803002849725713</c:v>
                </c:pt>
                <c:pt idx="11">
                  <c:v>0.15006649741644232</c:v>
                </c:pt>
                <c:pt idx="12">
                  <c:v>0.12619847659135733</c:v>
                </c:pt>
                <c:pt idx="13">
                  <c:v>0.10588119073313794</c:v>
                </c:pt>
                <c:pt idx="14">
                  <c:v>8.8633811208991012E-2</c:v>
                </c:pt>
                <c:pt idx="15">
                  <c:v>7.4033039734739001E-2</c:v>
                </c:pt>
                <c:pt idx="16">
                  <c:v>6.1707221790079231E-2</c:v>
                </c:pt>
                <c:pt idx="17">
                  <c:v>5.1330955530872323E-2</c:v>
                </c:pt>
                <c:pt idx="18">
                  <c:v>4.2620163585061752E-2</c:v>
                </c:pt>
              </c:numCache>
            </c:numRef>
          </c:val>
          <c:smooth val="0"/>
          <c:extLst>
            <c:ext xmlns:c16="http://schemas.microsoft.com/office/drawing/2014/chart" uri="{C3380CC4-5D6E-409C-BE32-E72D297353CC}">
              <c16:uniqueId val="{00000000-C1E5-44BC-87E2-1C2E78910FC7}"/>
            </c:ext>
          </c:extLst>
        </c:ser>
        <c:ser>
          <c:idx val="1"/>
          <c:order val="1"/>
          <c:spPr>
            <a:ln w="28575" cap="rnd">
              <a:solidFill>
                <a:schemeClr val="accent2"/>
              </a:solidFill>
              <a:round/>
            </a:ln>
            <a:effectLst/>
          </c:spPr>
          <c:marker>
            <c:symbol val="none"/>
          </c:marker>
          <c:cat>
            <c:numRef>
              <c:f>artproc!$H$16:$H$34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artproc!$J$16:$J$34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C1E5-44BC-87E2-1C2E78910FC7}"/>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artsurf!$E$16:$E$34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artsurf!$F$16:$F$34</c:f>
              <c:numCache>
                <c:formatCode>0.00</c:formatCode>
                <c:ptCount val="19"/>
                <c:pt idx="0">
                  <c:v>0.11779808371464669</c:v>
                </c:pt>
                <c:pt idx="1">
                  <c:v>0.21480164900062806</c:v>
                </c:pt>
                <c:pt idx="2">
                  <c:v>0.2939371626326549</c:v>
                </c:pt>
                <c:pt idx="3">
                  <c:v>0.3577804417332005</c:v>
                </c:pt>
                <c:pt idx="4">
                  <c:v>0.40859256376095132</c:v>
                </c:pt>
                <c:pt idx="5">
                  <c:v>0.44835267980602617</c:v>
                </c:pt>
                <c:pt idx="6">
                  <c:v>0.47878795006585467</c:v>
                </c:pt>
                <c:pt idx="7">
                  <c:v>0.50140080819488253</c:v>
                </c:pt>
                <c:pt idx="8">
                  <c:v>0.51749374954393801</c:v>
                </c:pt>
                <c:pt idx="9">
                  <c:v>0.52819182711704227</c:v>
                </c:pt>
                <c:pt idx="10">
                  <c:v>0.53446302836072135</c:v>
                </c:pt>
                <c:pt idx="11">
                  <c:v>0.5371366956497885</c:v>
                </c:pt>
                <c:pt idx="12">
                  <c:v>0.53692014353065964</c:v>
                </c:pt>
                <c:pt idx="13">
                  <c:v>0.53441361641533391</c:v>
                </c:pt>
                <c:pt idx="14">
                  <c:v>0.53012372147317921</c:v>
                </c:pt>
                <c:pt idx="15">
                  <c:v>0.5244754629308972</c:v>
                </c:pt>
                <c:pt idx="16">
                  <c:v>0.51782299585091407</c:v>
                </c:pt>
                <c:pt idx="17">
                  <c:v>0.51045920970268099</c:v>
                </c:pt>
                <c:pt idx="18">
                  <c:v>0.50262424465784494</c:v>
                </c:pt>
              </c:numCache>
            </c:numRef>
          </c:val>
          <c:smooth val="0"/>
          <c:extLst>
            <c:ext xmlns:c16="http://schemas.microsoft.com/office/drawing/2014/chart" uri="{C3380CC4-5D6E-409C-BE32-E72D297353CC}">
              <c16:uniqueId val="{00000000-DCC7-480C-BD06-CD11983FCD56}"/>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artsurf!$H$16:$H$34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artsurf!$I$16:$I$34</c:f>
              <c:numCache>
                <c:formatCode>0.00</c:formatCode>
                <c:ptCount val="19"/>
                <c:pt idx="0">
                  <c:v>0.85700647756358783</c:v>
                </c:pt>
                <c:pt idx="1">
                  <c:v>0.73317164344486652</c:v>
                </c:pt>
                <c:pt idx="2">
                  <c:v>0.62614776548195061</c:v>
                </c:pt>
                <c:pt idx="3">
                  <c:v>0.5338445817656029</c:v>
                </c:pt>
                <c:pt idx="4">
                  <c:v>0.45440459096608937</c:v>
                </c:pt>
                <c:pt idx="5">
                  <c:v>0.38618036446023207</c:v>
                </c:pt>
                <c:pt idx="6">
                  <c:v>0.32771374378046314</c:v>
                </c:pt>
                <c:pt idx="7">
                  <c:v>0.27771679418214834</c:v>
                </c:pt>
                <c:pt idx="8">
                  <c:v>0.23505439211194534</c:v>
                </c:pt>
                <c:pt idx="9">
                  <c:v>0.19872833106628987</c:v>
                </c:pt>
                <c:pt idx="10">
                  <c:v>0.16786283676283142</c:v>
                </c:pt>
                <c:pt idx="11">
                  <c:v>0.14169138871630252</c:v>
                </c:pt>
                <c:pt idx="12">
                  <c:v>0.11954475122122588</c:v>
                </c:pt>
                <c:pt idx="13">
                  <c:v>0.10084012240434004</c:v>
                </c:pt>
                <c:pt idx="14">
                  <c:v>8.5071315426731145E-2</c:v>
                </c:pt>
                <c:pt idx="15">
                  <c:v>7.1799891096463467E-2</c:v>
                </c:pt>
                <c:pt idx="16">
                  <c:v>6.0647166103846871E-2</c:v>
                </c:pt>
                <c:pt idx="17">
                  <c:v>5.1287025820169807E-2</c:v>
                </c:pt>
                <c:pt idx="18">
                  <c:v>4.3439475113418627E-2</c:v>
                </c:pt>
              </c:numCache>
            </c:numRef>
          </c:val>
          <c:smooth val="0"/>
          <c:extLst>
            <c:ext xmlns:c16="http://schemas.microsoft.com/office/drawing/2014/chart" uri="{C3380CC4-5D6E-409C-BE32-E72D297353CC}">
              <c16:uniqueId val="{00000000-0C7E-470A-A6A0-B8855DB02A1F}"/>
            </c:ext>
          </c:extLst>
        </c:ser>
        <c:ser>
          <c:idx val="1"/>
          <c:order val="1"/>
          <c:spPr>
            <a:ln w="28575" cap="rnd">
              <a:solidFill>
                <a:schemeClr val="accent2"/>
              </a:solidFill>
              <a:round/>
            </a:ln>
            <a:effectLst/>
          </c:spPr>
          <c:marker>
            <c:symbol val="none"/>
          </c:marker>
          <c:cat>
            <c:numRef>
              <c:f>artsurf!$H$16:$H$34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artsurf!$J$16:$J$34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0C7E-470A-A6A0-B8855DB02A1F}"/>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basal!$E$16:$E$34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basal!$F$16:$F$34</c:f>
              <c:numCache>
                <c:formatCode>0.00</c:formatCode>
                <c:ptCount val="19"/>
                <c:pt idx="0">
                  <c:v>0.11866447594988654</c:v>
                </c:pt>
                <c:pt idx="1">
                  <c:v>0.21688453595500298</c:v>
                </c:pt>
                <c:pt idx="2">
                  <c:v>0.29745287272164267</c:v>
                </c:pt>
                <c:pt idx="3">
                  <c:v>0.3628391823486774</c:v>
                </c:pt>
                <c:pt idx="4">
                  <c:v>0.41522188108544289</c:v>
                </c:pt>
                <c:pt idx="5">
                  <c:v>0.45651722207715734</c:v>
                </c:pt>
                <c:pt idx="6">
                  <c:v>0.4884059847579757</c:v>
                </c:pt>
                <c:pt idx="7">
                  <c:v>0.5123579006720077</c:v>
                </c:pt>
                <c:pt idx="8">
                  <c:v>0.52965397095384781</c:v>
                </c:pt>
                <c:pt idx="9">
                  <c:v>0.54140682247434624</c:v>
                </c:pt>
                <c:pt idx="10">
                  <c:v>0.54857924174644868</c:v>
                </c:pt>
                <c:pt idx="11">
                  <c:v>0.55200101808207835</c:v>
                </c:pt>
                <c:pt idx="12">
                  <c:v>0.5523842201864817</c:v>
                </c:pt>
                <c:pt idx="13">
                  <c:v>0.5503370233635021</c:v>
                </c:pt>
                <c:pt idx="14">
                  <c:v>0.5463761977763919</c:v>
                </c:pt>
                <c:pt idx="15">
                  <c:v>0.54093836175653565</c:v>
                </c:pt>
                <c:pt idx="16">
                  <c:v>0.53439009796951564</c:v>
                </c:pt>
                <c:pt idx="17">
                  <c:v>0.52703702432711264</c:v>
                </c:pt>
                <c:pt idx="18">
                  <c:v>0.51913190586793656</c:v>
                </c:pt>
              </c:numCache>
            </c:numRef>
          </c:val>
          <c:smooth val="0"/>
          <c:extLst>
            <c:ext xmlns:c16="http://schemas.microsoft.com/office/drawing/2014/chart" uri="{C3380CC4-5D6E-409C-BE32-E72D297353CC}">
              <c16:uniqueId val="{00000000-D8FD-49A4-AADB-8BD091AAB181}"/>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basal!$H$16:$H$34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basal!$I$16:$I$34</c:f>
              <c:numCache>
                <c:formatCode>0.00</c:formatCode>
                <c:ptCount val="19"/>
                <c:pt idx="0">
                  <c:v>0.85927550931884433</c:v>
                </c:pt>
                <c:pt idx="1">
                  <c:v>0.73697548450753003</c:v>
                </c:pt>
                <c:pt idx="2">
                  <c:v>0.63090616110243247</c:v>
                </c:pt>
                <c:pt idx="3">
                  <c:v>0.53910618365417295</c:v>
                </c:pt>
                <c:pt idx="4">
                  <c:v>0.45982520752139261</c:v>
                </c:pt>
                <c:pt idx="5">
                  <c:v>0.39150416557384438</c:v>
                </c:pt>
                <c:pt idx="6">
                  <c:v>0.33275709420343563</c:v>
                </c:pt>
                <c:pt idx="7">
                  <c:v>0.28235441824227858</c:v>
                </c:pt>
                <c:pt idx="8">
                  <c:v>0.23920759940165684</c:v>
                </c:pt>
                <c:pt idx="9">
                  <c:v>0.20235505767949216</c:v>
                </c:pt>
                <c:pt idx="10">
                  <c:v>0.17094927984061303</c:v>
                </c:pt>
                <c:pt idx="11">
                  <c:v>0.14424503355812054</c:v>
                </c:pt>
                <c:pt idx="12">
                  <c:v>0.12158861011961929</c:v>
                </c:pt>
                <c:pt idx="13">
                  <c:v>0.10240802275306914</c:v>
                </c:pt>
                <c:pt idx="14">
                  <c:v>8.6204091617646181E-2</c:v>
                </c:pt>
                <c:pt idx="15">
                  <c:v>7.2542350339206502E-2</c:v>
                </c:pt>
                <c:pt idx="16">
                  <c:v>6.1045712651716814E-2</c:v>
                </c:pt>
                <c:pt idx="17">
                  <c:v>5.1387841239204889E-2</c:v>
                </c:pt>
                <c:pt idx="18">
                  <c:v>4.3287164261237153E-2</c:v>
                </c:pt>
              </c:numCache>
            </c:numRef>
          </c:val>
          <c:smooth val="0"/>
          <c:extLst>
            <c:ext xmlns:c16="http://schemas.microsoft.com/office/drawing/2014/chart" uri="{C3380CC4-5D6E-409C-BE32-E72D297353CC}">
              <c16:uniqueId val="{00000000-DF7E-4E50-AAD6-B2671E49FF4B}"/>
            </c:ext>
          </c:extLst>
        </c:ser>
        <c:ser>
          <c:idx val="1"/>
          <c:order val="1"/>
          <c:spPr>
            <a:ln w="28575" cap="rnd">
              <a:solidFill>
                <a:schemeClr val="accent2"/>
              </a:solidFill>
              <a:round/>
            </a:ln>
            <a:effectLst/>
          </c:spPr>
          <c:marker>
            <c:symbol val="none"/>
          </c:marker>
          <c:cat>
            <c:numRef>
              <c:f>basal!$H$16:$H$34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basal!$J$16:$J$34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DF7E-4E50-AAD6-B2671E49FF4B}"/>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otolith!$E$16:$E$34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otolith!$F$16:$F$34</c:f>
              <c:numCache>
                <c:formatCode>0.00</c:formatCode>
                <c:ptCount val="19"/>
                <c:pt idx="0">
                  <c:v>0.1225883772516161</c:v>
                </c:pt>
                <c:pt idx="1">
                  <c:v>0.21987278340155494</c:v>
                </c:pt>
                <c:pt idx="2">
                  <c:v>0.29616286728742097</c:v>
                </c:pt>
                <c:pt idx="3">
                  <c:v>0.35512271958364366</c:v>
                </c:pt>
                <c:pt idx="4">
                  <c:v>0.39985665617200916</c:v>
                </c:pt>
                <c:pt idx="5">
                  <c:v>0.43298495142602134</c:v>
                </c:pt>
                <c:pt idx="6">
                  <c:v>0.45671054550071077</c:v>
                </c:pt>
                <c:pt idx="7">
                  <c:v>0.47287766072935761</c:v>
                </c:pt>
                <c:pt idx="8">
                  <c:v>0.48302317965908736</c:v>
                </c:pt>
                <c:pt idx="9">
                  <c:v>0.48842156073733439</c:v>
                </c:pt>
                <c:pt idx="10">
                  <c:v>0.49012399683610947</c:v>
                </c:pt>
                <c:pt idx="11">
                  <c:v>0.48899245633194827</c:v>
                </c:pt>
                <c:pt idx="12">
                  <c:v>0.48572918602287629</c:v>
                </c:pt>
                <c:pt idx="13">
                  <c:v>0.48090219945099449</c:v>
                </c:pt>
                <c:pt idx="14">
                  <c:v>0.47496722291609994</c:v>
                </c:pt>
                <c:pt idx="15">
                  <c:v>0.46828652433161039</c:v>
                </c:pt>
                <c:pt idx="16">
                  <c:v>0.46114500682205933</c:v>
                </c:pt>
                <c:pt idx="17">
                  <c:v>0.45376390933743344</c:v>
                </c:pt>
                <c:pt idx="18">
                  <c:v>0.44631242032225588</c:v>
                </c:pt>
              </c:numCache>
            </c:numRef>
          </c:val>
          <c:smooth val="0"/>
          <c:extLst>
            <c:ext xmlns:c16="http://schemas.microsoft.com/office/drawing/2014/chart" uri="{C3380CC4-5D6E-409C-BE32-E72D297353CC}">
              <c16:uniqueId val="{00000000-1631-45F6-83F1-831A079FF245}"/>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Kilogram</a:t>
                </a:r>
                <a:r>
                  <a:rPr lang="en-US" baseline="0"/>
                  <a:t> per recruit</a:t>
                </a:r>
                <a:endParaRPr lang="en-US"/>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lineChart>
        <c:grouping val="standard"/>
        <c:varyColors val="0"/>
        <c:ser>
          <c:idx val="0"/>
          <c:order val="0"/>
          <c:spPr>
            <a:ln w="28575" cap="rnd">
              <a:solidFill>
                <a:schemeClr val="accent1"/>
              </a:solidFill>
              <a:round/>
            </a:ln>
            <a:effectLst/>
          </c:spPr>
          <c:marker>
            <c:symbol val="none"/>
          </c:marker>
          <c:cat>
            <c:numRef>
              <c:f>otolith!$H$16:$H$34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otolith!$I$16:$I$34</c:f>
              <c:numCache>
                <c:formatCode>0.00</c:formatCode>
                <c:ptCount val="19"/>
                <c:pt idx="0">
                  <c:v>0.83870574559785105</c:v>
                </c:pt>
                <c:pt idx="1">
                  <c:v>0.7026586718113077</c:v>
                </c:pt>
                <c:pt idx="2">
                  <c:v>0.58813038788112348</c:v>
                </c:pt>
                <c:pt idx="3">
                  <c:v>0.49190163799371328</c:v>
                </c:pt>
                <c:pt idx="4">
                  <c:v>0.41119909858127013</c:v>
                </c:pt>
                <c:pt idx="5">
                  <c:v>0.34363918643575381</c:v>
                </c:pt>
                <c:pt idx="6">
                  <c:v>0.28717819599611299</c:v>
                </c:pt>
                <c:pt idx="7">
                  <c:v>0.24006814092814571</c:v>
                </c:pt>
                <c:pt idx="8">
                  <c:v>0.20081772794457137</c:v>
                </c:pt>
                <c:pt idx="9">
                  <c:v>0.16815793992735054</c:v>
                </c:pt>
                <c:pt idx="10">
                  <c:v>0.14101175102399444</c:v>
                </c:pt>
                <c:pt idx="11">
                  <c:v>0.11846753869454263</c:v>
                </c:pt>
                <c:pt idx="12">
                  <c:v>9.9755796877411873E-2</c:v>
                </c:pt>
                <c:pt idx="13">
                  <c:v>8.4228790703358841E-2</c:v>
                </c:pt>
                <c:pt idx="14">
                  <c:v>7.1342826692156483E-2</c:v>
                </c:pt>
                <c:pt idx="15">
                  <c:v>6.064284328315895E-2</c:v>
                </c:pt>
                <c:pt idx="16">
                  <c:v>5.1749055038019992E-2</c:v>
                </c:pt>
                <c:pt idx="17">
                  <c:v>4.4345410063289167E-2</c:v>
                </c:pt>
                <c:pt idx="18">
                  <c:v>3.8169644277203603E-2</c:v>
                </c:pt>
              </c:numCache>
            </c:numRef>
          </c:val>
          <c:smooth val="0"/>
          <c:extLst>
            <c:ext xmlns:c16="http://schemas.microsoft.com/office/drawing/2014/chart" uri="{C3380CC4-5D6E-409C-BE32-E72D297353CC}">
              <c16:uniqueId val="{00000000-BFC0-4478-857F-EA0A0A86473F}"/>
            </c:ext>
          </c:extLst>
        </c:ser>
        <c:ser>
          <c:idx val="1"/>
          <c:order val="1"/>
          <c:spPr>
            <a:ln w="28575" cap="rnd">
              <a:solidFill>
                <a:schemeClr val="accent2"/>
              </a:solidFill>
              <a:round/>
            </a:ln>
            <a:effectLst/>
          </c:spPr>
          <c:marker>
            <c:symbol val="none"/>
          </c:marker>
          <c:cat>
            <c:numRef>
              <c:f>otolith!$H$16:$H$34</c:f>
              <c:numCache>
                <c:formatCode>0.00</c:formatCode>
                <c:ptCount val="19"/>
                <c:pt idx="0">
                  <c:v>0.02</c:v>
                </c:pt>
                <c:pt idx="1">
                  <c:v>0.04</c:v>
                </c:pt>
                <c:pt idx="2">
                  <c:v>0.06</c:v>
                </c:pt>
                <c:pt idx="3">
                  <c:v>0.08</c:v>
                </c:pt>
                <c:pt idx="4">
                  <c:v>0.1</c:v>
                </c:pt>
                <c:pt idx="5">
                  <c:v>0.12</c:v>
                </c:pt>
                <c:pt idx="6">
                  <c:v>0.14000000000000001</c:v>
                </c:pt>
                <c:pt idx="7">
                  <c:v>0.16</c:v>
                </c:pt>
                <c:pt idx="8">
                  <c:v>0.18</c:v>
                </c:pt>
                <c:pt idx="9">
                  <c:v>0.2</c:v>
                </c:pt>
                <c:pt idx="10">
                  <c:v>0.22</c:v>
                </c:pt>
                <c:pt idx="11">
                  <c:v>0.24</c:v>
                </c:pt>
                <c:pt idx="12">
                  <c:v>0.26</c:v>
                </c:pt>
                <c:pt idx="13">
                  <c:v>0.28000000000000003</c:v>
                </c:pt>
                <c:pt idx="14">
                  <c:v>0.3</c:v>
                </c:pt>
                <c:pt idx="15">
                  <c:v>0.32</c:v>
                </c:pt>
                <c:pt idx="16">
                  <c:v>0.34</c:v>
                </c:pt>
                <c:pt idx="17">
                  <c:v>0.36</c:v>
                </c:pt>
                <c:pt idx="18">
                  <c:v>0.38</c:v>
                </c:pt>
              </c:numCache>
            </c:numRef>
          </c:cat>
          <c:val>
            <c:numRef>
              <c:f>otolith!$J$16:$J$34</c:f>
              <c:numCache>
                <c:formatCode>General</c:formatCode>
                <c:ptCount val="19"/>
                <c:pt idx="0">
                  <c:v>0.35</c:v>
                </c:pt>
                <c:pt idx="1">
                  <c:v>0.35</c:v>
                </c:pt>
                <c:pt idx="2">
                  <c:v>0.35</c:v>
                </c:pt>
                <c:pt idx="3">
                  <c:v>0.35</c:v>
                </c:pt>
                <c:pt idx="4">
                  <c:v>0.35</c:v>
                </c:pt>
                <c:pt idx="5">
                  <c:v>0.35</c:v>
                </c:pt>
                <c:pt idx="6">
                  <c:v>0.35</c:v>
                </c:pt>
                <c:pt idx="7">
                  <c:v>0.35</c:v>
                </c:pt>
                <c:pt idx="8">
                  <c:v>0.35</c:v>
                </c:pt>
                <c:pt idx="9">
                  <c:v>0.35</c:v>
                </c:pt>
                <c:pt idx="10">
                  <c:v>0.35</c:v>
                </c:pt>
                <c:pt idx="11">
                  <c:v>0.35</c:v>
                </c:pt>
                <c:pt idx="12">
                  <c:v>0.35</c:v>
                </c:pt>
                <c:pt idx="13">
                  <c:v>0.35</c:v>
                </c:pt>
                <c:pt idx="14">
                  <c:v>0.35</c:v>
                </c:pt>
                <c:pt idx="15">
                  <c:v>0.35</c:v>
                </c:pt>
                <c:pt idx="16">
                  <c:v>0.35</c:v>
                </c:pt>
                <c:pt idx="17">
                  <c:v>0.35</c:v>
                </c:pt>
                <c:pt idx="18">
                  <c:v>0.35</c:v>
                </c:pt>
              </c:numCache>
            </c:numRef>
          </c:val>
          <c:smooth val="0"/>
          <c:extLst>
            <c:ext xmlns:c16="http://schemas.microsoft.com/office/drawing/2014/chart" uri="{C3380CC4-5D6E-409C-BE32-E72D297353CC}">
              <c16:uniqueId val="{00000001-BFC0-4478-857F-EA0A0A86473F}"/>
            </c:ext>
          </c:extLst>
        </c:ser>
        <c:dLbls>
          <c:showLegendKey val="0"/>
          <c:showVal val="0"/>
          <c:showCatName val="0"/>
          <c:showSerName val="0"/>
          <c:showPercent val="0"/>
          <c:showBubbleSize val="0"/>
        </c:dLbls>
        <c:smooth val="0"/>
        <c:axId val="904563391"/>
        <c:axId val="1494317903"/>
      </c:lineChart>
      <c:catAx>
        <c:axId val="904563391"/>
        <c:scaling>
          <c:orientation val="minMax"/>
        </c:scaling>
        <c:delete val="0"/>
        <c:axPos val="b"/>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Annual exploitation</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494317903"/>
        <c:crosses val="autoZero"/>
        <c:auto val="1"/>
        <c:lblAlgn val="ctr"/>
        <c:lblOffset val="100"/>
        <c:noMultiLvlLbl val="0"/>
      </c:catAx>
      <c:valAx>
        <c:axId val="1494317903"/>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Spawning potential ratio</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904563391"/>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2" Type="http://schemas.openxmlformats.org/officeDocument/2006/relationships/chart" Target="../charts/chart4.xml"/><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2" Type="http://schemas.openxmlformats.org/officeDocument/2006/relationships/chart" Target="../charts/chart6.xml"/><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2" Type="http://schemas.openxmlformats.org/officeDocument/2006/relationships/chart" Target="../charts/chart8.xml"/><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C46BC5D9-2A76-4DB3-8A47-DB98A3BB45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7F94D93E-6C35-4BF1-A0A3-620BF26DB51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05FF3D3E-6F3A-4FB5-BDD5-825E7C38A1D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A39508CB-C01B-4745-A586-CD7EAB53709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F638274D-661B-48F9-B6E2-EA6215109A7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06F9E4E4-0BB4-412B-B4C8-7859019134B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14</xdr:col>
      <xdr:colOff>432228</xdr:colOff>
      <xdr:row>11</xdr:row>
      <xdr:rowOff>82761</xdr:rowOff>
    </xdr:from>
    <xdr:to>
      <xdr:col>29</xdr:col>
      <xdr:colOff>348184</xdr:colOff>
      <xdr:row>25</xdr:row>
      <xdr:rowOff>158961</xdr:rowOff>
    </xdr:to>
    <xdr:graphicFrame macro="">
      <xdr:nvGraphicFramePr>
        <xdr:cNvPr id="2" name="Chart 1">
          <a:extLst>
            <a:ext uri="{FF2B5EF4-FFF2-40B4-BE49-F238E27FC236}">
              <a16:creationId xmlns:a16="http://schemas.microsoft.com/office/drawing/2014/main" id="{AE4E04FD-0E09-4538-B9B6-ABABB2EEDFC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15</xdr:col>
      <xdr:colOff>0</xdr:colOff>
      <xdr:row>26</xdr:row>
      <xdr:rowOff>27212</xdr:rowOff>
    </xdr:from>
    <xdr:to>
      <xdr:col>29</xdr:col>
      <xdr:colOff>285750</xdr:colOff>
      <xdr:row>40</xdr:row>
      <xdr:rowOff>103412</xdr:rowOff>
    </xdr:to>
    <xdr:graphicFrame macro="">
      <xdr:nvGraphicFramePr>
        <xdr:cNvPr id="3" name="Chart 2">
          <a:extLst>
            <a:ext uri="{FF2B5EF4-FFF2-40B4-BE49-F238E27FC236}">
              <a16:creationId xmlns:a16="http://schemas.microsoft.com/office/drawing/2014/main" id="{B5D86406-9633-463A-A58B-4813CC7935E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person displayName="Neely, Ben [KDWP]" id="{A0D3DC66-78B1-4B25-9ECC-CFC2442D5680}" userId="S::ben.neely@kansas.gov::02a21eaf-56d1-4541-964a-c7464e98ede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E3" dT="2020-02-21T15:38:25.53" personId="{A0D3DC66-78B1-4B25-9ECC-CFC2442D5680}" id="{97CB868F-791C-4B06-87A5-4275E9F4121A}">
    <text>Use vB equation to predict expected TL at age. We can use whatever growth model best fits here (linear, Gompertz, double vB, etc). MILR BCF might need linear.</text>
  </threadedComment>
  <threadedComment ref="B4" dT="2020-02-21T15:30:15.83" personId="{A0D3DC66-78B1-4B25-9ECC-CFC2442D5680}" id="{230BCA66-6053-4937-957F-30B6D4E0BDD9}">
    <text>Growth parameters from aged fish sample taken in XXXX from X Reservoir.</text>
  </threadedComment>
  <threadedComment ref="E4" dT="2020-02-21T15:50:50.16" personId="{A0D3DC66-78B1-4B25-9ECC-CFC2442D5680}" id="{9A9FCBC1-62E3-4723-9929-79A3CBAFF01F}">
    <text>Estimated weight (kg) at length for yield</text>
  </threadedComment>
  <threadedComment ref="D5" dT="2020-02-21T16:02:56.74" personId="{A0D3DC66-78B1-4B25-9ECC-CFC2442D5680}" id="{2424BCEB-5A6B-4E48-A5F2-390BD87C626D}">
    <text>Relative fecundity at age. Using weight at age past maturity as surrogate for fecundity.</text>
  </threadedComment>
  <threadedComment ref="D6" dT="2020-02-21T17:19:37.38" personId="{A0D3DC66-78B1-4B25-9ECC-CFC2442D5680}" id="{B0A5DE79-099A-4F01-AE34-D20786A165C5}">
    <text>Expected survival of an unfished population. Referred to as a survivorship function.</text>
  </threadedComment>
  <threadedComment ref="D7" dT="2020-02-21T17:20:59.33" personId="{A0D3DC66-78B1-4B25-9ECC-CFC2442D5680}" id="{D9C9904B-93BB-4236-BDB3-D00E3A5F6670}">
    <text>Survivorship in a fished condition. Number (or proportion) alive at the beginning of age-x. Fish that survived age x-1</text>
  </threadedComment>
  <threadedComment ref="A8" dT="2020-02-21T15:46:34.33" personId="{A0D3DC66-78B1-4B25-9ECC-CFC2442D5680}" id="{22149163-EB23-41DB-B3EE-FB9373C9E49A}">
    <text>Weight at length estimates</text>
  </threadedComment>
  <threadedComment ref="D8" dT="2020-02-21T17:42:09.15" personId="{A0D3DC66-78B1-4B25-9ECC-CFC2442D5680}" id="{13C49DC7-9F31-4B7C-A208-41BE188C419A}">
    <text>Vulnerability to the minimum length limit. Think about this as the proportion of fish at age-x that are vulnerable to harvest.</text>
  </threadedComment>
  <threadedComment ref="D9" dT="2020-02-21T21:14:20.74" personId="{A0D3DC66-78B1-4B25-9ECC-CFC2442D5680}" id="{18D22DDD-2588-4ABC-A170-DEF01D901F1E}">
    <text>Vulnerability to the maximum length limit. Think about this as the proportion of fish at age-x that are vulnerable to harvest.</text>
  </threadedComment>
  <threadedComment ref="D10" dT="2020-02-21T21:14:44.06" personId="{A0D3DC66-78B1-4B25-9ECC-CFC2442D5680}" id="{BBAE738B-FA05-4264-BFBF-2304D77A4752}">
    <text>Vulnerability to a protected slot length limit. Think about this as the proportion of fish at age-x that are vulnerable to harvest.</text>
  </threadedComment>
  <threadedComment ref="A11" dT="2020-02-21T16:00:49.24" personId="{A0D3DC66-78B1-4B25-9ECC-CFC2442D5680}" id="{AC00FF71-34F7-4941-8A2E-A924A9E54BBE}">
    <text>Weight at maturation. Assuming they mature at age-6 here so estimated weight at age-6. This will change by species/population.</text>
  </threadedComment>
  <threadedComment ref="A13" dT="2020-02-21T17:15:11.83" personId="{A0D3DC66-78B1-4B25-9ECC-CFC2442D5680}" id="{31074EE1-5BAE-48F1-88DB-A017C743D74B}">
    <text>Instantaneous natural annual mortality calculated with Jensen equation. There are tons of other equations that can be used to estimate natural annual mortality.</text>
  </threadedComment>
  <threadedComment ref="A14" dT="2020-02-21T17:16:04.30" personId="{A0D3DC66-78B1-4B25-9ECC-CFC2442D5680}" id="{0D28624B-6C8E-4EEA-A2EA-AA9B2B6E88CF}">
    <text>Finite survival from natural mortality.</text>
  </threadedComment>
  <threadedComment ref="E14" dT="2020-02-21T20:15:06.01" personId="{A0D3DC66-78B1-4B25-9ECC-CFC2442D5680}" id="{77DFAEDF-2F92-4B90-B7C3-915343AA14F5}">
    <text>Data -&gt; What-if analysis -&gt; Data table. Identify the column variable as u (cell B15 here). This calculates YPR at each value of u</text>
  </threadedComment>
  <threadedComment ref="H14" dT="2020-02-21T20:15:06.01" personId="{A0D3DC66-78B1-4B25-9ECC-CFC2442D5680}" id="{5C1234BE-80C9-44BD-8ABA-5E3B7C7EA607}">
    <text>Data -&gt; What-if analysis -&gt; Data table. Identify the column variable as u (cell B15 here). This calculates YPR at each value of u</text>
  </threadedComment>
  <threadedComment ref="A15" dT="2020-02-21T17:18:11.90" personId="{A0D3DC66-78B1-4B25-9ECC-CFC2442D5680}" id="{057412C8-FEDC-4E09-9B7D-942C4E9A05AA}">
    <text>Annual exploitation rate</text>
  </threadedComment>
  <threadedComment ref="F15" dT="2020-02-21T20:13:14.83" personId="{A0D3DC66-78B1-4B25-9ECC-CFC2442D5680}" id="{D5F0C9EB-A93D-4EE3-93A3-27BF0710B7BA}">
    <text>This is just YPR</text>
  </threadedComment>
  <threadedComment ref="I15" dT="2020-02-21T20:13:14.83" personId="{A0D3DC66-78B1-4B25-9ECC-CFC2442D5680}" id="{B39E4087-6D8B-416A-B84C-A262722425C0}">
    <text>This is just SPR</text>
  </threadedComment>
  <threadedComment ref="A17" dT="2020-02-21T21:04:59.12" personId="{A0D3DC66-78B1-4B25-9ECC-CFC2442D5680}" id="{C6605091-7567-48F6-85E4-C99794B7B4C9}">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D92CDD4C-1BEF-4369-9D4E-26B1E3BA0A51}">
    <text>Simulate minimum length limit in millimeters. This can also be used as the lower side of a slot or where fish enter the fishery.</text>
  </threadedComment>
  <threadedComment ref="A19" dT="2020-02-21T21:25:14.67" personId="{A0D3DC66-78B1-4B25-9ECC-CFC2442D5680}" id="{C1F1F1B4-E72B-49F2-B0E1-0F75ED04DCF1}">
    <text>This can be used as a maximum length limit or as the upper end of a slot length limit.</text>
  </threadedComment>
  <threadedComment ref="A20" dT="2020-02-21T17:39:28.60" personId="{A0D3DC66-78B1-4B25-9ECC-CFC2442D5680}" id="{56D2A3E9-BD61-40E8-B163-729B66E85AF4}">
    <text>Standard deviation used for length limit modeling. This is used in conjunction with mean length at age, not the SD around the MLL. Best practice is to use standard deviation from growth model.</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0-02-21T15:38:25.53" personId="{A0D3DC66-78B1-4B25-9ECC-CFC2442D5680}" id="{5FE115C0-A138-464C-9988-577598A9269E}">
    <text>Use vB equation to predict expected TL at age. We can use whatever growth model best fits here (linear, Gompertz, double vB, etc). MILR BCF might need linear.</text>
  </threadedComment>
  <threadedComment ref="B4" dT="2020-02-21T15:30:15.83" personId="{A0D3DC66-78B1-4B25-9ECC-CFC2442D5680}" id="{2E7867D3-1F8A-448E-A884-E95AD0AE43B8}">
    <text>Growth parameters from aged fish sample taken in XXXX from X Reservoir.</text>
  </threadedComment>
  <threadedComment ref="E4" dT="2020-02-21T15:50:50.16" personId="{A0D3DC66-78B1-4B25-9ECC-CFC2442D5680}" id="{DEDABAA5-0CED-4864-B9A3-6BE57222BA04}">
    <text>Estimated weight (kg) at length for yield</text>
  </threadedComment>
  <threadedComment ref="D5" dT="2020-02-21T16:02:56.74" personId="{A0D3DC66-78B1-4B25-9ECC-CFC2442D5680}" id="{285EE1B7-AFFC-4005-AC39-BE73855574D8}">
    <text>Relative fecundity at age. Using weight at age past maturity as surrogate for fecundity.</text>
  </threadedComment>
  <threadedComment ref="D6" dT="2020-02-21T17:19:37.38" personId="{A0D3DC66-78B1-4B25-9ECC-CFC2442D5680}" id="{3E99EA99-E2C3-4C3E-8E82-08E5E20702DB}">
    <text>Expected survival of an unfished population. Referred to as a survivorship function.</text>
  </threadedComment>
  <threadedComment ref="D7" dT="2020-02-21T17:20:59.33" personId="{A0D3DC66-78B1-4B25-9ECC-CFC2442D5680}" id="{9E51FCA7-9069-4A45-9164-1147F6B29DE2}">
    <text>Survivorship in a fished condition. Number (or proportion) alive at the beginning of age-x. Fish that survived age x-1</text>
  </threadedComment>
  <threadedComment ref="A8" dT="2020-02-21T15:46:34.33" personId="{A0D3DC66-78B1-4B25-9ECC-CFC2442D5680}" id="{19E656D5-D210-4864-958B-5344D6C5B36D}">
    <text>Weight at length estimates</text>
  </threadedComment>
  <threadedComment ref="D8" dT="2020-02-21T17:42:09.15" personId="{A0D3DC66-78B1-4B25-9ECC-CFC2442D5680}" id="{E53757BC-4886-4921-BE32-950D25442766}">
    <text>Vulnerability to the minimum length limit. Think about this as the proportion of fish at age-x that are vulnerable to harvest.</text>
  </threadedComment>
  <threadedComment ref="D9" dT="2020-02-21T21:14:20.74" personId="{A0D3DC66-78B1-4B25-9ECC-CFC2442D5680}" id="{3B73BC03-A428-463B-8ED3-BD03FAE0D097}">
    <text>Vulnerability to the maximum length limit. Think about this as the proportion of fish at age-x that are vulnerable to harvest.</text>
  </threadedComment>
  <threadedComment ref="D10" dT="2020-02-21T21:14:44.06" personId="{A0D3DC66-78B1-4B25-9ECC-CFC2442D5680}" id="{53B82A4F-F553-4F67-BEC8-3B0FBFB2A7C6}">
    <text>Vulnerability to a protected slot length limit. Think about this as the proportion of fish at age-x that are vulnerable to harvest.</text>
  </threadedComment>
  <threadedComment ref="A11" dT="2020-02-21T16:00:49.24" personId="{A0D3DC66-78B1-4B25-9ECC-CFC2442D5680}" id="{CD68AFEA-A743-44AC-9840-4688DAE4AC44}">
    <text>Weight at maturation. Assuming they mature at age-6 here so estimated weight at age-6. This will change by species/population.</text>
  </threadedComment>
  <threadedComment ref="A13" dT="2020-02-21T17:15:11.83" personId="{A0D3DC66-78B1-4B25-9ECC-CFC2442D5680}" id="{EB993A58-521E-46F4-917F-E1698F00BF03}">
    <text>Instantaneous natural annual mortality calculated with Jensen equation. There are tons of other equations that can be used to estimate natural annual mortality.</text>
  </threadedComment>
  <threadedComment ref="A14" dT="2020-02-21T17:16:04.30" personId="{A0D3DC66-78B1-4B25-9ECC-CFC2442D5680}" id="{1AF90683-2C1C-4288-B912-70BBCA13C26C}">
    <text>Finite survival from natural mortality.</text>
  </threadedComment>
  <threadedComment ref="E14" dT="2020-02-21T20:15:06.01" personId="{A0D3DC66-78B1-4B25-9ECC-CFC2442D5680}" id="{7533856A-D92A-421F-9189-E8773663D918}">
    <text>Data -&gt; What-if analysis -&gt; Data table. Identify the column variable as u (cell B15 here). This calculates YPR at each value of u</text>
  </threadedComment>
  <threadedComment ref="H14" dT="2020-02-21T20:15:06.01" personId="{A0D3DC66-78B1-4B25-9ECC-CFC2442D5680}" id="{75121C8B-986B-40AB-B93C-509AE4C2F2B2}">
    <text>Data -&gt; What-if analysis -&gt; Data table. Identify the column variable as u (cell B15 here). This calculates YPR at each value of u</text>
  </threadedComment>
  <threadedComment ref="A15" dT="2020-02-21T17:18:11.90" personId="{A0D3DC66-78B1-4B25-9ECC-CFC2442D5680}" id="{9D0EE82C-F70E-4B7A-99C3-4D392F0B3B54}">
    <text>Annual exploitation rate</text>
  </threadedComment>
  <threadedComment ref="F15" dT="2020-02-21T20:13:14.83" personId="{A0D3DC66-78B1-4B25-9ECC-CFC2442D5680}" id="{03B60703-482D-4788-A967-FE1A15F1A3F5}">
    <text>This is just YPR</text>
  </threadedComment>
  <threadedComment ref="I15" dT="2020-02-21T20:13:14.83" personId="{A0D3DC66-78B1-4B25-9ECC-CFC2442D5680}" id="{4FD5FD0B-322B-4C7E-AC3E-F43564C8F394}">
    <text>This is just SPR</text>
  </threadedComment>
  <threadedComment ref="A17" dT="2020-02-21T21:04:59.12" personId="{A0D3DC66-78B1-4B25-9ECC-CFC2442D5680}" id="{C2A87682-ED1E-407F-B7CD-E51A5A25442F}">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22243929-A36E-489C-BF1E-C367D9173A2E}">
    <text>Simulate minimum length limit in millimeters. This can also be used as the lower side of a slot or where fish enter the fishery.</text>
  </threadedComment>
  <threadedComment ref="A19" dT="2020-02-21T21:25:14.67" personId="{A0D3DC66-78B1-4B25-9ECC-CFC2442D5680}" id="{E147313C-C333-4427-A78C-7BD7733BCDE8}">
    <text>This can be used as a maximum length limit or as the upper end of a slot length limit.</text>
  </threadedComment>
  <threadedComment ref="A20" dT="2020-02-21T17:39:28.60" personId="{A0D3DC66-78B1-4B25-9ECC-CFC2442D5680}" id="{3EE7C6DA-C166-4044-9828-D0975D10B161}">
    <text>Standard deviation used for length limit modeling. This is used in conjunction with mean length at age, not the SD around the MLL. Best practice is to use standard deviation from growth model.</text>
  </threadedComment>
</ThreadedComments>
</file>

<file path=xl/threadedComments/threadedComment3.xml><?xml version="1.0" encoding="utf-8"?>
<ThreadedComments xmlns="http://schemas.microsoft.com/office/spreadsheetml/2018/threadedcomments" xmlns:x="http://schemas.openxmlformats.org/spreadsheetml/2006/main">
  <threadedComment ref="E3" dT="2020-02-21T15:38:25.53" personId="{A0D3DC66-78B1-4B25-9ECC-CFC2442D5680}" id="{B084514E-DF44-476D-B9AD-0FAA9F661822}">
    <text>Use vB equation to predict expected TL at age. We can use whatever growth model best fits here (linear, Gompertz, double vB, etc). MILR BCF might need linear.</text>
  </threadedComment>
  <threadedComment ref="B4" dT="2020-02-21T15:30:15.83" personId="{A0D3DC66-78B1-4B25-9ECC-CFC2442D5680}" id="{D6155DE0-984B-45C1-B310-6848265047E2}">
    <text>Growth parameters from aged fish sample taken in XXXX from X Reservoir.</text>
  </threadedComment>
  <threadedComment ref="E4" dT="2020-02-21T15:50:50.16" personId="{A0D3DC66-78B1-4B25-9ECC-CFC2442D5680}" id="{2C0D2D19-B0D1-4E99-80B0-BF57CD5A2266}">
    <text>Estimated weight (kg) at length for yield</text>
  </threadedComment>
  <threadedComment ref="D5" dT="2020-02-21T16:02:56.74" personId="{A0D3DC66-78B1-4B25-9ECC-CFC2442D5680}" id="{71B9AEAC-9DC6-4E0D-AD28-4C7952027F02}">
    <text>Relative fecundity at age. Using weight at age past maturity as surrogate for fecundity.</text>
  </threadedComment>
  <threadedComment ref="D6" dT="2020-02-21T17:19:37.38" personId="{A0D3DC66-78B1-4B25-9ECC-CFC2442D5680}" id="{53858319-A6DC-4197-8703-C0E914F3FA70}">
    <text>Expected survival of an unfished population. Referred to as a survivorship function.</text>
  </threadedComment>
  <threadedComment ref="D7" dT="2020-02-21T17:20:59.33" personId="{A0D3DC66-78B1-4B25-9ECC-CFC2442D5680}" id="{A3A4178B-96B4-4E02-94F7-3B8DD8A6938B}">
    <text>Survivorship in a fished condition. Number (or proportion) alive at the beginning of age-x. Fish that survived age x-1</text>
  </threadedComment>
  <threadedComment ref="A8" dT="2020-02-21T15:46:34.33" personId="{A0D3DC66-78B1-4B25-9ECC-CFC2442D5680}" id="{6E4D2967-6AE8-4F93-9F5B-98868400FBEA}">
    <text>Weight at length estimates</text>
  </threadedComment>
  <threadedComment ref="D8" dT="2020-02-21T17:42:09.15" personId="{A0D3DC66-78B1-4B25-9ECC-CFC2442D5680}" id="{50082B10-947B-4678-B40D-648B0D7264CF}">
    <text>Vulnerability to the minimum length limit. Think about this as the proportion of fish at age-x that are vulnerable to harvest.</text>
  </threadedComment>
  <threadedComment ref="D9" dT="2020-02-21T21:14:20.74" personId="{A0D3DC66-78B1-4B25-9ECC-CFC2442D5680}" id="{B26165E0-D814-41A6-9E6F-EBAC48C4F99B}">
    <text>Vulnerability to the maximum length limit. Think about this as the proportion of fish at age-x that are vulnerable to harvest.</text>
  </threadedComment>
  <threadedComment ref="D10" dT="2020-02-21T21:14:44.06" personId="{A0D3DC66-78B1-4B25-9ECC-CFC2442D5680}" id="{E0A79D31-D621-4BF8-AEF3-873A96FA884F}">
    <text>Vulnerability to a protected slot length limit. Think about this as the proportion of fish at age-x that are vulnerable to harvest.</text>
  </threadedComment>
  <threadedComment ref="A11" dT="2020-02-21T16:00:49.24" personId="{A0D3DC66-78B1-4B25-9ECC-CFC2442D5680}" id="{D7105CF7-DF14-4F17-8519-B3F42562C0BC}">
    <text>Weight at maturation. Assuming they mature at age-6 here so estimated weight at age-6. This will change by species/population.</text>
  </threadedComment>
  <threadedComment ref="A13" dT="2020-02-21T17:15:11.83" personId="{A0D3DC66-78B1-4B25-9ECC-CFC2442D5680}" id="{40F6A9D1-A800-4AF0-903F-C7C95995CA48}">
    <text>Instantaneous natural annual mortality calculated with Jensen equation. There are tons of other equations that can be used to estimate natural annual mortality.</text>
  </threadedComment>
  <threadedComment ref="A14" dT="2020-02-21T17:16:04.30" personId="{A0D3DC66-78B1-4B25-9ECC-CFC2442D5680}" id="{84A46AFA-29AA-47A9-90B0-2D7139706EC4}">
    <text>Finite survival from natural mortality.</text>
  </threadedComment>
  <threadedComment ref="E14" dT="2020-02-21T20:15:06.01" personId="{A0D3DC66-78B1-4B25-9ECC-CFC2442D5680}" id="{8DDF3749-BDA4-4CEF-A3FE-FC47B2B46C19}">
    <text>Data -&gt; What-if analysis -&gt; Data table. Identify the column variable as u (cell B15 here). This calculates YPR at each value of u</text>
  </threadedComment>
  <threadedComment ref="H14" dT="2020-02-21T20:15:06.01" personId="{A0D3DC66-78B1-4B25-9ECC-CFC2442D5680}" id="{6BC6BC2B-6CCA-4ECE-974C-B42EDC89DB6D}">
    <text>Data -&gt; What-if analysis -&gt; Data table. Identify the column variable as u (cell B15 here). This calculates YPR at each value of u</text>
  </threadedComment>
  <threadedComment ref="A15" dT="2020-02-21T17:18:11.90" personId="{A0D3DC66-78B1-4B25-9ECC-CFC2442D5680}" id="{4A446D61-5C34-4B9F-8158-F04716ED85B9}">
    <text>Annual exploitation rate</text>
  </threadedComment>
  <threadedComment ref="F15" dT="2020-02-21T20:13:14.83" personId="{A0D3DC66-78B1-4B25-9ECC-CFC2442D5680}" id="{A9B9165E-C990-4C24-9A4C-978973BFF608}">
    <text>This is just YPR</text>
  </threadedComment>
  <threadedComment ref="I15" dT="2020-02-21T20:13:14.83" personId="{A0D3DC66-78B1-4B25-9ECC-CFC2442D5680}" id="{B23F93F7-B734-48A1-9BEE-52FE5A69FC59}">
    <text>This is just SPR</text>
  </threadedComment>
  <threadedComment ref="A17" dT="2020-02-21T21:04:59.12" personId="{A0D3DC66-78B1-4B25-9ECC-CFC2442D5680}" id="{8523F49E-0FD6-4D7B-9D63-F7D35CBF4D32}">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223AACF5-3D1C-432F-BB6B-81E36216184A}">
    <text>Simulate minimum length limit in millimeters. This can also be used as the lower side of a slot or where fish enter the fishery.</text>
  </threadedComment>
  <threadedComment ref="A19" dT="2020-02-21T21:25:14.67" personId="{A0D3DC66-78B1-4B25-9ECC-CFC2442D5680}" id="{2F9C7C03-DA08-4FB4-BE05-EE59D8417CD3}">
    <text>This can be used as a maximum length limit or as the upper end of a slot length limit.</text>
  </threadedComment>
  <threadedComment ref="A20" dT="2020-02-21T17:39:28.60" personId="{A0D3DC66-78B1-4B25-9ECC-CFC2442D5680}" id="{51C44994-2856-4819-9D8A-27A42B51AFE7}">
    <text>Standard deviation used for length limit modeling. This is used in conjunction with mean length at age, not the SD around the MLL. Best practice is to use standard deviation from growth model.</text>
  </threadedComment>
</ThreadedComments>
</file>

<file path=xl/threadedComments/threadedComment4.xml><?xml version="1.0" encoding="utf-8"?>
<ThreadedComments xmlns="http://schemas.microsoft.com/office/spreadsheetml/2018/threadedcomments" xmlns:x="http://schemas.openxmlformats.org/spreadsheetml/2006/main">
  <threadedComment ref="E3" dT="2020-02-21T15:38:25.53" personId="{A0D3DC66-78B1-4B25-9ECC-CFC2442D5680}" id="{2C27A405-F082-4CFA-A3AF-B3330C125EE2}">
    <text>Use vB equation to predict expected TL at age. We can use whatever growth model best fits here (linear, Gompertz, double vB, etc). MILR BCF might need linear.</text>
  </threadedComment>
  <threadedComment ref="B4" dT="2020-02-21T15:30:15.83" personId="{A0D3DC66-78B1-4B25-9ECC-CFC2442D5680}" id="{4AB01ED1-15E0-4006-A7F3-9FCD7C871A57}">
    <text>Growth parameters from aged fish sample taken in XXXX from X Reservoir.</text>
  </threadedComment>
  <threadedComment ref="E4" dT="2020-02-21T15:50:50.16" personId="{A0D3DC66-78B1-4B25-9ECC-CFC2442D5680}" id="{41FEF762-1730-4C83-A5AE-A188C42F726F}">
    <text>Estimated weight (kg) at length for yield</text>
  </threadedComment>
  <threadedComment ref="D5" dT="2020-02-21T16:02:56.74" personId="{A0D3DC66-78B1-4B25-9ECC-CFC2442D5680}" id="{5F0B2BFF-0D4C-41E9-AEC3-251C7A28CC2A}">
    <text>Relative fecundity at age. Using weight at age past maturity as surrogate for fecundity.</text>
  </threadedComment>
  <threadedComment ref="D6" dT="2020-02-21T17:19:37.38" personId="{A0D3DC66-78B1-4B25-9ECC-CFC2442D5680}" id="{702C82E1-7896-4B6C-BDDC-A0CDEA62C80B}">
    <text>Expected survival of an unfished population. Referred to as a survivorship function.</text>
  </threadedComment>
  <threadedComment ref="D7" dT="2020-02-21T17:20:59.33" personId="{A0D3DC66-78B1-4B25-9ECC-CFC2442D5680}" id="{6BC25420-03C9-43EA-B89C-934AFA672FF0}">
    <text>Survivorship in a fished condition. Number (or proportion) alive at the beginning of age-x. Fish that survived age x-1</text>
  </threadedComment>
  <threadedComment ref="A8" dT="2020-02-21T15:46:34.33" personId="{A0D3DC66-78B1-4B25-9ECC-CFC2442D5680}" id="{A67743A2-8D0B-416D-8C20-31D290D52D15}">
    <text>Weight at length estimates</text>
  </threadedComment>
  <threadedComment ref="D8" dT="2020-02-21T17:42:09.15" personId="{A0D3DC66-78B1-4B25-9ECC-CFC2442D5680}" id="{120A946C-DDC3-468F-9D11-AFA5EDE4E340}">
    <text>Vulnerability to the minimum length limit. Think about this as the proportion of fish at age-x that are vulnerable to harvest.</text>
  </threadedComment>
  <threadedComment ref="D9" dT="2020-02-21T21:14:20.74" personId="{A0D3DC66-78B1-4B25-9ECC-CFC2442D5680}" id="{38908B31-BF50-460E-AA37-7CE1B1AA760B}">
    <text>Vulnerability to the maximum length limit. Think about this as the proportion of fish at age-x that are vulnerable to harvest.</text>
  </threadedComment>
  <threadedComment ref="D10" dT="2020-02-21T21:14:44.06" personId="{A0D3DC66-78B1-4B25-9ECC-CFC2442D5680}" id="{F63ADD75-A450-4EDE-A5E7-CB12DE921B3D}">
    <text>Vulnerability to a protected slot length limit. Think about this as the proportion of fish at age-x that are vulnerable to harvest.</text>
  </threadedComment>
  <threadedComment ref="A11" dT="2020-02-21T16:00:49.24" personId="{A0D3DC66-78B1-4B25-9ECC-CFC2442D5680}" id="{390533FA-D891-40A9-92FA-6880B2A3BC4A}">
    <text>Weight at maturation. Assuming they mature at age-6 here so estimated weight at age-6. This will change by species/population.</text>
  </threadedComment>
  <threadedComment ref="A13" dT="2020-02-21T17:15:11.83" personId="{A0D3DC66-78B1-4B25-9ECC-CFC2442D5680}" id="{2D4E1DC2-1958-4FD6-AE82-5B31F28DC929}">
    <text>Instantaneous natural annual mortality calculated with Jensen equation. There are tons of other equations that can be used to estimate natural annual mortality.</text>
  </threadedComment>
  <threadedComment ref="A14" dT="2020-02-21T17:16:04.30" personId="{A0D3DC66-78B1-4B25-9ECC-CFC2442D5680}" id="{64CE000D-A738-4EE5-AC8A-406E23998574}">
    <text>Finite survival from natural mortality.</text>
  </threadedComment>
  <threadedComment ref="E14" dT="2020-02-21T20:15:06.01" personId="{A0D3DC66-78B1-4B25-9ECC-CFC2442D5680}" id="{826BB208-59A7-4ABA-9F5B-3E5B3257F3EE}">
    <text>Data -&gt; What-if analysis -&gt; Data table. Identify the column variable as u (cell B15 here). This calculates YPR at each value of u</text>
  </threadedComment>
  <threadedComment ref="H14" dT="2020-02-21T20:15:06.01" personId="{A0D3DC66-78B1-4B25-9ECC-CFC2442D5680}" id="{0779E98B-26F4-464C-84BE-0C784D94BD73}">
    <text>Data -&gt; What-if analysis -&gt; Data table. Identify the column variable as u (cell B15 here). This calculates YPR at each value of u</text>
  </threadedComment>
  <threadedComment ref="A15" dT="2020-02-21T17:18:11.90" personId="{A0D3DC66-78B1-4B25-9ECC-CFC2442D5680}" id="{7DC65B41-B633-47DB-A251-334FAAEACDD4}">
    <text>Annual exploitation rate</text>
  </threadedComment>
  <threadedComment ref="F15" dT="2020-02-21T20:13:14.83" personId="{A0D3DC66-78B1-4B25-9ECC-CFC2442D5680}" id="{0A92D9C0-7B7F-4EC7-BA2B-355154BE8E65}">
    <text>This is just YPR</text>
  </threadedComment>
  <threadedComment ref="I15" dT="2020-02-21T20:13:14.83" personId="{A0D3DC66-78B1-4B25-9ECC-CFC2442D5680}" id="{CB28DF26-808D-4283-82A5-F5FCF6B265BE}">
    <text>This is just SPR</text>
  </threadedComment>
  <threadedComment ref="A17" dT="2020-02-21T21:04:59.12" personId="{A0D3DC66-78B1-4B25-9ECC-CFC2442D5680}" id="{49466024-0FAD-47FF-9AFB-0BC1AA07E6EB}">
    <text>Set up vulnerability functions for te different types of length limits. Pay attention to the Vul parameters that are being used in the S_Fished vector as those will determine which size limit type is being used.</text>
  </threadedComment>
  <threadedComment ref="A18" dT="2020-02-21T17:37:26.47" personId="{A0D3DC66-78B1-4B25-9ECC-CFC2442D5680}" id="{7E88E480-AD05-49CE-BBD5-9330173F2C51}">
    <text>Simulate minimum length limit in millimeters. This can also be used as the lower side of a slot or where fish enter the fishery.</text>
  </threadedComment>
  <threadedComment ref="A19" dT="2020-02-21T21:25:14.67" personId="{A0D3DC66-78B1-4B25-9ECC-CFC2442D5680}" id="{CE679654-1FFF-43C2-A936-FF3C3CA039A4}">
    <text>This can be used as a maximum length limit or as the upper end of a slot length limit.</text>
  </threadedComment>
  <threadedComment ref="A20" dT="2020-02-21T17:39:28.60" personId="{A0D3DC66-78B1-4B25-9ECC-CFC2442D5680}" id="{DBDE9F1B-4F38-405E-A5B0-5CDCDA92D239}">
    <text>Standard deviation used for length limit modeling. This is used in conjunction with mean length at age, not the SD around the MLL. Best practice is to use standard deviation from growth model.</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3.bin"/><Relationship Id="rId5" Type="http://schemas.microsoft.com/office/2017/10/relationships/threadedComment" Target="../threadedComments/threadedComment3.xml"/><Relationship Id="rId4" Type="http://schemas.openxmlformats.org/officeDocument/2006/relationships/comments" Target="../comments3.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4.bin"/><Relationship Id="rId5" Type="http://schemas.microsoft.com/office/2017/10/relationships/threadedComment" Target="../threadedComments/threadedComment4.xml"/><Relationship Id="rId4" Type="http://schemas.openxmlformats.org/officeDocument/2006/relationships/comments" Target="../comments4.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E985E2-1E07-46CD-A77C-8D62FB306C89}">
  <dimension ref="A2:AC34"/>
  <sheetViews>
    <sheetView tabSelected="1"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Linf*(EXP(-EXP(-K*(E2-tnot))))</f>
        <v>214.48413854627881</v>
      </c>
      <c r="F3" s="4">
        <f t="shared" si="0"/>
        <v>262.11908815889211</v>
      </c>
      <c r="G3" s="4">
        <f t="shared" si="0"/>
        <v>312.82736422011533</v>
      </c>
      <c r="H3" s="4">
        <f t="shared" si="0"/>
        <v>365.6207197036486</v>
      </c>
      <c r="I3" s="4">
        <f t="shared" si="0"/>
        <v>419.51769221321587</v>
      </c>
      <c r="J3" s="4">
        <f t="shared" si="0"/>
        <v>473.59784723672271</v>
      </c>
      <c r="K3" s="4">
        <f t="shared" si="0"/>
        <v>527.04021445206524</v>
      </c>
      <c r="L3" s="4">
        <f t="shared" si="0"/>
        <v>579.14638868279258</v>
      </c>
      <c r="M3" s="4">
        <f t="shared" si="0"/>
        <v>629.35034776631289</v>
      </c>
      <c r="N3" s="4">
        <f t="shared" si="0"/>
        <v>677.2178042349542</v>
      </c>
      <c r="O3" s="4">
        <f t="shared" si="0"/>
        <v>722.43805699692552</v>
      </c>
      <c r="P3" s="4">
        <f t="shared" si="0"/>
        <v>764.81106144646083</v>
      </c>
      <c r="Q3" s="4">
        <f t="shared" si="0"/>
        <v>804.23197984197498</v>
      </c>
      <c r="R3" s="4">
        <f t="shared" si="0"/>
        <v>840.67494765070467</v>
      </c>
      <c r="S3" s="4">
        <f t="shared" si="0"/>
        <v>874.17728566245455</v>
      </c>
      <c r="T3" s="4">
        <f t="shared" si="0"/>
        <v>904.82495088484563</v>
      </c>
      <c r="U3" s="4">
        <f t="shared" si="0"/>
        <v>932.73967086607081</v>
      </c>
      <c r="V3" s="4">
        <f t="shared" si="0"/>
        <v>958.06794661508502</v>
      </c>
      <c r="W3" s="4">
        <f t="shared" si="0"/>
        <v>980.97192878646206</v>
      </c>
      <c r="X3" s="4">
        <f t="shared" si="0"/>
        <v>1001.6220559141852</v>
      </c>
      <c r="Y3" s="4">
        <f t="shared" si="0"/>
        <v>1020.1912771638609</v>
      </c>
      <c r="Z3" s="4">
        <f t="shared" si="0"/>
        <v>1036.8506516383936</v>
      </c>
      <c r="AA3" s="4">
        <f t="shared" si="0"/>
        <v>1051.7661103097259</v>
      </c>
      <c r="AB3" s="4">
        <f t="shared" si="0"/>
        <v>1065.0961762373888</v>
      </c>
      <c r="AC3" s="4">
        <f t="shared" si="0"/>
        <v>1076.9904572573623</v>
      </c>
    </row>
    <row r="4" spans="1:29" x14ac:dyDescent="0.25">
      <c r="A4" t="s">
        <v>3</v>
      </c>
      <c r="B4" s="5">
        <v>1170</v>
      </c>
      <c r="D4" t="s">
        <v>6</v>
      </c>
      <c r="E4" s="3">
        <f t="shared" ref="E4:AC4" si="1">(a_wl*E3^b_wl)/1000</f>
        <v>7.3991830155549748E-2</v>
      </c>
      <c r="F4" s="3">
        <f t="shared" si="1"/>
        <v>0.13981519148019178</v>
      </c>
      <c r="G4" s="3">
        <f t="shared" si="1"/>
        <v>0.24504869564100107</v>
      </c>
      <c r="H4" s="3">
        <f t="shared" si="1"/>
        <v>0.40192074505011133</v>
      </c>
      <c r="I4" s="3">
        <f t="shared" si="1"/>
        <v>0.62176227272980478</v>
      </c>
      <c r="J4" s="3">
        <f t="shared" si="1"/>
        <v>0.91349778651310887</v>
      </c>
      <c r="K4" s="3">
        <f t="shared" si="1"/>
        <v>1.2824429301180986</v>
      </c>
      <c r="L4" s="3">
        <f t="shared" si="1"/>
        <v>1.7296218539063031</v>
      </c>
      <c r="M4" s="3">
        <f t="shared" si="1"/>
        <v>2.2516762069547087</v>
      </c>
      <c r="N4" s="3">
        <f t="shared" si="1"/>
        <v>2.8413061843854126</v>
      </c>
      <c r="O4" s="3">
        <f t="shared" si="1"/>
        <v>3.4880963621096055</v>
      </c>
      <c r="P4" s="3">
        <f t="shared" si="1"/>
        <v>4.1795449071082205</v>
      </c>
      <c r="Q4" s="3">
        <f t="shared" si="1"/>
        <v>4.9021257677874086</v>
      </c>
      <c r="R4" s="3">
        <f t="shared" si="1"/>
        <v>5.6422524784390031</v>
      </c>
      <c r="S4" s="3">
        <f t="shared" si="1"/>
        <v>6.3870616748287805</v>
      </c>
      <c r="T4" s="3">
        <f t="shared" si="1"/>
        <v>7.1249811144411108</v>
      </c>
      <c r="U4" s="3">
        <f t="shared" si="1"/>
        <v>7.846083517284467</v>
      </c>
      <c r="V4" s="3">
        <f t="shared" si="1"/>
        <v>8.5422514992708827</v>
      </c>
      <c r="W4" s="3">
        <f t="shared" si="1"/>
        <v>9.2071912091160986</v>
      </c>
      <c r="X4" s="3">
        <f t="shared" si="1"/>
        <v>9.8363356142809977</v>
      </c>
      <c r="Y4" s="3">
        <f t="shared" si="1"/>
        <v>10.426675735000062</v>
      </c>
      <c r="Z4" s="3">
        <f t="shared" si="1"/>
        <v>10.976552190506991</v>
      </c>
      <c r="AA4" s="3">
        <f t="shared" si="1"/>
        <v>11.485432240784951</v>
      </c>
      <c r="AB4" s="3">
        <f t="shared" si="1"/>
        <v>11.953690431058583</v>
      </c>
      <c r="AC4" s="3">
        <f t="shared" si="1"/>
        <v>12.382404736202716</v>
      </c>
    </row>
    <row r="5" spans="1:29" x14ac:dyDescent="0.25">
      <c r="A5" t="s">
        <v>30</v>
      </c>
      <c r="B5" s="5">
        <v>0.1258128</v>
      </c>
      <c r="D5" t="s">
        <v>8</v>
      </c>
      <c r="E5" s="3">
        <f t="shared" ref="E5:AC5" si="2">MAX(0,E4-wmat)</f>
        <v>0</v>
      </c>
      <c r="F5" s="3">
        <f t="shared" si="2"/>
        <v>0</v>
      </c>
      <c r="G5" s="3">
        <f t="shared" si="2"/>
        <v>0</v>
      </c>
      <c r="H5" s="3">
        <f t="shared" si="2"/>
        <v>0</v>
      </c>
      <c r="I5" s="3">
        <f t="shared" si="2"/>
        <v>0</v>
      </c>
      <c r="J5" s="3">
        <f t="shared" si="2"/>
        <v>0</v>
      </c>
      <c r="K5" s="3">
        <f t="shared" si="2"/>
        <v>0.36894514360498976</v>
      </c>
      <c r="L5" s="3">
        <f t="shared" si="2"/>
        <v>0.81612406739319421</v>
      </c>
      <c r="M5" s="3">
        <f t="shared" si="2"/>
        <v>1.3381784204415998</v>
      </c>
      <c r="N5" s="3">
        <f t="shared" si="2"/>
        <v>1.9278083978723037</v>
      </c>
      <c r="O5" s="3">
        <f t="shared" si="2"/>
        <v>2.5745985755964966</v>
      </c>
      <c r="P5" s="3">
        <f t="shared" si="2"/>
        <v>3.2660471205951116</v>
      </c>
      <c r="Q5" s="3">
        <f t="shared" si="2"/>
        <v>3.9886279812742997</v>
      </c>
      <c r="R5" s="3">
        <f t="shared" si="2"/>
        <v>4.7287546919258947</v>
      </c>
      <c r="S5" s="3">
        <f t="shared" si="2"/>
        <v>5.4735638883156721</v>
      </c>
      <c r="T5" s="3">
        <f t="shared" si="2"/>
        <v>6.2114833279280024</v>
      </c>
      <c r="U5" s="3">
        <f t="shared" si="2"/>
        <v>6.9325857307713576</v>
      </c>
      <c r="V5" s="3">
        <f t="shared" si="2"/>
        <v>7.6287537127577743</v>
      </c>
      <c r="W5" s="3">
        <f t="shared" si="2"/>
        <v>8.2936934226029901</v>
      </c>
      <c r="X5" s="3">
        <f t="shared" si="2"/>
        <v>8.9228378277678893</v>
      </c>
      <c r="Y5" s="3">
        <f t="shared" si="2"/>
        <v>9.5131779484869536</v>
      </c>
      <c r="Z5" s="3">
        <f t="shared" si="2"/>
        <v>10.063054403993883</v>
      </c>
      <c r="AA5" s="3">
        <f t="shared" si="2"/>
        <v>10.571934454271842</v>
      </c>
      <c r="AB5" s="3">
        <f t="shared" si="2"/>
        <v>11.040192644545474</v>
      </c>
      <c r="AC5" s="3">
        <f t="shared" si="2"/>
        <v>11.468906949689607</v>
      </c>
    </row>
    <row r="6" spans="1:29" x14ac:dyDescent="0.25">
      <c r="A6" t="s">
        <v>31</v>
      </c>
      <c r="B6" s="5">
        <v>5.2013293000000003</v>
      </c>
      <c r="D6" t="s">
        <v>12</v>
      </c>
      <c r="E6" s="6">
        <v>1</v>
      </c>
      <c r="F6" s="3">
        <f t="shared" ref="F6:AC6" si="3">E6*So</f>
        <v>0.90483741803595952</v>
      </c>
      <c r="G6" s="3">
        <f t="shared" si="3"/>
        <v>0.81873075307798171</v>
      </c>
      <c r="H6" s="3">
        <f t="shared" si="3"/>
        <v>0.74081822068171765</v>
      </c>
      <c r="I6" s="3">
        <f t="shared" si="3"/>
        <v>0.67032004603563911</v>
      </c>
      <c r="J6" s="3">
        <f t="shared" si="3"/>
        <v>0.6065306597126332</v>
      </c>
      <c r="K6" s="3">
        <f t="shared" si="3"/>
        <v>0.54881163609402617</v>
      </c>
      <c r="L6" s="3">
        <f t="shared" si="3"/>
        <v>0.49658530379140925</v>
      </c>
      <c r="M6" s="3">
        <f t="shared" si="3"/>
        <v>0.44932896411722134</v>
      </c>
      <c r="N6" s="3">
        <f t="shared" si="3"/>
        <v>0.40656965974059889</v>
      </c>
      <c r="O6" s="3">
        <f t="shared" si="3"/>
        <v>0.36787944117144211</v>
      </c>
      <c r="P6" s="3">
        <f t="shared" si="3"/>
        <v>0.33287108369807933</v>
      </c>
      <c r="Q6" s="3">
        <f t="shared" si="3"/>
        <v>0.30119421191220186</v>
      </c>
      <c r="R6" s="3">
        <f t="shared" si="3"/>
        <v>0.27253179303401237</v>
      </c>
      <c r="S6" s="3">
        <f t="shared" si="3"/>
        <v>0.24659696394160624</v>
      </c>
      <c r="T6" s="3">
        <f t="shared" si="3"/>
        <v>0.2231301601484296</v>
      </c>
      <c r="U6" s="3">
        <f t="shared" si="3"/>
        <v>0.20189651799465519</v>
      </c>
      <c r="V6" s="3">
        <f t="shared" si="3"/>
        <v>0.18268352405273444</v>
      </c>
      <c r="W6" s="3">
        <f t="shared" si="3"/>
        <v>0.16529888822158634</v>
      </c>
      <c r="X6" s="3">
        <f t="shared" si="3"/>
        <v>0.14956861922263487</v>
      </c>
      <c r="Y6" s="3">
        <f t="shared" si="3"/>
        <v>0.13533528323661251</v>
      </c>
      <c r="Z6" s="3">
        <f t="shared" si="3"/>
        <v>0.12245642825298174</v>
      </c>
      <c r="AA6" s="3">
        <f t="shared" si="3"/>
        <v>0.11080315836233372</v>
      </c>
      <c r="AB6" s="3">
        <f t="shared" si="3"/>
        <v>0.10025884372280358</v>
      </c>
      <c r="AC6" s="3">
        <f t="shared" si="3"/>
        <v>9.0717953289412359E-2</v>
      </c>
    </row>
    <row r="7" spans="1:29" x14ac:dyDescent="0.25">
      <c r="D7" t="s">
        <v>13</v>
      </c>
      <c r="E7" s="6">
        <v>1</v>
      </c>
      <c r="F7" s="3">
        <f t="shared" ref="F7:AC7" si="4">E7*So*(1-u*E11)</f>
        <v>0.90483688600613621</v>
      </c>
      <c r="G7" s="3">
        <f t="shared" si="4"/>
        <v>0.81865833235880336</v>
      </c>
      <c r="H7" s="3">
        <f t="shared" si="4"/>
        <v>0.73805596307160004</v>
      </c>
      <c r="I7" s="3">
        <f t="shared" si="4"/>
        <v>0.64492492577039151</v>
      </c>
      <c r="J7" s="3">
        <f t="shared" si="4"/>
        <v>0.53426428982848384</v>
      </c>
      <c r="K7" s="3">
        <f t="shared" si="4"/>
        <v>0.43543826742192671</v>
      </c>
      <c r="L7" s="3">
        <f t="shared" si="4"/>
        <v>0.35460314658434178</v>
      </c>
      <c r="M7" s="3">
        <f t="shared" si="4"/>
        <v>0.288772400004561</v>
      </c>
      <c r="N7" s="3">
        <f t="shared" si="4"/>
        <v>0.23516915760905777</v>
      </c>
      <c r="O7" s="3">
        <f t="shared" si="4"/>
        <v>0.19178402441296077</v>
      </c>
      <c r="P7" s="3">
        <f t="shared" si="4"/>
        <v>0.15876417475725055</v>
      </c>
      <c r="Q7" s="3">
        <f t="shared" si="4"/>
        <v>0.1368965464175407</v>
      </c>
      <c r="R7" s="3">
        <f t="shared" si="4"/>
        <v>0.12221911884683022</v>
      </c>
      <c r="S7" s="3">
        <f t="shared" si="4"/>
        <v>0.11037601630827241</v>
      </c>
      <c r="T7" s="3">
        <f t="shared" si="4"/>
        <v>9.9856585341394619E-2</v>
      </c>
      <c r="U7" s="3">
        <f t="shared" si="4"/>
        <v>9.0353202779591579E-2</v>
      </c>
      <c r="V7" s="3">
        <f t="shared" si="4"/>
        <v>8.1754930027543596E-2</v>
      </c>
      <c r="W7" s="3">
        <f t="shared" si="4"/>
        <v>7.397491888287952E-2</v>
      </c>
      <c r="X7" s="3">
        <f t="shared" si="4"/>
        <v>6.6935274573653974E-2</v>
      </c>
      <c r="Y7" s="3">
        <f t="shared" si="4"/>
        <v>6.056554101988508E-2</v>
      </c>
      <c r="Z7" s="3">
        <f t="shared" si="4"/>
        <v>5.4801967758354025E-2</v>
      </c>
      <c r="AA7" s="3">
        <f t="shared" si="4"/>
        <v>4.9586871009757783E-2</v>
      </c>
      <c r="AB7" s="3">
        <f t="shared" si="4"/>
        <v>4.486805633295135E-2</v>
      </c>
      <c r="AC7" s="3">
        <f t="shared" si="4"/>
        <v>4.059829624459968E-2</v>
      </c>
    </row>
    <row r="8" spans="1:29" x14ac:dyDescent="0.25">
      <c r="A8" t="s">
        <v>4</v>
      </c>
      <c r="B8" s="5">
        <f>10^-5.5281</f>
        <v>2.9641487904584014E-6</v>
      </c>
      <c r="D8" t="s">
        <v>16</v>
      </c>
      <c r="E8" s="2">
        <f t="shared" ref="E8:AC8" si="5">_xlfn.NORM.DIST(E3,Min_LL,Min_SD,TRUE)</f>
        <v>5.8798388821687656E-6</v>
      </c>
      <c r="F8" s="2">
        <f t="shared" si="5"/>
        <v>8.7866933928467338E-4</v>
      </c>
      <c r="G8" s="2">
        <f t="shared" si="5"/>
        <v>3.6405249198031821E-2</v>
      </c>
      <c r="H8" s="2">
        <f t="shared" si="5"/>
        <v>0.34284244060247282</v>
      </c>
      <c r="I8" s="2">
        <f t="shared" si="5"/>
        <v>0.84461877513174788</v>
      </c>
      <c r="J8" s="2">
        <f t="shared" si="5"/>
        <v>0.99259076577152938</v>
      </c>
      <c r="K8" s="2">
        <f t="shared" si="5"/>
        <v>0.99993927076248779</v>
      </c>
      <c r="L8" s="2">
        <f t="shared" si="5"/>
        <v>0.99999990778280423</v>
      </c>
      <c r="M8" s="2">
        <f t="shared" si="5"/>
        <v>0.99999999996830879</v>
      </c>
      <c r="N8" s="2">
        <f t="shared" si="5"/>
        <v>0.99999999999999678</v>
      </c>
      <c r="O8" s="2">
        <f t="shared" si="5"/>
        <v>1</v>
      </c>
      <c r="P8" s="2">
        <f t="shared" si="5"/>
        <v>1</v>
      </c>
      <c r="Q8" s="2">
        <f t="shared" si="5"/>
        <v>1</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5</v>
      </c>
      <c r="B9" s="5">
        <v>3.1728999999999998</v>
      </c>
      <c r="D9" t="s">
        <v>23</v>
      </c>
      <c r="E9" s="2">
        <f t="shared" ref="E9:AC9" si="6">1-_xlfn.NORM.DIST(E3,Upper_LL,Min_SD,TRUE)</f>
        <v>1</v>
      </c>
      <c r="F9" s="2">
        <f t="shared" si="6"/>
        <v>1</v>
      </c>
      <c r="G9" s="2">
        <f t="shared" si="6"/>
        <v>1</v>
      </c>
      <c r="H9" s="2">
        <f t="shared" si="6"/>
        <v>1</v>
      </c>
      <c r="I9" s="2">
        <f t="shared" si="6"/>
        <v>1</v>
      </c>
      <c r="J9" s="2">
        <f t="shared" si="6"/>
        <v>0.9999999999999839</v>
      </c>
      <c r="K9" s="2">
        <f t="shared" si="6"/>
        <v>0.99999999968582975</v>
      </c>
      <c r="L9" s="2">
        <f t="shared" si="6"/>
        <v>0.99999925262814193</v>
      </c>
      <c r="M9" s="2">
        <f t="shared" si="6"/>
        <v>0.99975919396126411</v>
      </c>
      <c r="N9" s="2">
        <f t="shared" si="6"/>
        <v>0.98716309197891727</v>
      </c>
      <c r="O9" s="2">
        <f t="shared" si="6"/>
        <v>0.85108630340455671</v>
      </c>
      <c r="P9" s="2">
        <f t="shared" si="6"/>
        <v>0.47051501908496141</v>
      </c>
      <c r="Q9" s="2">
        <f t="shared" si="6"/>
        <v>0.13320501377958838</v>
      </c>
      <c r="R9" s="2">
        <f t="shared" si="6"/>
        <v>1.9207761608749818E-2</v>
      </c>
      <c r="S9" s="2">
        <f t="shared" si="6"/>
        <v>1.5784416947428603E-3</v>
      </c>
      <c r="T9" s="2">
        <f t="shared" si="6"/>
        <v>8.5449987631491808E-5</v>
      </c>
      <c r="U9" s="2">
        <f t="shared" si="6"/>
        <v>3.5088784797743244E-6</v>
      </c>
      <c r="V9" s="2">
        <f t="shared" si="6"/>
        <v>1.2368429169740125E-7</v>
      </c>
      <c r="W9" s="2">
        <f t="shared" si="6"/>
        <v>4.1458375621417076E-9</v>
      </c>
      <c r="X9" s="2">
        <f t="shared" si="6"/>
        <v>1.4331424935676296E-10</v>
      </c>
      <c r="Y9" s="2">
        <f t="shared" si="6"/>
        <v>5.4342086386327537E-12</v>
      </c>
      <c r="Z9" s="2">
        <f t="shared" si="6"/>
        <v>2.3636648194269583E-13</v>
      </c>
      <c r="AA9" s="2">
        <f t="shared" si="6"/>
        <v>1.2212453270876722E-14</v>
      </c>
      <c r="AB9" s="2">
        <f t="shared" si="6"/>
        <v>0</v>
      </c>
      <c r="AC9" s="2">
        <f t="shared" si="6"/>
        <v>0</v>
      </c>
    </row>
    <row r="10" spans="1:29" x14ac:dyDescent="0.25">
      <c r="D10" t="s">
        <v>24</v>
      </c>
      <c r="E10" s="2">
        <f>1-(MIN(E8:E9))</f>
        <v>0.99999412016111788</v>
      </c>
      <c r="F10" s="2">
        <f t="shared" ref="F10:R10" si="7">1-(MIN(F8:F9))</f>
        <v>0.99912133066071529</v>
      </c>
      <c r="G10" s="2">
        <f t="shared" si="7"/>
        <v>0.96359475080196821</v>
      </c>
      <c r="H10" s="2">
        <f t="shared" si="7"/>
        <v>0.65715755939752718</v>
      </c>
      <c r="I10" s="2">
        <f t="shared" si="7"/>
        <v>0.15538122486825212</v>
      </c>
      <c r="J10" s="2">
        <f t="shared" si="7"/>
        <v>7.4092342284706181E-3</v>
      </c>
      <c r="K10" s="2">
        <f t="shared" si="7"/>
        <v>6.0729237512213707E-5</v>
      </c>
      <c r="L10" s="2">
        <f t="shared" si="7"/>
        <v>7.4737185806750261E-7</v>
      </c>
      <c r="M10" s="2">
        <f t="shared" si="7"/>
        <v>2.4080603873588569E-4</v>
      </c>
      <c r="N10" s="2">
        <f t="shared" si="7"/>
        <v>1.2836908021082727E-2</v>
      </c>
      <c r="O10" s="2">
        <f t="shared" si="7"/>
        <v>0.14891369659544329</v>
      </c>
      <c r="P10" s="2">
        <f t="shared" si="7"/>
        <v>0.52948498091503859</v>
      </c>
      <c r="Q10" s="2">
        <f t="shared" si="7"/>
        <v>0.86679498622041162</v>
      </c>
      <c r="R10" s="2">
        <f t="shared" si="7"/>
        <v>0.98079223839125018</v>
      </c>
      <c r="S10" s="2">
        <f>1-(MIN(S8:S9))</f>
        <v>0.99842155830525714</v>
      </c>
      <c r="T10" s="2">
        <f t="shared" ref="T10:AC10" si="8">1-(MIN(T8:T9))</f>
        <v>0.99991455001236851</v>
      </c>
      <c r="U10" s="2">
        <f t="shared" si="8"/>
        <v>0.99999649112152023</v>
      </c>
      <c r="V10" s="2">
        <f t="shared" si="8"/>
        <v>0.9999998763157083</v>
      </c>
      <c r="W10" s="2">
        <f t="shared" si="8"/>
        <v>0.99999999585416244</v>
      </c>
      <c r="X10" s="2">
        <f t="shared" si="8"/>
        <v>0.99999999985668575</v>
      </c>
      <c r="Y10" s="2">
        <f t="shared" si="8"/>
        <v>0.99999999999456579</v>
      </c>
      <c r="Z10" s="2">
        <f t="shared" si="8"/>
        <v>0.99999999999976363</v>
      </c>
      <c r="AA10" s="2">
        <f t="shared" si="8"/>
        <v>0.99999999999998779</v>
      </c>
      <c r="AB10" s="2">
        <f t="shared" si="8"/>
        <v>1</v>
      </c>
      <c r="AC10" s="2">
        <f t="shared" si="8"/>
        <v>1</v>
      </c>
    </row>
    <row r="11" spans="1:29" x14ac:dyDescent="0.25">
      <c r="A11" t="s">
        <v>7</v>
      </c>
      <c r="B11" s="3">
        <f>J4</f>
        <v>0.91349778651310887</v>
      </c>
      <c r="D11" t="s">
        <v>25</v>
      </c>
      <c r="E11" s="2">
        <f>1-E10</f>
        <v>5.8798388821168501E-6</v>
      </c>
      <c r="F11" s="2">
        <f t="shared" ref="F11:AC11" si="9">1-F10</f>
        <v>8.7866933928471003E-4</v>
      </c>
      <c r="G11" s="2">
        <f t="shared" si="9"/>
        <v>3.6405249198031786E-2</v>
      </c>
      <c r="H11" s="2">
        <f t="shared" si="9"/>
        <v>0.34284244060247282</v>
      </c>
      <c r="I11" s="2">
        <f t="shared" si="9"/>
        <v>0.84461877513174788</v>
      </c>
      <c r="J11" s="2">
        <f t="shared" si="9"/>
        <v>0.99259076577152938</v>
      </c>
      <c r="K11" s="2">
        <f t="shared" si="9"/>
        <v>0.99993927076248779</v>
      </c>
      <c r="L11" s="2">
        <f t="shared" si="9"/>
        <v>0.99999925262814193</v>
      </c>
      <c r="M11" s="2">
        <f t="shared" si="9"/>
        <v>0.99975919396126411</v>
      </c>
      <c r="N11" s="2">
        <f t="shared" si="9"/>
        <v>0.98716309197891727</v>
      </c>
      <c r="O11" s="2">
        <f t="shared" si="9"/>
        <v>0.85108630340455671</v>
      </c>
      <c r="P11" s="2">
        <f t="shared" si="9"/>
        <v>0.47051501908496141</v>
      </c>
      <c r="Q11" s="2">
        <f t="shared" si="9"/>
        <v>0.13320501377958838</v>
      </c>
      <c r="R11" s="2">
        <f t="shared" si="9"/>
        <v>1.9207761608749818E-2</v>
      </c>
      <c r="S11" s="2">
        <f t="shared" si="9"/>
        <v>1.5784416947428603E-3</v>
      </c>
      <c r="T11" s="2">
        <f t="shared" si="9"/>
        <v>8.5449987631491808E-5</v>
      </c>
      <c r="U11" s="2">
        <f t="shared" si="9"/>
        <v>3.5088784797743244E-6</v>
      </c>
      <c r="V11" s="2">
        <f t="shared" si="9"/>
        <v>1.2368429169740125E-7</v>
      </c>
      <c r="W11" s="2">
        <f t="shared" si="9"/>
        <v>4.1458375621417076E-9</v>
      </c>
      <c r="X11" s="2">
        <f t="shared" si="9"/>
        <v>1.4331424935676296E-10</v>
      </c>
      <c r="Y11" s="2">
        <f t="shared" si="9"/>
        <v>5.4342086386327537E-12</v>
      </c>
      <c r="Z11" s="2">
        <f t="shared" si="9"/>
        <v>2.3636648194269583E-13</v>
      </c>
      <c r="AA11" s="2">
        <f t="shared" si="9"/>
        <v>1.2212453270876722E-14</v>
      </c>
      <c r="AB11" s="2">
        <f t="shared" si="9"/>
        <v>0</v>
      </c>
      <c r="AC11" s="2">
        <f t="shared" si="9"/>
        <v>0</v>
      </c>
    </row>
    <row r="13" spans="1:29" x14ac:dyDescent="0.25">
      <c r="A13" t="s">
        <v>9</v>
      </c>
      <c r="B13">
        <v>0.1</v>
      </c>
    </row>
    <row r="14" spans="1:29" x14ac:dyDescent="0.25">
      <c r="A14" t="s">
        <v>10</v>
      </c>
      <c r="B14" s="3">
        <f>EXP(-M)</f>
        <v>0.90483741803595952</v>
      </c>
      <c r="E14" t="s">
        <v>19</v>
      </c>
      <c r="F14" t="s">
        <v>18</v>
      </c>
      <c r="H14" t="s">
        <v>19</v>
      </c>
      <c r="I14" t="s">
        <v>17</v>
      </c>
      <c r="J14" t="s">
        <v>20</v>
      </c>
    </row>
    <row r="15" spans="1:29" x14ac:dyDescent="0.25">
      <c r="A15" t="s">
        <v>11</v>
      </c>
      <c r="B15" s="5">
        <v>0.1</v>
      </c>
      <c r="E15">
        <v>0</v>
      </c>
      <c r="F15" s="3">
        <f>YPR_proslot</f>
        <v>0.43990006888261884</v>
      </c>
      <c r="H15">
        <v>0</v>
      </c>
      <c r="I15" s="3">
        <f>B25</f>
        <v>0.4722725505043856</v>
      </c>
    </row>
    <row r="16" spans="1:29" x14ac:dyDescent="0.25">
      <c r="E16" s="3">
        <v>0.02</v>
      </c>
      <c r="F16" s="3">
        <f t="dataTable" ref="F16:F34" dt2D="0" dtr="0" r1="B15"/>
        <v>0.12312689115019886</v>
      </c>
      <c r="H16" s="3">
        <v>0.02</v>
      </c>
      <c r="I16" s="3">
        <f t="dataTable" ref="I16:I34" dt2D="0" dtr="0" r1="B15" ca="1"/>
        <v>0.86442077067408607</v>
      </c>
      <c r="J16">
        <v>0.35</v>
      </c>
    </row>
    <row r="17" spans="1:10" x14ac:dyDescent="0.25">
      <c r="A17" s="1" t="s">
        <v>21</v>
      </c>
      <c r="E17" s="3">
        <v>0.04</v>
      </c>
      <c r="F17" s="3">
        <v>0.22627815870093596</v>
      </c>
      <c r="H17" s="3">
        <v>0.04</v>
      </c>
      <c r="I17" s="3">
        <v>0.74563207167023471</v>
      </c>
      <c r="J17">
        <v>0.35</v>
      </c>
    </row>
    <row r="18" spans="1:10" x14ac:dyDescent="0.25">
      <c r="A18" t="s">
        <v>14</v>
      </c>
      <c r="B18" s="5">
        <v>381</v>
      </c>
      <c r="E18" s="3">
        <v>0.06</v>
      </c>
      <c r="F18" s="3">
        <v>0.31198775647239291</v>
      </c>
      <c r="H18" s="3">
        <v>0.06</v>
      </c>
      <c r="I18" s="3">
        <v>0.6417712206942443</v>
      </c>
      <c r="J18">
        <v>0.35</v>
      </c>
    </row>
    <row r="19" spans="1:10" x14ac:dyDescent="0.25">
      <c r="A19" t="s">
        <v>22</v>
      </c>
      <c r="B19" s="5">
        <v>762</v>
      </c>
      <c r="E19" s="3">
        <v>0.08</v>
      </c>
      <c r="F19" s="3">
        <v>0.38252136153989907</v>
      </c>
      <c r="H19" s="3">
        <v>0.08</v>
      </c>
      <c r="I19" s="3">
        <v>0.55115658195624218</v>
      </c>
      <c r="J19">
        <v>0.35</v>
      </c>
    </row>
    <row r="20" spans="1:10" x14ac:dyDescent="0.25">
      <c r="A20" t="s">
        <v>15</v>
      </c>
      <c r="B20" s="5">
        <v>38</v>
      </c>
      <c r="E20" s="3">
        <v>0.1</v>
      </c>
      <c r="F20" s="3">
        <v>0.43990006888261884</v>
      </c>
      <c r="H20" s="3">
        <v>0.1</v>
      </c>
      <c r="I20" s="3">
        <v>0.4722725505043856</v>
      </c>
      <c r="J20">
        <v>0.35</v>
      </c>
    </row>
    <row r="21" spans="1:10" x14ac:dyDescent="0.25">
      <c r="E21" s="3">
        <v>0.12</v>
      </c>
      <c r="F21" s="3">
        <v>0.48592237885643702</v>
      </c>
      <c r="H21" s="3">
        <v>0.12</v>
      </c>
      <c r="I21" s="3">
        <v>0.40375556427181053</v>
      </c>
      <c r="J21">
        <v>0.35</v>
      </c>
    </row>
    <row r="22" spans="1:10" x14ac:dyDescent="0.25">
      <c r="A22" s="8" t="s">
        <v>26</v>
      </c>
      <c r="B22" s="7"/>
      <c r="E22" s="3">
        <v>0.14000000000000001</v>
      </c>
      <c r="F22" s="3">
        <v>0.52218457398808971</v>
      </c>
      <c r="H22" s="3">
        <v>0.14000000000000001</v>
      </c>
      <c r="I22" s="3">
        <v>0.34438108834347708</v>
      </c>
      <c r="J22">
        <v>0.35</v>
      </c>
    </row>
    <row r="23" spans="1:10" x14ac:dyDescent="0.25">
      <c r="A23" s="7" t="s">
        <v>27</v>
      </c>
      <c r="B23" s="7">
        <f>SUMPRODUCT(Wt,S_fished,Vul_harvslot)</f>
        <v>4.3990006888261881</v>
      </c>
      <c r="E23" s="3">
        <v>0.16</v>
      </c>
      <c r="F23" s="3">
        <v>0.55009957755773298</v>
      </c>
      <c r="H23" s="3">
        <v>0.16</v>
      </c>
      <c r="I23" s="3">
        <v>0.29305151816690822</v>
      </c>
      <c r="J23">
        <v>0.35</v>
      </c>
    </row>
    <row r="24" spans="1:10" x14ac:dyDescent="0.25">
      <c r="A24" s="7" t="s">
        <v>28</v>
      </c>
      <c r="B24" s="7">
        <f>phi_vb_harvslotF*u</f>
        <v>0.43990006888261884</v>
      </c>
      <c r="E24" s="3">
        <v>0.18</v>
      </c>
      <c r="F24" s="3">
        <v>0.57091438252053728</v>
      </c>
      <c r="H24" s="3">
        <v>0.18</v>
      </c>
      <c r="I24" s="3">
        <v>0.24878495058864186</v>
      </c>
      <c r="J24">
        <v>0.35</v>
      </c>
    </row>
    <row r="25" spans="1:10" x14ac:dyDescent="0.25">
      <c r="A25" s="7" t="s">
        <v>29</v>
      </c>
      <c r="B25" s="7">
        <f>SUMPRODUCT(S_fished,Rel_Fec)/SUMPRODUCT(S_unfished,Rel_Fec)</f>
        <v>0.4722725505043856</v>
      </c>
      <c r="E25" s="3">
        <v>0.2</v>
      </c>
      <c r="F25" s="3">
        <v>0.58572613551273478</v>
      </c>
      <c r="H25" s="3">
        <v>0.2</v>
      </c>
      <c r="I25" s="3">
        <v>0.21070477369748941</v>
      </c>
      <c r="J25">
        <v>0.35</v>
      </c>
    </row>
    <row r="26" spans="1:10" x14ac:dyDescent="0.25">
      <c r="E26" s="3">
        <v>0.22</v>
      </c>
      <c r="F26" s="3">
        <v>0.59549695699192184</v>
      </c>
      <c r="H26" s="3">
        <v>0.22</v>
      </c>
      <c r="I26" s="3">
        <v>0.17803002849725713</v>
      </c>
      <c r="J26">
        <v>0.35</v>
      </c>
    </row>
    <row r="27" spans="1:10" x14ac:dyDescent="0.25">
      <c r="E27" s="3">
        <v>0.24</v>
      </c>
      <c r="F27" s="3">
        <v>0.60106757497362728</v>
      </c>
      <c r="H27" s="3">
        <v>0.24</v>
      </c>
      <c r="I27" s="3">
        <v>0.15006649741644232</v>
      </c>
      <c r="J27">
        <v>0.35</v>
      </c>
    </row>
    <row r="28" spans="1:10" x14ac:dyDescent="0.25">
      <c r="E28" s="3">
        <v>0.26</v>
      </c>
      <c r="F28" s="3">
        <v>0.60316984634429049</v>
      </c>
      <c r="H28" s="3">
        <v>0.26</v>
      </c>
      <c r="I28" s="3">
        <v>0.12619847659135733</v>
      </c>
      <c r="J28">
        <v>0.35</v>
      </c>
    </row>
    <row r="29" spans="1:10" x14ac:dyDescent="0.25">
      <c r="E29" s="3">
        <v>0.28000000000000003</v>
      </c>
      <c r="F29" s="3">
        <v>0.60243823635313865</v>
      </c>
      <c r="H29" s="3">
        <v>0.28000000000000003</v>
      </c>
      <c r="I29" s="3">
        <v>0.10588119073313794</v>
      </c>
      <c r="J29">
        <v>0.35</v>
      </c>
    </row>
    <row r="30" spans="1:10" x14ac:dyDescent="0.25">
      <c r="E30" s="3">
        <v>0.3</v>
      </c>
      <c r="F30" s="3">
        <v>0.59942032361019904</v>
      </c>
      <c r="H30" s="3">
        <v>0.3</v>
      </c>
      <c r="I30" s="3">
        <v>8.8633811208991012E-2</v>
      </c>
      <c r="J30">
        <v>0.35</v>
      </c>
    </row>
    <row r="31" spans="1:10" x14ac:dyDescent="0.25">
      <c r="E31" s="3">
        <v>0.32</v>
      </c>
      <c r="F31" s="3">
        <v>0.59458639474308317</v>
      </c>
      <c r="H31" s="3">
        <v>0.32</v>
      </c>
      <c r="I31" s="3">
        <v>7.4033039734739001E-2</v>
      </c>
      <c r="J31">
        <v>0.35</v>
      </c>
    </row>
    <row r="32" spans="1:10" x14ac:dyDescent="0.25">
      <c r="E32" s="3">
        <v>0.34</v>
      </c>
      <c r="F32" s="3">
        <v>0.58833818978949348</v>
      </c>
      <c r="H32" s="3">
        <v>0.34</v>
      </c>
      <c r="I32" s="3">
        <v>6.1707221790079231E-2</v>
      </c>
      <c r="J32">
        <v>0.35</v>
      </c>
    </row>
    <row r="33" spans="5:10" x14ac:dyDescent="0.25">
      <c r="E33" s="3">
        <v>0.36</v>
      </c>
      <c r="F33" s="3">
        <v>0.58101685642387457</v>
      </c>
      <c r="H33" s="3">
        <v>0.36</v>
      </c>
      <c r="I33" s="3">
        <v>5.1330955530872323E-2</v>
      </c>
      <c r="J33">
        <v>0.35</v>
      </c>
    </row>
    <row r="34" spans="5:10" x14ac:dyDescent="0.25">
      <c r="E34" s="3">
        <v>0.38</v>
      </c>
      <c r="F34" s="3">
        <v>0.57291016823358065</v>
      </c>
      <c r="H34" s="3">
        <v>0.38</v>
      </c>
      <c r="I34" s="3">
        <v>4.2620163585061752E-2</v>
      </c>
      <c r="J34">
        <v>0.35</v>
      </c>
    </row>
  </sheetData>
  <pageMargins left="0.7" right="0.7" top="0.75" bottom="0.75" header="0.3" footer="0.3"/>
  <pageSetup orientation="portrait"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983EA7-B979-4E9C-9B0D-2AF80C7DE476}">
  <dimension ref="A2:AC34"/>
  <sheetViews>
    <sheetView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Linf*(EXP(-EXP(-K*(E2-tnot))))</f>
        <v>193.68872196728213</v>
      </c>
      <c r="F3" s="4">
        <f t="shared" si="0"/>
        <v>235.35617776947166</v>
      </c>
      <c r="G3" s="4">
        <f t="shared" si="0"/>
        <v>280.01359838241211</v>
      </c>
      <c r="H3" s="4">
        <f t="shared" si="0"/>
        <v>326.93251477681559</v>
      </c>
      <c r="I3" s="4">
        <f t="shared" si="0"/>
        <v>375.36017818708405</v>
      </c>
      <c r="J3" s="4">
        <f t="shared" si="0"/>
        <v>424.55996366949273</v>
      </c>
      <c r="K3" s="4">
        <f t="shared" si="0"/>
        <v>473.84331309512504</v>
      </c>
      <c r="L3" s="4">
        <f t="shared" si="0"/>
        <v>522.59251872453899</v>
      </c>
      <c r="M3" s="4">
        <f t="shared" si="0"/>
        <v>570.27475943806155</v>
      </c>
      <c r="N3" s="4">
        <f t="shared" si="0"/>
        <v>616.44851163876433</v>
      </c>
      <c r="O3" s="4">
        <f t="shared" si="0"/>
        <v>660.76381368690738</v>
      </c>
      <c r="P3" s="4">
        <f t="shared" si="0"/>
        <v>702.95794829343049</v>
      </c>
      <c r="Q3" s="4">
        <f t="shared" si="0"/>
        <v>742.84800965562306</v>
      </c>
      <c r="R3" s="4">
        <f t="shared" si="0"/>
        <v>780.32161916164102</v>
      </c>
      <c r="S3" s="4">
        <f t="shared" si="0"/>
        <v>815.32680569673084</v>
      </c>
      <c r="T3" s="4">
        <f t="shared" si="0"/>
        <v>847.86181585159522</v>
      </c>
      <c r="U3" s="4">
        <f t="shared" si="0"/>
        <v>877.96539123833759</v>
      </c>
      <c r="V3" s="4">
        <f t="shared" si="0"/>
        <v>905.70785756833118</v>
      </c>
      <c r="W3" s="4">
        <f t="shared" si="0"/>
        <v>931.18321717358117</v>
      </c>
      <c r="X3" s="4">
        <f t="shared" si="0"/>
        <v>954.50232170905508</v>
      </c>
      <c r="Y3" s="4">
        <f t="shared" si="0"/>
        <v>975.78712025933532</v>
      </c>
      <c r="Z3" s="4">
        <f t="shared" si="0"/>
        <v>995.16592412011698</v>
      </c>
      <c r="AA3" s="4">
        <f t="shared" si="0"/>
        <v>1012.769597132661</v>
      </c>
      <c r="AB3" s="4">
        <f t="shared" si="0"/>
        <v>1028.7285641327474</v>
      </c>
      <c r="AC3" s="4">
        <f t="shared" si="0"/>
        <v>1043.1705251728331</v>
      </c>
    </row>
    <row r="4" spans="1:29" x14ac:dyDescent="0.25">
      <c r="A4" t="s">
        <v>3</v>
      </c>
      <c r="B4" s="5">
        <v>1170</v>
      </c>
      <c r="D4" t="s">
        <v>6</v>
      </c>
      <c r="E4" s="3">
        <f t="shared" ref="E4:AC4" si="1">(a_wl*E3^b_wl)/1000</f>
        <v>5.3536914748060091E-2</v>
      </c>
      <c r="F4" s="3">
        <f t="shared" si="1"/>
        <v>9.9345491767253491E-2</v>
      </c>
      <c r="G4" s="3">
        <f t="shared" si="1"/>
        <v>0.17240689808604609</v>
      </c>
      <c r="H4" s="3">
        <f t="shared" si="1"/>
        <v>0.28185396805648055</v>
      </c>
      <c r="I4" s="3">
        <f t="shared" si="1"/>
        <v>0.43688454639197954</v>
      </c>
      <c r="J4" s="3">
        <f t="shared" si="1"/>
        <v>0.64578473048011653</v>
      </c>
      <c r="K4" s="3">
        <f t="shared" si="1"/>
        <v>0.91500089315754884</v>
      </c>
      <c r="L4" s="3">
        <f t="shared" si="1"/>
        <v>1.248417879445044</v>
      </c>
      <c r="M4" s="3">
        <f t="shared" si="1"/>
        <v>1.6469461505892138</v>
      </c>
      <c r="N4" s="3">
        <f t="shared" si="1"/>
        <v>2.10845134312029</v>
      </c>
      <c r="O4" s="3">
        <f t="shared" si="1"/>
        <v>2.6279963041080738</v>
      </c>
      <c r="P4" s="3">
        <f t="shared" si="1"/>
        <v>3.1983215284062756</v>
      </c>
      <c r="Q4" s="3">
        <f t="shared" si="1"/>
        <v>3.8104695546417529</v>
      </c>
      <c r="R4" s="3">
        <f t="shared" si="1"/>
        <v>4.4544596619919741</v>
      </c>
      <c r="S4" s="3">
        <f t="shared" si="1"/>
        <v>5.1199346464285815</v>
      </c>
      <c r="T4" s="3">
        <f t="shared" si="1"/>
        <v>5.7967241833491352</v>
      </c>
      <c r="U4" s="3">
        <f t="shared" si="1"/>
        <v>6.4752931093923918</v>
      </c>
      <c r="V4" s="3">
        <f t="shared" si="1"/>
        <v>7.1470637385433147</v>
      </c>
      <c r="W4" s="3">
        <f t="shared" si="1"/>
        <v>7.80461700454729</v>
      </c>
      <c r="X4" s="3">
        <f t="shared" si="1"/>
        <v>8.4417873636813159</v>
      </c>
      <c r="Y4" s="3">
        <f t="shared" si="1"/>
        <v>9.0536716074974741</v>
      </c>
      <c r="Z4" s="3">
        <f t="shared" si="1"/>
        <v>9.6365731323618036</v>
      </c>
      <c r="AA4" s="3">
        <f t="shared" si="1"/>
        <v>10.187902006562716</v>
      </c>
      <c r="AB4" s="3">
        <f t="shared" si="1"/>
        <v>10.706048452889334</v>
      </c>
      <c r="AC4" s="3">
        <f t="shared" si="1"/>
        <v>11.190243975183328</v>
      </c>
    </row>
    <row r="5" spans="1:29" x14ac:dyDescent="0.25">
      <c r="A5" t="s">
        <v>30</v>
      </c>
      <c r="B5" s="5">
        <v>0.1146688</v>
      </c>
      <c r="D5" t="s">
        <v>8</v>
      </c>
      <c r="E5" s="3">
        <f t="shared" ref="E5:AC5" si="2">MAX(0,E4-wmat)</f>
        <v>0</v>
      </c>
      <c r="F5" s="3">
        <f t="shared" si="2"/>
        <v>0</v>
      </c>
      <c r="G5" s="3">
        <f t="shared" si="2"/>
        <v>0</v>
      </c>
      <c r="H5" s="3">
        <f t="shared" si="2"/>
        <v>0</v>
      </c>
      <c r="I5" s="3">
        <f t="shared" si="2"/>
        <v>0</v>
      </c>
      <c r="J5" s="3">
        <f t="shared" si="2"/>
        <v>0</v>
      </c>
      <c r="K5" s="3">
        <f t="shared" si="2"/>
        <v>0.26921616267743231</v>
      </c>
      <c r="L5" s="3">
        <f t="shared" si="2"/>
        <v>0.60263314896492748</v>
      </c>
      <c r="M5" s="3">
        <f t="shared" si="2"/>
        <v>1.0011614201090973</v>
      </c>
      <c r="N5" s="3">
        <f t="shared" si="2"/>
        <v>1.4626666126401735</v>
      </c>
      <c r="O5" s="3">
        <f t="shared" si="2"/>
        <v>1.9822115736279573</v>
      </c>
      <c r="P5" s="3">
        <f t="shared" si="2"/>
        <v>2.5525367979261588</v>
      </c>
      <c r="Q5" s="3">
        <f t="shared" si="2"/>
        <v>3.1646848241616361</v>
      </c>
      <c r="R5" s="3">
        <f t="shared" si="2"/>
        <v>3.8086749315118578</v>
      </c>
      <c r="S5" s="3">
        <f t="shared" si="2"/>
        <v>4.4741499159484652</v>
      </c>
      <c r="T5" s="3">
        <f t="shared" si="2"/>
        <v>5.1509394528690189</v>
      </c>
      <c r="U5" s="3">
        <f t="shared" si="2"/>
        <v>5.8295083789122755</v>
      </c>
      <c r="V5" s="3">
        <f t="shared" si="2"/>
        <v>6.5012790080631984</v>
      </c>
      <c r="W5" s="3">
        <f t="shared" si="2"/>
        <v>7.1588322740671737</v>
      </c>
      <c r="X5" s="3">
        <f t="shared" si="2"/>
        <v>7.7960026332011996</v>
      </c>
      <c r="Y5" s="3">
        <f t="shared" si="2"/>
        <v>8.4078868770173578</v>
      </c>
      <c r="Z5" s="3">
        <f t="shared" si="2"/>
        <v>8.9907884018816873</v>
      </c>
      <c r="AA5" s="3">
        <f t="shared" si="2"/>
        <v>9.5421172760825996</v>
      </c>
      <c r="AB5" s="3">
        <f t="shared" si="2"/>
        <v>10.060263722409218</v>
      </c>
      <c r="AC5" s="3">
        <f t="shared" si="2"/>
        <v>10.544459244703212</v>
      </c>
    </row>
    <row r="6" spans="1:29" x14ac:dyDescent="0.25">
      <c r="A6" t="s">
        <v>31</v>
      </c>
      <c r="B6" s="5">
        <v>6.1187132000000002</v>
      </c>
      <c r="D6" t="s">
        <v>12</v>
      </c>
      <c r="E6" s="6">
        <v>1</v>
      </c>
      <c r="F6" s="3">
        <f t="shared" ref="F6:AC6" si="3">E6*So</f>
        <v>0.90483741803595952</v>
      </c>
      <c r="G6" s="3">
        <f t="shared" si="3"/>
        <v>0.81873075307798171</v>
      </c>
      <c r="H6" s="3">
        <f t="shared" si="3"/>
        <v>0.74081822068171765</v>
      </c>
      <c r="I6" s="3">
        <f t="shared" si="3"/>
        <v>0.67032004603563911</v>
      </c>
      <c r="J6" s="3">
        <f t="shared" si="3"/>
        <v>0.6065306597126332</v>
      </c>
      <c r="K6" s="3">
        <f t="shared" si="3"/>
        <v>0.54881163609402617</v>
      </c>
      <c r="L6" s="3">
        <f t="shared" si="3"/>
        <v>0.49658530379140925</v>
      </c>
      <c r="M6" s="3">
        <f t="shared" si="3"/>
        <v>0.44932896411722134</v>
      </c>
      <c r="N6" s="3">
        <f t="shared" si="3"/>
        <v>0.40656965974059889</v>
      </c>
      <c r="O6" s="3">
        <f t="shared" si="3"/>
        <v>0.36787944117144211</v>
      </c>
      <c r="P6" s="3">
        <f t="shared" si="3"/>
        <v>0.33287108369807933</v>
      </c>
      <c r="Q6" s="3">
        <f t="shared" si="3"/>
        <v>0.30119421191220186</v>
      </c>
      <c r="R6" s="3">
        <f t="shared" si="3"/>
        <v>0.27253179303401237</v>
      </c>
      <c r="S6" s="3">
        <f t="shared" si="3"/>
        <v>0.24659696394160624</v>
      </c>
      <c r="T6" s="3">
        <f t="shared" si="3"/>
        <v>0.2231301601484296</v>
      </c>
      <c r="U6" s="3">
        <f t="shared" si="3"/>
        <v>0.20189651799465519</v>
      </c>
      <c r="V6" s="3">
        <f t="shared" si="3"/>
        <v>0.18268352405273444</v>
      </c>
      <c r="W6" s="3">
        <f t="shared" si="3"/>
        <v>0.16529888822158634</v>
      </c>
      <c r="X6" s="3">
        <f t="shared" si="3"/>
        <v>0.14956861922263487</v>
      </c>
      <c r="Y6" s="3">
        <f t="shared" si="3"/>
        <v>0.13533528323661251</v>
      </c>
      <c r="Z6" s="3">
        <f t="shared" si="3"/>
        <v>0.12245642825298174</v>
      </c>
      <c r="AA6" s="3">
        <f t="shared" si="3"/>
        <v>0.11080315836233372</v>
      </c>
      <c r="AB6" s="3">
        <f t="shared" si="3"/>
        <v>0.10025884372280358</v>
      </c>
      <c r="AC6" s="3">
        <f t="shared" si="3"/>
        <v>9.0717953289412359E-2</v>
      </c>
    </row>
    <row r="7" spans="1:29" x14ac:dyDescent="0.25">
      <c r="D7" t="s">
        <v>13</v>
      </c>
      <c r="E7" s="6">
        <v>1</v>
      </c>
      <c r="F7" s="3">
        <f t="shared" ref="F7:AC7" si="4">E7*So*(1-u*E11)</f>
        <v>0.90483738068953801</v>
      </c>
      <c r="G7" s="3">
        <f t="shared" si="4"/>
        <v>0.81872553148406957</v>
      </c>
      <c r="H7" s="3">
        <f t="shared" si="4"/>
        <v>0.74052193410774458</v>
      </c>
      <c r="I7" s="3">
        <f t="shared" si="4"/>
        <v>0.66486622644038584</v>
      </c>
      <c r="J7" s="3">
        <f t="shared" si="4"/>
        <v>0.57506503640365203</v>
      </c>
      <c r="K7" s="3">
        <f t="shared" si="4"/>
        <v>0.47485389693105257</v>
      </c>
      <c r="L7" s="3">
        <f t="shared" si="4"/>
        <v>0.3870117239945679</v>
      </c>
      <c r="M7" s="3">
        <f t="shared" si="4"/>
        <v>0.31516782484337802</v>
      </c>
      <c r="N7" s="3">
        <f t="shared" si="4"/>
        <v>0.2566580858149507</v>
      </c>
      <c r="O7" s="3">
        <f t="shared" si="4"/>
        <v>0.2090119418511821</v>
      </c>
      <c r="P7" s="3">
        <f t="shared" si="4"/>
        <v>0.17028263694600013</v>
      </c>
      <c r="Q7" s="3">
        <f t="shared" si="4"/>
        <v>0.13959666191789791</v>
      </c>
      <c r="R7" s="3">
        <f t="shared" si="4"/>
        <v>0.11756049379876386</v>
      </c>
      <c r="S7" s="3">
        <f t="shared" si="4"/>
        <v>0.10302397075004897</v>
      </c>
      <c r="T7" s="3">
        <f t="shared" si="4"/>
        <v>9.2471777330501215E-2</v>
      </c>
      <c r="U7" s="3">
        <f t="shared" si="4"/>
        <v>8.3572141428509258E-2</v>
      </c>
      <c r="V7" s="3">
        <f t="shared" si="4"/>
        <v>7.5610597714779848E-2</v>
      </c>
      <c r="W7" s="3">
        <f t="shared" si="4"/>
        <v>6.8414765374105957E-2</v>
      </c>
      <c r="X7" s="3">
        <f t="shared" si="4"/>
        <v>6.1904213347670774E-2</v>
      </c>
      <c r="Y7" s="3">
        <f t="shared" si="4"/>
        <v>5.6013247432358117E-2</v>
      </c>
      <c r="Z7" s="3">
        <f t="shared" si="4"/>
        <v>5.0682882135759159E-2</v>
      </c>
      <c r="AA7" s="3">
        <f t="shared" si="4"/>
        <v>4.5859768208400063E-2</v>
      </c>
      <c r="AB7" s="3">
        <f t="shared" si="4"/>
        <v>4.1495634257330528E-2</v>
      </c>
      <c r="AC7" s="3">
        <f t="shared" si="4"/>
        <v>3.7546802561163273E-2</v>
      </c>
    </row>
    <row r="8" spans="1:29" x14ac:dyDescent="0.25">
      <c r="A8" t="s">
        <v>4</v>
      </c>
      <c r="B8" s="5">
        <f>10^-5.5281</f>
        <v>2.9641487904584014E-6</v>
      </c>
      <c r="D8" t="s">
        <v>16</v>
      </c>
      <c r="E8" s="2">
        <f t="shared" ref="E8:AC8" si="5">_xlfn.NORM.DIST(E3,Min_LL,Min_SD,TRUE)</f>
        <v>4.1274178923156981E-7</v>
      </c>
      <c r="F8" s="2">
        <f t="shared" si="5"/>
        <v>6.3363952890495658E-5</v>
      </c>
      <c r="G8" s="2">
        <f t="shared" si="5"/>
        <v>3.935698822962891E-3</v>
      </c>
      <c r="H8" s="2">
        <f t="shared" si="5"/>
        <v>7.7392930191019532E-2</v>
      </c>
      <c r="I8" s="2">
        <f t="shared" si="5"/>
        <v>0.44100709344099953</v>
      </c>
      <c r="J8" s="2">
        <f t="shared" si="5"/>
        <v>0.87416754624733839</v>
      </c>
      <c r="K8" s="2">
        <f t="shared" si="5"/>
        <v>0.99272207562363868</v>
      </c>
      <c r="L8" s="2">
        <f t="shared" si="5"/>
        <v>0.99990277465212063</v>
      </c>
      <c r="M8" s="2">
        <f t="shared" si="5"/>
        <v>0.9999996835778765</v>
      </c>
      <c r="N8" s="2">
        <f t="shared" si="5"/>
        <v>0.99999999971044418</v>
      </c>
      <c r="O8" s="2">
        <f t="shared" si="5"/>
        <v>0.99999999999990952</v>
      </c>
      <c r="P8" s="2">
        <f t="shared" si="5"/>
        <v>1</v>
      </c>
      <c r="Q8" s="2">
        <f t="shared" si="5"/>
        <v>1</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5</v>
      </c>
      <c r="B9" s="5">
        <v>3.1728999999999998</v>
      </c>
      <c r="D9" t="s">
        <v>23</v>
      </c>
      <c r="E9" s="2">
        <f t="shared" ref="E9:AC9" si="6">1-_xlfn.NORM.DIST(E3,Upper_LL,Min_SD,TRUE)</f>
        <v>1</v>
      </c>
      <c r="F9" s="2">
        <f t="shared" si="6"/>
        <v>1</v>
      </c>
      <c r="G9" s="2">
        <f t="shared" si="6"/>
        <v>1</v>
      </c>
      <c r="H9" s="2">
        <f t="shared" si="6"/>
        <v>1</v>
      </c>
      <c r="I9" s="2">
        <f t="shared" si="6"/>
        <v>1</v>
      </c>
      <c r="J9" s="2">
        <f t="shared" si="6"/>
        <v>1</v>
      </c>
      <c r="K9" s="2">
        <f t="shared" si="6"/>
        <v>0.99999999999998312</v>
      </c>
      <c r="L9" s="2">
        <f t="shared" si="6"/>
        <v>0.99999999985136612</v>
      </c>
      <c r="M9" s="2">
        <f t="shared" si="6"/>
        <v>0.99999977371448823</v>
      </c>
      <c r="N9" s="2">
        <f t="shared" si="6"/>
        <v>0.99993600704283359</v>
      </c>
      <c r="O9" s="2">
        <f t="shared" si="6"/>
        <v>0.99614038608632705</v>
      </c>
      <c r="P9" s="2">
        <f t="shared" si="6"/>
        <v>0.9398765617528233</v>
      </c>
      <c r="Q9" s="2">
        <f t="shared" si="6"/>
        <v>0.69286922222969483</v>
      </c>
      <c r="R9" s="2">
        <f t="shared" si="6"/>
        <v>0.31485045201234829</v>
      </c>
      <c r="S9" s="2">
        <f t="shared" si="6"/>
        <v>8.0258186089346983E-2</v>
      </c>
      <c r="T9" s="2">
        <f t="shared" si="6"/>
        <v>1.1925483168085282E-2</v>
      </c>
      <c r="U9" s="2">
        <f t="shared" si="6"/>
        <v>1.1376680859220833E-3</v>
      </c>
      <c r="V9" s="2">
        <f t="shared" si="6"/>
        <v>7.7853682805772983E-5</v>
      </c>
      <c r="W9" s="2">
        <f t="shared" si="6"/>
        <v>4.24994659009581E-6</v>
      </c>
      <c r="X9" s="2">
        <f t="shared" si="6"/>
        <v>2.0329038485922268E-7</v>
      </c>
      <c r="Y9" s="2">
        <f t="shared" si="6"/>
        <v>9.2230543202731496E-9</v>
      </c>
      <c r="Z9" s="2">
        <f t="shared" si="6"/>
        <v>4.2327119587071138E-10</v>
      </c>
      <c r="AA9" s="2">
        <f t="shared" si="6"/>
        <v>2.0669133071749002E-11</v>
      </c>
      <c r="AB9" s="2">
        <f t="shared" si="6"/>
        <v>1.1158851620507448E-12</v>
      </c>
      <c r="AC9" s="2">
        <f t="shared" si="6"/>
        <v>6.8500760619372159E-14</v>
      </c>
    </row>
    <row r="10" spans="1:29" x14ac:dyDescent="0.25">
      <c r="D10" t="s">
        <v>24</v>
      </c>
      <c r="E10" s="2">
        <f>1-(MIN(E8:E9))</f>
        <v>0.99999958725821081</v>
      </c>
      <c r="F10" s="2">
        <f t="shared" ref="F10:R10" si="7">1-(MIN(F8:F9))</f>
        <v>0.99993663604710947</v>
      </c>
      <c r="G10" s="2">
        <f t="shared" si="7"/>
        <v>0.99606430117703715</v>
      </c>
      <c r="H10" s="2">
        <f t="shared" si="7"/>
        <v>0.92260706980898044</v>
      </c>
      <c r="I10" s="2">
        <f t="shared" si="7"/>
        <v>0.55899290655900047</v>
      </c>
      <c r="J10" s="2">
        <f t="shared" si="7"/>
        <v>0.12583245375266161</v>
      </c>
      <c r="K10" s="2">
        <f t="shared" si="7"/>
        <v>7.2779243763613222E-3</v>
      </c>
      <c r="L10" s="2">
        <f t="shared" si="7"/>
        <v>9.7225347879370538E-5</v>
      </c>
      <c r="M10" s="2">
        <f t="shared" si="7"/>
        <v>3.1642212350302401E-7</v>
      </c>
      <c r="N10" s="2">
        <f t="shared" si="7"/>
        <v>6.3992957166414399E-5</v>
      </c>
      <c r="O10" s="2">
        <f t="shared" si="7"/>
        <v>3.8596139136729546E-3</v>
      </c>
      <c r="P10" s="2">
        <f t="shared" si="7"/>
        <v>6.0123438247176697E-2</v>
      </c>
      <c r="Q10" s="2">
        <f t="shared" si="7"/>
        <v>0.30713077777030517</v>
      </c>
      <c r="R10" s="2">
        <f t="shared" si="7"/>
        <v>0.68514954798765171</v>
      </c>
      <c r="S10" s="2">
        <f>1-(MIN(S8:S9))</f>
        <v>0.91974181391065302</v>
      </c>
      <c r="T10" s="2">
        <f t="shared" ref="T10:AC10" si="8">1-(MIN(T8:T9))</f>
        <v>0.98807451683191472</v>
      </c>
      <c r="U10" s="2">
        <f t="shared" si="8"/>
        <v>0.99886233191407792</v>
      </c>
      <c r="V10" s="2">
        <f t="shared" si="8"/>
        <v>0.99992214631719423</v>
      </c>
      <c r="W10" s="2">
        <f t="shared" si="8"/>
        <v>0.9999957500534099</v>
      </c>
      <c r="X10" s="2">
        <f t="shared" si="8"/>
        <v>0.99999979670961514</v>
      </c>
      <c r="Y10" s="2">
        <f t="shared" si="8"/>
        <v>0.99999999077694568</v>
      </c>
      <c r="Z10" s="2">
        <f t="shared" si="8"/>
        <v>0.9999999995767288</v>
      </c>
      <c r="AA10" s="2">
        <f t="shared" si="8"/>
        <v>0.99999999997933087</v>
      </c>
      <c r="AB10" s="2">
        <f t="shared" si="8"/>
        <v>0.99999999999888411</v>
      </c>
      <c r="AC10" s="2">
        <f t="shared" si="8"/>
        <v>0.9999999999999315</v>
      </c>
    </row>
    <row r="11" spans="1:29" x14ac:dyDescent="0.25">
      <c r="A11" t="s">
        <v>7</v>
      </c>
      <c r="B11" s="3">
        <f>J4</f>
        <v>0.64578473048011653</v>
      </c>
      <c r="D11" t="s">
        <v>25</v>
      </c>
      <c r="E11" s="2">
        <f>1-E10</f>
        <v>4.1274178919081805E-7</v>
      </c>
      <c r="F11" s="2">
        <f t="shared" ref="F11:AC11" si="9">1-F10</f>
        <v>6.3363952890527209E-5</v>
      </c>
      <c r="G11" s="2">
        <f t="shared" si="9"/>
        <v>3.935698822962852E-3</v>
      </c>
      <c r="H11" s="2">
        <f t="shared" si="9"/>
        <v>7.739293019101956E-2</v>
      </c>
      <c r="I11" s="2">
        <f t="shared" si="9"/>
        <v>0.44100709344099953</v>
      </c>
      <c r="J11" s="2">
        <f t="shared" si="9"/>
        <v>0.87416754624733839</v>
      </c>
      <c r="K11" s="2">
        <f t="shared" si="9"/>
        <v>0.99272207562363868</v>
      </c>
      <c r="L11" s="2">
        <f t="shared" si="9"/>
        <v>0.99990277465212063</v>
      </c>
      <c r="M11" s="2">
        <f t="shared" si="9"/>
        <v>0.9999996835778765</v>
      </c>
      <c r="N11" s="2">
        <f t="shared" si="9"/>
        <v>0.99993600704283359</v>
      </c>
      <c r="O11" s="2">
        <f t="shared" si="9"/>
        <v>0.99614038608632705</v>
      </c>
      <c r="P11" s="2">
        <f t="shared" si="9"/>
        <v>0.9398765617528233</v>
      </c>
      <c r="Q11" s="2">
        <f t="shared" si="9"/>
        <v>0.69286922222969483</v>
      </c>
      <c r="R11" s="2">
        <f t="shared" si="9"/>
        <v>0.31485045201234829</v>
      </c>
      <c r="S11" s="2">
        <f t="shared" si="9"/>
        <v>8.0258186089346983E-2</v>
      </c>
      <c r="T11" s="2">
        <f t="shared" si="9"/>
        <v>1.1925483168085282E-2</v>
      </c>
      <c r="U11" s="2">
        <f t="shared" si="9"/>
        <v>1.1376680859220833E-3</v>
      </c>
      <c r="V11" s="2">
        <f t="shared" si="9"/>
        <v>7.7853682805772983E-5</v>
      </c>
      <c r="W11" s="2">
        <f t="shared" si="9"/>
        <v>4.24994659009581E-6</v>
      </c>
      <c r="X11" s="2">
        <f t="shared" si="9"/>
        <v>2.0329038485922268E-7</v>
      </c>
      <c r="Y11" s="2">
        <f t="shared" si="9"/>
        <v>9.2230543202731496E-9</v>
      </c>
      <c r="Z11" s="2">
        <f t="shared" si="9"/>
        <v>4.2327119587071138E-10</v>
      </c>
      <c r="AA11" s="2">
        <f t="shared" si="9"/>
        <v>2.0669133071749002E-11</v>
      </c>
      <c r="AB11" s="2">
        <f t="shared" si="9"/>
        <v>1.1158851620507448E-12</v>
      </c>
      <c r="AC11" s="2">
        <f t="shared" si="9"/>
        <v>6.8500760619372159E-14</v>
      </c>
    </row>
    <row r="13" spans="1:29" x14ac:dyDescent="0.25">
      <c r="A13" t="s">
        <v>9</v>
      </c>
      <c r="B13">
        <v>0.1</v>
      </c>
    </row>
    <row r="14" spans="1:29" x14ac:dyDescent="0.25">
      <c r="A14" t="s">
        <v>10</v>
      </c>
      <c r="B14" s="3">
        <f>EXP(-M)</f>
        <v>0.90483741803595952</v>
      </c>
      <c r="E14" t="s">
        <v>19</v>
      </c>
      <c r="F14" t="s">
        <v>18</v>
      </c>
      <c r="H14" t="s">
        <v>19</v>
      </c>
      <c r="I14" t="s">
        <v>17</v>
      </c>
      <c r="J14" t="s">
        <v>20</v>
      </c>
    </row>
    <row r="15" spans="1:29" x14ac:dyDescent="0.25">
      <c r="A15" t="s">
        <v>11</v>
      </c>
      <c r="B15" s="5">
        <v>0.1</v>
      </c>
      <c r="E15">
        <v>0</v>
      </c>
      <c r="F15" s="3">
        <f>YPR_proslot</f>
        <v>0.40859256376095132</v>
      </c>
      <c r="H15">
        <v>0</v>
      </c>
      <c r="I15" s="3">
        <f>B25</f>
        <v>0.45440459096608937</v>
      </c>
    </row>
    <row r="16" spans="1:29" x14ac:dyDescent="0.25">
      <c r="E16" s="3">
        <v>0.02</v>
      </c>
      <c r="F16" s="3">
        <f t="dataTable" ref="F16:F34" dt2D="0" dtr="0" r1="B15"/>
        <v>0.11779808371464669</v>
      </c>
      <c r="H16" s="3">
        <v>0.02</v>
      </c>
      <c r="I16" s="3">
        <f t="dataTable" ref="I16:I34" dt2D="0" dtr="0" r1="B15" ca="1"/>
        <v>0.85700647756358783</v>
      </c>
      <c r="J16">
        <v>0.35</v>
      </c>
    </row>
    <row r="17" spans="1:10" x14ac:dyDescent="0.25">
      <c r="A17" s="1" t="s">
        <v>21</v>
      </c>
      <c r="E17" s="3">
        <v>0.04</v>
      </c>
      <c r="F17" s="3">
        <v>0.21480164900062806</v>
      </c>
      <c r="H17" s="3">
        <v>0.04</v>
      </c>
      <c r="I17" s="3">
        <v>0.73317164344486652</v>
      </c>
      <c r="J17">
        <v>0.35</v>
      </c>
    </row>
    <row r="18" spans="1:10" x14ac:dyDescent="0.25">
      <c r="A18" t="s">
        <v>14</v>
      </c>
      <c r="B18" s="5">
        <v>381</v>
      </c>
      <c r="E18" s="3">
        <v>0.06</v>
      </c>
      <c r="F18" s="3">
        <v>0.2939371626326549</v>
      </c>
      <c r="H18" s="3">
        <v>0.06</v>
      </c>
      <c r="I18" s="3">
        <v>0.62614776548195061</v>
      </c>
      <c r="J18">
        <v>0.35</v>
      </c>
    </row>
    <row r="19" spans="1:10" x14ac:dyDescent="0.25">
      <c r="A19" t="s">
        <v>22</v>
      </c>
      <c r="B19" s="5">
        <v>762</v>
      </c>
      <c r="E19" s="3">
        <v>0.08</v>
      </c>
      <c r="F19" s="3">
        <v>0.3577804417332005</v>
      </c>
      <c r="H19" s="3">
        <v>0.08</v>
      </c>
      <c r="I19" s="3">
        <v>0.5338445817656029</v>
      </c>
      <c r="J19">
        <v>0.35</v>
      </c>
    </row>
    <row r="20" spans="1:10" x14ac:dyDescent="0.25">
      <c r="A20" t="s">
        <v>15</v>
      </c>
      <c r="B20" s="5">
        <v>38</v>
      </c>
      <c r="E20" s="3">
        <v>0.1</v>
      </c>
      <c r="F20" s="3">
        <v>0.40859256376095132</v>
      </c>
      <c r="H20" s="3">
        <v>0.1</v>
      </c>
      <c r="I20" s="3">
        <v>0.45440459096608937</v>
      </c>
      <c r="J20">
        <v>0.35</v>
      </c>
    </row>
    <row r="21" spans="1:10" x14ac:dyDescent="0.25">
      <c r="E21" s="3">
        <v>0.12</v>
      </c>
      <c r="F21" s="3">
        <v>0.44835267980602617</v>
      </c>
      <c r="H21" s="3">
        <v>0.12</v>
      </c>
      <c r="I21" s="3">
        <v>0.38618036446023207</v>
      </c>
      <c r="J21">
        <v>0.35</v>
      </c>
    </row>
    <row r="22" spans="1:10" x14ac:dyDescent="0.25">
      <c r="A22" s="8" t="s">
        <v>26</v>
      </c>
      <c r="B22" s="7"/>
      <c r="E22" s="3">
        <v>0.14000000000000001</v>
      </c>
      <c r="F22" s="3">
        <v>0.47878795006585467</v>
      </c>
      <c r="H22" s="3">
        <v>0.14000000000000001</v>
      </c>
      <c r="I22" s="3">
        <v>0.32771374378046314</v>
      </c>
      <c r="J22">
        <v>0.35</v>
      </c>
    </row>
    <row r="23" spans="1:10" x14ac:dyDescent="0.25">
      <c r="A23" s="7" t="s">
        <v>27</v>
      </c>
      <c r="B23" s="7">
        <f>SUMPRODUCT(Wt,S_fished,Vul_harvslot)</f>
        <v>4.0859256376095132</v>
      </c>
      <c r="E23" s="3">
        <v>0.16</v>
      </c>
      <c r="F23" s="3">
        <v>0.50140080819488253</v>
      </c>
      <c r="H23" s="3">
        <v>0.16</v>
      </c>
      <c r="I23" s="3">
        <v>0.27771679418214834</v>
      </c>
      <c r="J23">
        <v>0.35</v>
      </c>
    </row>
    <row r="24" spans="1:10" x14ac:dyDescent="0.25">
      <c r="A24" s="7" t="s">
        <v>28</v>
      </c>
      <c r="B24" s="7">
        <f>phi_vb_harvslotF*u</f>
        <v>0.40859256376095132</v>
      </c>
      <c r="E24" s="3">
        <v>0.18</v>
      </c>
      <c r="F24" s="3">
        <v>0.51749374954393801</v>
      </c>
      <c r="H24" s="3">
        <v>0.18</v>
      </c>
      <c r="I24" s="3">
        <v>0.23505439211194534</v>
      </c>
      <c r="J24">
        <v>0.35</v>
      </c>
    </row>
    <row r="25" spans="1:10" x14ac:dyDescent="0.25">
      <c r="A25" s="7" t="s">
        <v>29</v>
      </c>
      <c r="B25" s="7">
        <f>SUMPRODUCT(S_fished,Rel_Fec)/SUMPRODUCT(S_unfished,Rel_Fec)</f>
        <v>0.45440459096608937</v>
      </c>
      <c r="E25" s="3">
        <v>0.2</v>
      </c>
      <c r="F25" s="3">
        <v>0.52819182711704227</v>
      </c>
      <c r="H25" s="3">
        <v>0.2</v>
      </c>
      <c r="I25" s="3">
        <v>0.19872833106628987</v>
      </c>
      <c r="J25">
        <v>0.35</v>
      </c>
    </row>
    <row r="26" spans="1:10" x14ac:dyDescent="0.25">
      <c r="E26" s="3">
        <v>0.22</v>
      </c>
      <c r="F26" s="3">
        <v>0.53446302836072135</v>
      </c>
      <c r="H26" s="3">
        <v>0.22</v>
      </c>
      <c r="I26" s="3">
        <v>0.16786283676283142</v>
      </c>
      <c r="J26">
        <v>0.35</v>
      </c>
    </row>
    <row r="27" spans="1:10" x14ac:dyDescent="0.25">
      <c r="E27" s="3">
        <v>0.24</v>
      </c>
      <c r="F27" s="3">
        <v>0.5371366956497885</v>
      </c>
      <c r="H27" s="3">
        <v>0.24</v>
      </c>
      <c r="I27" s="3">
        <v>0.14169138871630252</v>
      </c>
      <c r="J27">
        <v>0.35</v>
      </c>
    </row>
    <row r="28" spans="1:10" x14ac:dyDescent="0.25">
      <c r="E28" s="3">
        <v>0.26</v>
      </c>
      <c r="F28" s="3">
        <v>0.53692014353065964</v>
      </c>
      <c r="H28" s="3">
        <v>0.26</v>
      </c>
      <c r="I28" s="3">
        <v>0.11954475122122588</v>
      </c>
      <c r="J28">
        <v>0.35</v>
      </c>
    </row>
    <row r="29" spans="1:10" x14ac:dyDescent="0.25">
      <c r="E29" s="3">
        <v>0.28000000000000003</v>
      </c>
      <c r="F29" s="3">
        <v>0.53441361641533391</v>
      </c>
      <c r="H29" s="3">
        <v>0.28000000000000003</v>
      </c>
      <c r="I29" s="3">
        <v>0.10084012240434004</v>
      </c>
      <c r="J29">
        <v>0.35</v>
      </c>
    </row>
    <row r="30" spans="1:10" x14ac:dyDescent="0.25">
      <c r="E30" s="3">
        <v>0.3</v>
      </c>
      <c r="F30" s="3">
        <v>0.53012372147317921</v>
      </c>
      <c r="H30" s="3">
        <v>0.3</v>
      </c>
      <c r="I30" s="3">
        <v>8.5071315426731145E-2</v>
      </c>
      <c r="J30">
        <v>0.35</v>
      </c>
    </row>
    <row r="31" spans="1:10" x14ac:dyDescent="0.25">
      <c r="E31" s="3">
        <v>0.32</v>
      </c>
      <c r="F31" s="3">
        <v>0.5244754629308972</v>
      </c>
      <c r="H31" s="3">
        <v>0.32</v>
      </c>
      <c r="I31" s="3">
        <v>7.1799891096463467E-2</v>
      </c>
      <c r="J31">
        <v>0.35</v>
      </c>
    </row>
    <row r="32" spans="1:10" x14ac:dyDescent="0.25">
      <c r="E32" s="3">
        <v>0.34</v>
      </c>
      <c r="F32" s="3">
        <v>0.51782299585091407</v>
      </c>
      <c r="H32" s="3">
        <v>0.34</v>
      </c>
      <c r="I32" s="3">
        <v>6.0647166103846871E-2</v>
      </c>
      <c r="J32">
        <v>0.35</v>
      </c>
    </row>
    <row r="33" spans="5:10" x14ac:dyDescent="0.25">
      <c r="E33" s="3">
        <v>0.36</v>
      </c>
      <c r="F33" s="3">
        <v>0.51045920970268099</v>
      </c>
      <c r="H33" s="3">
        <v>0.36</v>
      </c>
      <c r="I33" s="3">
        <v>5.1287025820169807E-2</v>
      </c>
      <c r="J33">
        <v>0.35</v>
      </c>
    </row>
    <row r="34" spans="5:10" x14ac:dyDescent="0.25">
      <c r="E34" s="3">
        <v>0.38</v>
      </c>
      <c r="F34" s="3">
        <v>0.50262424465784494</v>
      </c>
      <c r="H34" s="3">
        <v>0.38</v>
      </c>
      <c r="I34" s="3">
        <v>4.3439475113418627E-2</v>
      </c>
      <c r="J34">
        <v>0.35</v>
      </c>
    </row>
  </sheetData>
  <pageMargins left="0.7" right="0.7" top="0.75" bottom="0.75" header="0.3" footer="0.3"/>
  <pageSetup orientation="portrait" r:id="rId1"/>
  <drawing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5049F0-D738-4D39-B05D-1E83FF3F0BC9}">
  <dimension ref="A2:AC34"/>
  <sheetViews>
    <sheetView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Linf*(EXP(-EXP(-K*(E2-tnot))))</f>
        <v>196.63395112701781</v>
      </c>
      <c r="F3" s="4">
        <f t="shared" si="0"/>
        <v>239.73622827769609</v>
      </c>
      <c r="G3" s="4">
        <f t="shared" si="0"/>
        <v>285.91904377136871</v>
      </c>
      <c r="H3" s="4">
        <f t="shared" si="0"/>
        <v>334.38733066773403</v>
      </c>
      <c r="I3" s="4">
        <f t="shared" si="0"/>
        <v>384.32513461662069</v>
      </c>
      <c r="J3" s="4">
        <f t="shared" si="0"/>
        <v>434.94056657230055</v>
      </c>
      <c r="K3" s="4">
        <f t="shared" si="0"/>
        <v>485.50059793647807</v>
      </c>
      <c r="L3" s="4">
        <f t="shared" si="0"/>
        <v>535.35510754346399</v>
      </c>
      <c r="M3" s="4">
        <f t="shared" si="0"/>
        <v>583.95087644763112</v>
      </c>
      <c r="N3" s="4">
        <f t="shared" si="0"/>
        <v>630.83700983751783</v>
      </c>
      <c r="O3" s="4">
        <f t="shared" si="0"/>
        <v>675.6636203168797</v>
      </c>
      <c r="P3" s="4">
        <f t="shared" si="0"/>
        <v>718.17564434981284</v>
      </c>
      <c r="Q3" s="4">
        <f t="shared" si="0"/>
        <v>758.20349681917014</v>
      </c>
      <c r="R3" s="4">
        <f t="shared" si="0"/>
        <v>795.65199317194265</v>
      </c>
      <c r="S3" s="4">
        <f t="shared" si="0"/>
        <v>830.4886558598364</v>
      </c>
      <c r="T3" s="4">
        <f t="shared" si="0"/>
        <v>862.73221881130337</v>
      </c>
      <c r="U3" s="4">
        <f t="shared" si="0"/>
        <v>892.44187730156659</v>
      </c>
      <c r="V3" s="4">
        <f t="shared" si="0"/>
        <v>919.70761259468145</v>
      </c>
      <c r="W3" s="4">
        <f t="shared" si="0"/>
        <v>944.64175287874446</v>
      </c>
      <c r="X3" s="4">
        <f t="shared" si="0"/>
        <v>967.37181016392219</v>
      </c>
      <c r="Y3" s="4">
        <f t="shared" si="0"/>
        <v>988.03454994247568</v>
      </c>
      <c r="Z3" s="4">
        <f t="shared" si="0"/>
        <v>1006.7711986288392</v>
      </c>
      <c r="AA3" s="4">
        <f t="shared" si="0"/>
        <v>1023.723665549812</v>
      </c>
      <c r="AB3" s="4">
        <f t="shared" si="0"/>
        <v>1039.0316449426543</v>
      </c>
      <c r="AC3" s="4">
        <f t="shared" si="0"/>
        <v>1052.8304636403343</v>
      </c>
    </row>
    <row r="4" spans="1:29" x14ac:dyDescent="0.25">
      <c r="A4" t="s">
        <v>3</v>
      </c>
      <c r="B4" s="5">
        <v>1170</v>
      </c>
      <c r="D4" t="s">
        <v>6</v>
      </c>
      <c r="E4" s="3">
        <f t="shared" ref="E4:AC4" si="1">(a_wl*E3^b_wl)/1000</f>
        <v>5.6162841647476036E-2</v>
      </c>
      <c r="F4" s="3">
        <f t="shared" si="1"/>
        <v>0.10533118166995983</v>
      </c>
      <c r="G4" s="3">
        <f t="shared" si="1"/>
        <v>0.18421020129336158</v>
      </c>
      <c r="H4" s="3">
        <f t="shared" si="1"/>
        <v>0.30275563577517062</v>
      </c>
      <c r="I4" s="3">
        <f t="shared" si="1"/>
        <v>0.47085890070806591</v>
      </c>
      <c r="J4" s="3">
        <f t="shared" si="1"/>
        <v>0.69722713374593348</v>
      </c>
      <c r="K4" s="3">
        <f t="shared" si="1"/>
        <v>0.98835171097471153</v>
      </c>
      <c r="L4" s="3">
        <f t="shared" si="1"/>
        <v>1.3477459779580512</v>
      </c>
      <c r="M4" s="3">
        <f t="shared" si="1"/>
        <v>1.7755602288426025</v>
      </c>
      <c r="N4" s="3">
        <f t="shared" si="1"/>
        <v>2.2685960486011991</v>
      </c>
      <c r="O4" s="3">
        <f t="shared" si="1"/>
        <v>2.8206682970622059</v>
      </c>
      <c r="P4" s="3">
        <f t="shared" si="1"/>
        <v>3.4232159850007338</v>
      </c>
      <c r="Q4" s="3">
        <f t="shared" si="1"/>
        <v>4.0660462196037583</v>
      </c>
      <c r="R4" s="3">
        <f t="shared" si="1"/>
        <v>4.7381030132584048</v>
      </c>
      <c r="S4" s="3">
        <f t="shared" si="1"/>
        <v>5.4281758826404509</v>
      </c>
      <c r="T4" s="3">
        <f t="shared" si="1"/>
        <v>6.1254925313627764</v>
      </c>
      <c r="U4" s="3">
        <f t="shared" si="1"/>
        <v>6.8201683521584311</v>
      </c>
      <c r="V4" s="3">
        <f t="shared" si="1"/>
        <v>7.5035087080844427</v>
      </c>
      <c r="W4" s="3">
        <f t="shared" si="1"/>
        <v>8.1681762474332604</v>
      </c>
      <c r="X4" s="3">
        <f t="shared" si="1"/>
        <v>8.8082450105016736</v>
      </c>
      <c r="Y4" s="3">
        <f t="shared" si="1"/>
        <v>9.4191669750427973</v>
      </c>
      <c r="Z4" s="3">
        <f t="shared" si="1"/>
        <v>9.9976765258602551</v>
      </c>
      <c r="AA4" s="3">
        <f t="shared" si="1"/>
        <v>10.541655645195057</v>
      </c>
      <c r="AB4" s="3">
        <f t="shared" si="1"/>
        <v>11.049978659614577</v>
      </c>
      <c r="AC4" s="3">
        <f t="shared" si="1"/>
        <v>11.522351059089079</v>
      </c>
    </row>
    <row r="5" spans="1:29" x14ac:dyDescent="0.25">
      <c r="A5" t="s">
        <v>30</v>
      </c>
      <c r="B5" s="5">
        <v>0.1178071</v>
      </c>
      <c r="D5" t="s">
        <v>8</v>
      </c>
      <c r="E5" s="3">
        <f t="shared" ref="E5:AC5" si="2">MAX(0,E4-wmat)</f>
        <v>0</v>
      </c>
      <c r="F5" s="3">
        <f t="shared" si="2"/>
        <v>0</v>
      </c>
      <c r="G5" s="3">
        <f t="shared" si="2"/>
        <v>0</v>
      </c>
      <c r="H5" s="3">
        <f t="shared" si="2"/>
        <v>0</v>
      </c>
      <c r="I5" s="3">
        <f t="shared" si="2"/>
        <v>0</v>
      </c>
      <c r="J5" s="3">
        <f t="shared" si="2"/>
        <v>0</v>
      </c>
      <c r="K5" s="3">
        <f t="shared" si="2"/>
        <v>0.29112457722877805</v>
      </c>
      <c r="L5" s="3">
        <f t="shared" si="2"/>
        <v>0.6505188442121177</v>
      </c>
      <c r="M5" s="3">
        <f t="shared" si="2"/>
        <v>1.078333095096669</v>
      </c>
      <c r="N5" s="3">
        <f t="shared" si="2"/>
        <v>1.5713689148552656</v>
      </c>
      <c r="O5" s="3">
        <f t="shared" si="2"/>
        <v>2.1234411633162722</v>
      </c>
      <c r="P5" s="3">
        <f t="shared" si="2"/>
        <v>2.7259888512548001</v>
      </c>
      <c r="Q5" s="3">
        <f t="shared" si="2"/>
        <v>3.3688190858578251</v>
      </c>
      <c r="R5" s="3">
        <f t="shared" si="2"/>
        <v>4.0408758795124715</v>
      </c>
      <c r="S5" s="3">
        <f t="shared" si="2"/>
        <v>4.7309487488945177</v>
      </c>
      <c r="T5" s="3">
        <f t="shared" si="2"/>
        <v>5.4282653976168431</v>
      </c>
      <c r="U5" s="3">
        <f t="shared" si="2"/>
        <v>6.1229412184124978</v>
      </c>
      <c r="V5" s="3">
        <f t="shared" si="2"/>
        <v>6.8062815743385094</v>
      </c>
      <c r="W5" s="3">
        <f t="shared" si="2"/>
        <v>7.4709491136873272</v>
      </c>
      <c r="X5" s="3">
        <f t="shared" si="2"/>
        <v>8.1110178767557404</v>
      </c>
      <c r="Y5" s="3">
        <f t="shared" si="2"/>
        <v>8.7219398412968641</v>
      </c>
      <c r="Z5" s="3">
        <f t="shared" si="2"/>
        <v>9.3004493921143219</v>
      </c>
      <c r="AA5" s="3">
        <f t="shared" si="2"/>
        <v>9.8444285114491237</v>
      </c>
      <c r="AB5" s="3">
        <f t="shared" si="2"/>
        <v>10.352751525868644</v>
      </c>
      <c r="AC5" s="3">
        <f t="shared" si="2"/>
        <v>10.825123925343146</v>
      </c>
    </row>
    <row r="6" spans="1:29" x14ac:dyDescent="0.25">
      <c r="A6" t="s">
        <v>31</v>
      </c>
      <c r="B6" s="5">
        <v>5.9108257999999996</v>
      </c>
      <c r="D6" t="s">
        <v>12</v>
      </c>
      <c r="E6" s="6">
        <v>1</v>
      </c>
      <c r="F6" s="3">
        <f t="shared" ref="F6:AC6" si="3">E6*So</f>
        <v>0.90483741803595952</v>
      </c>
      <c r="G6" s="3">
        <f t="shared" si="3"/>
        <v>0.81873075307798171</v>
      </c>
      <c r="H6" s="3">
        <f t="shared" si="3"/>
        <v>0.74081822068171765</v>
      </c>
      <c r="I6" s="3">
        <f t="shared" si="3"/>
        <v>0.67032004603563911</v>
      </c>
      <c r="J6" s="3">
        <f t="shared" si="3"/>
        <v>0.6065306597126332</v>
      </c>
      <c r="K6" s="3">
        <f t="shared" si="3"/>
        <v>0.54881163609402617</v>
      </c>
      <c r="L6" s="3">
        <f t="shared" si="3"/>
        <v>0.49658530379140925</v>
      </c>
      <c r="M6" s="3">
        <f t="shared" si="3"/>
        <v>0.44932896411722134</v>
      </c>
      <c r="N6" s="3">
        <f t="shared" si="3"/>
        <v>0.40656965974059889</v>
      </c>
      <c r="O6" s="3">
        <f t="shared" si="3"/>
        <v>0.36787944117144211</v>
      </c>
      <c r="P6" s="3">
        <f t="shared" si="3"/>
        <v>0.33287108369807933</v>
      </c>
      <c r="Q6" s="3">
        <f t="shared" si="3"/>
        <v>0.30119421191220186</v>
      </c>
      <c r="R6" s="3">
        <f t="shared" si="3"/>
        <v>0.27253179303401237</v>
      </c>
      <c r="S6" s="3">
        <f t="shared" si="3"/>
        <v>0.24659696394160624</v>
      </c>
      <c r="T6" s="3">
        <f t="shared" si="3"/>
        <v>0.2231301601484296</v>
      </c>
      <c r="U6" s="3">
        <f t="shared" si="3"/>
        <v>0.20189651799465519</v>
      </c>
      <c r="V6" s="3">
        <f t="shared" si="3"/>
        <v>0.18268352405273444</v>
      </c>
      <c r="W6" s="3">
        <f t="shared" si="3"/>
        <v>0.16529888822158634</v>
      </c>
      <c r="X6" s="3">
        <f t="shared" si="3"/>
        <v>0.14956861922263487</v>
      </c>
      <c r="Y6" s="3">
        <f t="shared" si="3"/>
        <v>0.13533528323661251</v>
      </c>
      <c r="Z6" s="3">
        <f t="shared" si="3"/>
        <v>0.12245642825298174</v>
      </c>
      <c r="AA6" s="3">
        <f t="shared" si="3"/>
        <v>0.11080315836233372</v>
      </c>
      <c r="AB6" s="3">
        <f t="shared" si="3"/>
        <v>0.10025884372280358</v>
      </c>
      <c r="AC6" s="3">
        <f t="shared" si="3"/>
        <v>9.0717953289412359E-2</v>
      </c>
    </row>
    <row r="7" spans="1:29" x14ac:dyDescent="0.25">
      <c r="D7" t="s">
        <v>13</v>
      </c>
      <c r="E7" s="6">
        <v>1</v>
      </c>
      <c r="F7" s="3">
        <f t="shared" ref="F7:AC7" si="4">E7*So*(1-u*E11)</f>
        <v>0.90483736266708026</v>
      </c>
      <c r="G7" s="3">
        <f t="shared" si="4"/>
        <v>0.81872246533051229</v>
      </c>
      <c r="H7" s="3">
        <f t="shared" si="4"/>
        <v>0.74035346198870988</v>
      </c>
      <c r="I7" s="3">
        <f t="shared" si="4"/>
        <v>0.6625321452960572</v>
      </c>
      <c r="J7" s="3">
        <f t="shared" si="4"/>
        <v>0.56741961945506347</v>
      </c>
      <c r="K7" s="3">
        <f t="shared" si="4"/>
        <v>0.46607870075406593</v>
      </c>
      <c r="L7" s="3">
        <f t="shared" si="4"/>
        <v>0.37967856153697171</v>
      </c>
      <c r="M7" s="3">
        <f t="shared" si="4"/>
        <v>0.30919346820736465</v>
      </c>
      <c r="N7" s="3">
        <f t="shared" si="4"/>
        <v>0.25179287656776134</v>
      </c>
      <c r="O7" s="3">
        <f t="shared" si="4"/>
        <v>0.20505480154911182</v>
      </c>
      <c r="P7" s="3">
        <f t="shared" si="4"/>
        <v>0.1672013008796473</v>
      </c>
      <c r="Q7" s="3">
        <f t="shared" si="4"/>
        <v>0.13804303056734327</v>
      </c>
      <c r="R7" s="3">
        <f t="shared" si="4"/>
        <v>0.11816415507842384</v>
      </c>
      <c r="S7" s="3">
        <f t="shared" si="4"/>
        <v>0.10491009621728244</v>
      </c>
      <c r="T7" s="3">
        <f t="shared" si="4"/>
        <v>9.4587251182224913E-2</v>
      </c>
      <c r="U7" s="3">
        <f t="shared" si="4"/>
        <v>8.5551725605999551E-2</v>
      </c>
      <c r="V7" s="3">
        <f t="shared" si="4"/>
        <v>7.7408089309402045E-2</v>
      </c>
      <c r="W7" s="3">
        <f t="shared" si="4"/>
        <v>7.0041619331952992E-2</v>
      </c>
      <c r="X7" s="3">
        <f t="shared" si="4"/>
        <v>6.3376273120865731E-2</v>
      </c>
      <c r="Y7" s="3">
        <f t="shared" si="4"/>
        <v>5.7345223149106436E-2</v>
      </c>
      <c r="Z7" s="3">
        <f t="shared" si="4"/>
        <v>5.1888103643903116E-2</v>
      </c>
      <c r="AA7" s="3">
        <f t="shared" si="4"/>
        <v>4.6950297727653571E-2</v>
      </c>
      <c r="AB7" s="3">
        <f t="shared" si="4"/>
        <v>4.248238617189757E-2</v>
      </c>
      <c r="AC7" s="3">
        <f t="shared" si="4"/>
        <v>3.843965261578576E-2</v>
      </c>
    </row>
    <row r="8" spans="1:29" x14ac:dyDescent="0.25">
      <c r="A8" t="s">
        <v>4</v>
      </c>
      <c r="B8" s="5">
        <f>10^-5.5281</f>
        <v>2.9641487904584014E-6</v>
      </c>
      <c r="D8" t="s">
        <v>16</v>
      </c>
      <c r="E8" s="2">
        <f t="shared" ref="E8:AC8" si="5">_xlfn.NORM.DIST(E3,Min_LL,Min_SD,TRUE)</f>
        <v>6.1192075077410713E-7</v>
      </c>
      <c r="F8" s="2">
        <f t="shared" si="5"/>
        <v>1.0061486158618275E-4</v>
      </c>
      <c r="G8" s="2">
        <f t="shared" si="5"/>
        <v>6.1724218567956986E-3</v>
      </c>
      <c r="H8" s="2">
        <f t="shared" si="5"/>
        <v>0.10997723567560098</v>
      </c>
      <c r="I8" s="2">
        <f t="shared" si="5"/>
        <v>0.53486436515370805</v>
      </c>
      <c r="J8" s="2">
        <f t="shared" si="5"/>
        <v>0.92212169007192757</v>
      </c>
      <c r="K8" s="2">
        <f t="shared" si="5"/>
        <v>0.99702037985060588</v>
      </c>
      <c r="L8" s="2">
        <f t="shared" si="5"/>
        <v>0.99997567051327418</v>
      </c>
      <c r="M8" s="2">
        <f t="shared" si="5"/>
        <v>0.99999995373454875</v>
      </c>
      <c r="N8" s="2">
        <f t="shared" si="5"/>
        <v>0.9999999999756175</v>
      </c>
      <c r="O8" s="2">
        <f t="shared" si="5"/>
        <v>0.99999999999999556</v>
      </c>
      <c r="P8" s="2">
        <f t="shared" si="5"/>
        <v>1</v>
      </c>
      <c r="Q8" s="2">
        <f t="shared" si="5"/>
        <v>1</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5</v>
      </c>
      <c r="B9" s="5">
        <v>3.1728999999999998</v>
      </c>
      <c r="D9" t="s">
        <v>23</v>
      </c>
      <c r="E9" s="2">
        <f t="shared" ref="E9:AC9" si="6">1-_xlfn.NORM.DIST(E3,Upper_LL,Min_SD,TRUE)</f>
        <v>1</v>
      </c>
      <c r="F9" s="2">
        <f t="shared" si="6"/>
        <v>1</v>
      </c>
      <c r="G9" s="2">
        <f t="shared" si="6"/>
        <v>1</v>
      </c>
      <c r="H9" s="2">
        <f t="shared" si="6"/>
        <v>1</v>
      </c>
      <c r="I9" s="2">
        <f t="shared" si="6"/>
        <v>1</v>
      </c>
      <c r="J9" s="2">
        <f t="shared" si="6"/>
        <v>1</v>
      </c>
      <c r="K9" s="2">
        <f t="shared" si="6"/>
        <v>0.99999999999982847</v>
      </c>
      <c r="L9" s="2">
        <f t="shared" si="6"/>
        <v>0.99999999877187051</v>
      </c>
      <c r="M9" s="2">
        <f t="shared" si="6"/>
        <v>0.99999860363567539</v>
      </c>
      <c r="N9" s="2">
        <f t="shared" si="6"/>
        <v>0.99972142290274113</v>
      </c>
      <c r="O9" s="2">
        <f t="shared" si="6"/>
        <v>0.98845704657420108</v>
      </c>
      <c r="P9" s="2">
        <f t="shared" si="6"/>
        <v>0.87560072658345645</v>
      </c>
      <c r="Q9" s="2">
        <f t="shared" si="6"/>
        <v>0.53979130891749372</v>
      </c>
      <c r="R9" s="2">
        <f t="shared" si="6"/>
        <v>0.18792227855321397</v>
      </c>
      <c r="S9" s="2">
        <f t="shared" si="6"/>
        <v>3.5746510916768615E-2</v>
      </c>
      <c r="T9" s="2">
        <f t="shared" si="6"/>
        <v>4.0144999259303926E-3</v>
      </c>
      <c r="U9" s="2">
        <f t="shared" si="6"/>
        <v>2.9882242910339585E-4</v>
      </c>
      <c r="V9" s="2">
        <f t="shared" si="6"/>
        <v>1.6609220518937207E-5</v>
      </c>
      <c r="W9" s="2">
        <f t="shared" si="6"/>
        <v>7.6850776264958398E-7</v>
      </c>
      <c r="X9" s="2">
        <f t="shared" si="6"/>
        <v>3.2490847234889486E-8</v>
      </c>
      <c r="Y9" s="2">
        <f t="shared" si="6"/>
        <v>1.3548935307028387E-9</v>
      </c>
      <c r="Z9" s="2">
        <f t="shared" si="6"/>
        <v>5.9208749014771911E-11</v>
      </c>
      <c r="AA9" s="2">
        <f t="shared" si="6"/>
        <v>2.8397284523862254E-12</v>
      </c>
      <c r="AB9" s="2">
        <f t="shared" si="6"/>
        <v>1.5465406733028431E-13</v>
      </c>
      <c r="AC9" s="2">
        <f t="shared" si="6"/>
        <v>9.7699626167013776E-15</v>
      </c>
    </row>
    <row r="10" spans="1:29" x14ac:dyDescent="0.25">
      <c r="D10" t="s">
        <v>24</v>
      </c>
      <c r="E10" s="2">
        <f>1-(MIN(E8:E9))</f>
        <v>0.99999938807924926</v>
      </c>
      <c r="F10" s="2">
        <f t="shared" ref="F10:R10" si="7">1-(MIN(F8:F9))</f>
        <v>0.99989938513841381</v>
      </c>
      <c r="G10" s="2">
        <f t="shared" si="7"/>
        <v>0.99382757814320433</v>
      </c>
      <c r="H10" s="2">
        <f t="shared" si="7"/>
        <v>0.89002276432439897</v>
      </c>
      <c r="I10" s="2">
        <f t="shared" si="7"/>
        <v>0.46513563484629195</v>
      </c>
      <c r="J10" s="2">
        <f t="shared" si="7"/>
        <v>7.7878309928072431E-2</v>
      </c>
      <c r="K10" s="2">
        <f t="shared" si="7"/>
        <v>2.9796201493941243E-3</v>
      </c>
      <c r="L10" s="2">
        <f t="shared" si="7"/>
        <v>2.4329486725815919E-5</v>
      </c>
      <c r="M10" s="2">
        <f t="shared" si="7"/>
        <v>1.3963643246128754E-6</v>
      </c>
      <c r="N10" s="2">
        <f t="shared" si="7"/>
        <v>2.785770972588697E-4</v>
      </c>
      <c r="O10" s="2">
        <f t="shared" si="7"/>
        <v>1.1542953425798919E-2</v>
      </c>
      <c r="P10" s="2">
        <f t="shared" si="7"/>
        <v>0.12439927341654355</v>
      </c>
      <c r="Q10" s="2">
        <f t="shared" si="7"/>
        <v>0.46020869108250628</v>
      </c>
      <c r="R10" s="2">
        <f t="shared" si="7"/>
        <v>0.81207772144678603</v>
      </c>
      <c r="S10" s="2">
        <f>1-(MIN(S8:S9))</f>
        <v>0.96425348908323139</v>
      </c>
      <c r="T10" s="2">
        <f t="shared" ref="T10:AC10" si="8">1-(MIN(T8:T9))</f>
        <v>0.99598550007406961</v>
      </c>
      <c r="U10" s="2">
        <f t="shared" si="8"/>
        <v>0.9997011775708966</v>
      </c>
      <c r="V10" s="2">
        <f t="shared" si="8"/>
        <v>0.99998339077948106</v>
      </c>
      <c r="W10" s="2">
        <f t="shared" si="8"/>
        <v>0.99999923149223735</v>
      </c>
      <c r="X10" s="2">
        <f t="shared" si="8"/>
        <v>0.99999996750915277</v>
      </c>
      <c r="Y10" s="2">
        <f t="shared" si="8"/>
        <v>0.99999999864510647</v>
      </c>
      <c r="Z10" s="2">
        <f t="shared" si="8"/>
        <v>0.99999999994079125</v>
      </c>
      <c r="AA10" s="2">
        <f t="shared" si="8"/>
        <v>0.99999999999716027</v>
      </c>
      <c r="AB10" s="2">
        <f t="shared" si="8"/>
        <v>0.99999999999984535</v>
      </c>
      <c r="AC10" s="2">
        <f t="shared" si="8"/>
        <v>0.99999999999999023</v>
      </c>
    </row>
    <row r="11" spans="1:29" x14ac:dyDescent="0.25">
      <c r="A11" t="s">
        <v>7</v>
      </c>
      <c r="B11" s="3">
        <f>J4</f>
        <v>0.69722713374593348</v>
      </c>
      <c r="D11" t="s">
        <v>25</v>
      </c>
      <c r="E11" s="2">
        <f>1-E10</f>
        <v>6.1192075073712715E-7</v>
      </c>
      <c r="F11" s="2">
        <f t="shared" ref="F11:AC11" si="9">1-F10</f>
        <v>1.0061486158619015E-4</v>
      </c>
      <c r="G11" s="2">
        <f t="shared" si="9"/>
        <v>6.1724218567956735E-3</v>
      </c>
      <c r="H11" s="2">
        <f t="shared" si="9"/>
        <v>0.10997723567560103</v>
      </c>
      <c r="I11" s="2">
        <f t="shared" si="9"/>
        <v>0.53486436515370805</v>
      </c>
      <c r="J11" s="2">
        <f t="shared" si="9"/>
        <v>0.92212169007192757</v>
      </c>
      <c r="K11" s="2">
        <f t="shared" si="9"/>
        <v>0.99702037985060588</v>
      </c>
      <c r="L11" s="2">
        <f t="shared" si="9"/>
        <v>0.99997567051327418</v>
      </c>
      <c r="M11" s="2">
        <f t="shared" si="9"/>
        <v>0.99999860363567539</v>
      </c>
      <c r="N11" s="2">
        <f t="shared" si="9"/>
        <v>0.99972142290274113</v>
      </c>
      <c r="O11" s="2">
        <f t="shared" si="9"/>
        <v>0.98845704657420108</v>
      </c>
      <c r="P11" s="2">
        <f t="shared" si="9"/>
        <v>0.87560072658345645</v>
      </c>
      <c r="Q11" s="2">
        <f t="shared" si="9"/>
        <v>0.53979130891749372</v>
      </c>
      <c r="R11" s="2">
        <f t="shared" si="9"/>
        <v>0.18792227855321397</v>
      </c>
      <c r="S11" s="2">
        <f t="shared" si="9"/>
        <v>3.5746510916768615E-2</v>
      </c>
      <c r="T11" s="2">
        <f t="shared" si="9"/>
        <v>4.0144999259303926E-3</v>
      </c>
      <c r="U11" s="2">
        <f t="shared" si="9"/>
        <v>2.9882242910339585E-4</v>
      </c>
      <c r="V11" s="2">
        <f t="shared" si="9"/>
        <v>1.6609220518937207E-5</v>
      </c>
      <c r="W11" s="2">
        <f t="shared" si="9"/>
        <v>7.6850776264958398E-7</v>
      </c>
      <c r="X11" s="2">
        <f t="shared" si="9"/>
        <v>3.2490847234889486E-8</v>
      </c>
      <c r="Y11" s="2">
        <f t="shared" si="9"/>
        <v>1.3548935307028387E-9</v>
      </c>
      <c r="Z11" s="2">
        <f t="shared" si="9"/>
        <v>5.9208749014771911E-11</v>
      </c>
      <c r="AA11" s="2">
        <f t="shared" si="9"/>
        <v>2.8397284523862254E-12</v>
      </c>
      <c r="AB11" s="2">
        <f t="shared" si="9"/>
        <v>1.5465406733028431E-13</v>
      </c>
      <c r="AC11" s="2">
        <f t="shared" si="9"/>
        <v>9.7699626167013776E-15</v>
      </c>
    </row>
    <row r="13" spans="1:29" x14ac:dyDescent="0.25">
      <c r="A13" t="s">
        <v>9</v>
      </c>
      <c r="B13">
        <v>0.1</v>
      </c>
    </row>
    <row r="14" spans="1:29" x14ac:dyDescent="0.25">
      <c r="A14" t="s">
        <v>10</v>
      </c>
      <c r="B14" s="3">
        <f>EXP(-M)</f>
        <v>0.90483741803595952</v>
      </c>
      <c r="E14" t="s">
        <v>19</v>
      </c>
      <c r="F14" t="s">
        <v>18</v>
      </c>
      <c r="H14" t="s">
        <v>19</v>
      </c>
      <c r="I14" t="s">
        <v>17</v>
      </c>
      <c r="J14" t="s">
        <v>20</v>
      </c>
    </row>
    <row r="15" spans="1:29" x14ac:dyDescent="0.25">
      <c r="A15" t="s">
        <v>11</v>
      </c>
      <c r="B15" s="5">
        <v>0.1</v>
      </c>
      <c r="E15">
        <v>0</v>
      </c>
      <c r="F15" s="3">
        <f>YPR_proslot</f>
        <v>0.41522188108544289</v>
      </c>
      <c r="H15">
        <v>0</v>
      </c>
      <c r="I15" s="3">
        <f>B25</f>
        <v>0.45982520752139261</v>
      </c>
    </row>
    <row r="16" spans="1:29" x14ac:dyDescent="0.25">
      <c r="E16" s="3">
        <v>0.02</v>
      </c>
      <c r="F16" s="3">
        <f t="dataTable" ref="F16:F34" dt2D="0" dtr="0" r1="B15" ca="1"/>
        <v>0.11866447594988654</v>
      </c>
      <c r="H16" s="3">
        <v>0.02</v>
      </c>
      <c r="I16" s="3">
        <f t="dataTable" ref="I16:I34" dt2D="0" dtr="0" r1="B15"/>
        <v>0.85927550931884433</v>
      </c>
      <c r="J16">
        <v>0.35</v>
      </c>
    </row>
    <row r="17" spans="1:10" x14ac:dyDescent="0.25">
      <c r="A17" s="1" t="s">
        <v>21</v>
      </c>
      <c r="E17" s="3">
        <v>0.04</v>
      </c>
      <c r="F17" s="3">
        <v>0.21688453595500298</v>
      </c>
      <c r="H17" s="3">
        <v>0.04</v>
      </c>
      <c r="I17" s="3">
        <v>0.73697548450753003</v>
      </c>
      <c r="J17">
        <v>0.35</v>
      </c>
    </row>
    <row r="18" spans="1:10" x14ac:dyDescent="0.25">
      <c r="A18" t="s">
        <v>14</v>
      </c>
      <c r="B18" s="5">
        <v>381</v>
      </c>
      <c r="E18" s="3">
        <v>0.06</v>
      </c>
      <c r="F18" s="3">
        <v>0.29745287272164267</v>
      </c>
      <c r="H18" s="3">
        <v>0.06</v>
      </c>
      <c r="I18" s="3">
        <v>0.63090616110243247</v>
      </c>
      <c r="J18">
        <v>0.35</v>
      </c>
    </row>
    <row r="19" spans="1:10" x14ac:dyDescent="0.25">
      <c r="A19" t="s">
        <v>22</v>
      </c>
      <c r="B19" s="5">
        <v>762</v>
      </c>
      <c r="E19" s="3">
        <v>0.08</v>
      </c>
      <c r="F19" s="3">
        <v>0.3628391823486774</v>
      </c>
      <c r="H19" s="3">
        <v>0.08</v>
      </c>
      <c r="I19" s="3">
        <v>0.53910618365417295</v>
      </c>
      <c r="J19">
        <v>0.35</v>
      </c>
    </row>
    <row r="20" spans="1:10" x14ac:dyDescent="0.25">
      <c r="A20" t="s">
        <v>15</v>
      </c>
      <c r="B20" s="5">
        <v>38</v>
      </c>
      <c r="E20" s="3">
        <v>0.1</v>
      </c>
      <c r="F20" s="3">
        <v>0.41522188108544289</v>
      </c>
      <c r="H20" s="3">
        <v>0.1</v>
      </c>
      <c r="I20" s="3">
        <v>0.45982520752139261</v>
      </c>
      <c r="J20">
        <v>0.35</v>
      </c>
    </row>
    <row r="21" spans="1:10" x14ac:dyDescent="0.25">
      <c r="E21" s="3">
        <v>0.12</v>
      </c>
      <c r="F21" s="3">
        <v>0.45651722207715734</v>
      </c>
      <c r="H21" s="3">
        <v>0.12</v>
      </c>
      <c r="I21" s="3">
        <v>0.39150416557384438</v>
      </c>
      <c r="J21">
        <v>0.35</v>
      </c>
    </row>
    <row r="22" spans="1:10" x14ac:dyDescent="0.25">
      <c r="A22" s="8" t="s">
        <v>26</v>
      </c>
      <c r="B22" s="7"/>
      <c r="E22" s="3">
        <v>0.14000000000000001</v>
      </c>
      <c r="F22" s="3">
        <v>0.4884059847579757</v>
      </c>
      <c r="H22" s="3">
        <v>0.14000000000000001</v>
      </c>
      <c r="I22" s="3">
        <v>0.33275709420343563</v>
      </c>
      <c r="J22">
        <v>0.35</v>
      </c>
    </row>
    <row r="23" spans="1:10" x14ac:dyDescent="0.25">
      <c r="A23" s="7" t="s">
        <v>27</v>
      </c>
      <c r="B23" s="7">
        <f>SUMPRODUCT(Wt,S_fished,Vul_harvslot)</f>
        <v>4.1522188108544285</v>
      </c>
      <c r="E23" s="3">
        <v>0.16</v>
      </c>
      <c r="F23" s="3">
        <v>0.5123579006720077</v>
      </c>
      <c r="H23" s="3">
        <v>0.16</v>
      </c>
      <c r="I23" s="3">
        <v>0.28235441824227858</v>
      </c>
      <c r="J23">
        <v>0.35</v>
      </c>
    </row>
    <row r="24" spans="1:10" x14ac:dyDescent="0.25">
      <c r="A24" s="7" t="s">
        <v>28</v>
      </c>
      <c r="B24" s="7">
        <f>phi_vb_harvslotF*u</f>
        <v>0.41522188108544289</v>
      </c>
      <c r="E24" s="3">
        <v>0.18</v>
      </c>
      <c r="F24" s="3">
        <v>0.52965397095384781</v>
      </c>
      <c r="H24" s="3">
        <v>0.18</v>
      </c>
      <c r="I24" s="3">
        <v>0.23920759940165684</v>
      </c>
      <c r="J24">
        <v>0.35</v>
      </c>
    </row>
    <row r="25" spans="1:10" x14ac:dyDescent="0.25">
      <c r="A25" s="7" t="s">
        <v>29</v>
      </c>
      <c r="B25" s="7">
        <f>SUMPRODUCT(S_fished,Rel_Fec)/SUMPRODUCT(S_unfished,Rel_Fec)</f>
        <v>0.45982520752139261</v>
      </c>
      <c r="E25" s="3">
        <v>0.2</v>
      </c>
      <c r="F25" s="3">
        <v>0.54140682247434624</v>
      </c>
      <c r="H25" s="3">
        <v>0.2</v>
      </c>
      <c r="I25" s="3">
        <v>0.20235505767949216</v>
      </c>
      <c r="J25">
        <v>0.35</v>
      </c>
    </row>
    <row r="26" spans="1:10" x14ac:dyDescent="0.25">
      <c r="E26" s="3">
        <v>0.22</v>
      </c>
      <c r="F26" s="3">
        <v>0.54857924174644868</v>
      </c>
      <c r="H26" s="3">
        <v>0.22</v>
      </c>
      <c r="I26" s="3">
        <v>0.17094927984061303</v>
      </c>
      <c r="J26">
        <v>0.35</v>
      </c>
    </row>
    <row r="27" spans="1:10" x14ac:dyDescent="0.25">
      <c r="E27" s="3">
        <v>0.24</v>
      </c>
      <c r="F27" s="3">
        <v>0.55200101808207835</v>
      </c>
      <c r="H27" s="3">
        <v>0.24</v>
      </c>
      <c r="I27" s="3">
        <v>0.14424503355812054</v>
      </c>
      <c r="J27">
        <v>0.35</v>
      </c>
    </row>
    <row r="28" spans="1:10" x14ac:dyDescent="0.25">
      <c r="E28" s="3">
        <v>0.26</v>
      </c>
      <c r="F28" s="3">
        <v>0.5523842201864817</v>
      </c>
      <c r="H28" s="3">
        <v>0.26</v>
      </c>
      <c r="I28" s="3">
        <v>0.12158861011961929</v>
      </c>
      <c r="J28">
        <v>0.35</v>
      </c>
    </row>
    <row r="29" spans="1:10" x14ac:dyDescent="0.25">
      <c r="E29" s="3">
        <v>0.28000000000000003</v>
      </c>
      <c r="F29" s="3">
        <v>0.5503370233635021</v>
      </c>
      <c r="H29" s="3">
        <v>0.28000000000000003</v>
      </c>
      <c r="I29" s="3">
        <v>0.10240802275306914</v>
      </c>
      <c r="J29">
        <v>0.35</v>
      </c>
    </row>
    <row r="30" spans="1:10" x14ac:dyDescent="0.25">
      <c r="E30" s="3">
        <v>0.3</v>
      </c>
      <c r="F30" s="3">
        <v>0.5463761977763919</v>
      </c>
      <c r="H30" s="3">
        <v>0.3</v>
      </c>
      <c r="I30" s="3">
        <v>8.6204091617646181E-2</v>
      </c>
      <c r="J30">
        <v>0.35</v>
      </c>
    </row>
    <row r="31" spans="1:10" x14ac:dyDescent="0.25">
      <c r="E31" s="3">
        <v>0.32</v>
      </c>
      <c r="F31" s="3">
        <v>0.54093836175653565</v>
      </c>
      <c r="H31" s="3">
        <v>0.32</v>
      </c>
      <c r="I31" s="3">
        <v>7.2542350339206502E-2</v>
      </c>
      <c r="J31">
        <v>0.35</v>
      </c>
    </row>
    <row r="32" spans="1:10" x14ac:dyDescent="0.25">
      <c r="E32" s="3">
        <v>0.34</v>
      </c>
      <c r="F32" s="3">
        <v>0.53439009796951564</v>
      </c>
      <c r="H32" s="3">
        <v>0.34</v>
      </c>
      <c r="I32" s="3">
        <v>6.1045712651716814E-2</v>
      </c>
      <c r="J32">
        <v>0.35</v>
      </c>
    </row>
    <row r="33" spans="5:10" x14ac:dyDescent="0.25">
      <c r="E33" s="3">
        <v>0.36</v>
      </c>
      <c r="F33" s="3">
        <v>0.52703702432711264</v>
      </c>
      <c r="H33" s="3">
        <v>0.36</v>
      </c>
      <c r="I33" s="3">
        <v>5.1387841239204889E-2</v>
      </c>
      <c r="J33">
        <v>0.35</v>
      </c>
    </row>
    <row r="34" spans="5:10" x14ac:dyDescent="0.25">
      <c r="E34" s="3">
        <v>0.38</v>
      </c>
      <c r="F34" s="3">
        <v>0.51913190586793656</v>
      </c>
      <c r="H34" s="3">
        <v>0.38</v>
      </c>
      <c r="I34" s="3">
        <v>4.3287164261237153E-2</v>
      </c>
      <c r="J34">
        <v>0.35</v>
      </c>
    </row>
  </sheetData>
  <pageMargins left="0.7" right="0.7" top="0.75" bottom="0.75" header="0.3" footer="0.3"/>
  <pageSetup orientation="portrait" r:id="rId1"/>
  <drawing r:id="rId2"/>
  <legacyDrawing r:id="rId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FA7157-FE1B-4F19-B858-8C2243D0D634}">
  <dimension ref="A2:AC34"/>
  <sheetViews>
    <sheetView zoomScale="70" zoomScaleNormal="70" workbookViewId="0"/>
  </sheetViews>
  <sheetFormatPr defaultRowHeight="15" x14ac:dyDescent="0.25"/>
  <cols>
    <col min="1" max="1" width="26.28515625" bestFit="1" customWidth="1"/>
    <col min="2" max="2" width="13.5703125" bestFit="1" customWidth="1"/>
    <col min="3" max="3" width="6.7109375" customWidth="1"/>
    <col min="4" max="4" width="13" bestFit="1" customWidth="1"/>
    <col min="5" max="5" width="14.85546875" bestFit="1" customWidth="1"/>
    <col min="6" max="6" width="6.85546875" bestFit="1" customWidth="1"/>
    <col min="7" max="7" width="6.42578125" bestFit="1" customWidth="1"/>
    <col min="8" max="8" width="14.85546875" bestFit="1" customWidth="1"/>
    <col min="9" max="9" width="7.140625" bestFit="1" customWidth="1"/>
    <col min="10" max="10" width="6.85546875" bestFit="1" customWidth="1"/>
    <col min="11" max="29" width="6.42578125" bestFit="1" customWidth="1"/>
  </cols>
  <sheetData>
    <row r="2" spans="1:29" x14ac:dyDescent="0.25">
      <c r="A2" s="1" t="s">
        <v>0</v>
      </c>
      <c r="D2" t="s">
        <v>1</v>
      </c>
      <c r="E2" s="5">
        <v>1</v>
      </c>
      <c r="F2" s="5">
        <v>2</v>
      </c>
      <c r="G2" s="5">
        <v>3</v>
      </c>
      <c r="H2" s="5">
        <v>4</v>
      </c>
      <c r="I2" s="5">
        <v>5</v>
      </c>
      <c r="J2" s="5">
        <v>6</v>
      </c>
      <c r="K2" s="5">
        <v>7</v>
      </c>
      <c r="L2" s="5">
        <v>8</v>
      </c>
      <c r="M2" s="5">
        <v>9</v>
      </c>
      <c r="N2" s="5">
        <v>10</v>
      </c>
      <c r="O2" s="5">
        <v>11</v>
      </c>
      <c r="P2" s="5">
        <v>12</v>
      </c>
      <c r="Q2" s="5">
        <v>13</v>
      </c>
      <c r="R2" s="5">
        <v>14</v>
      </c>
      <c r="S2" s="5">
        <v>15</v>
      </c>
      <c r="T2" s="5">
        <v>16</v>
      </c>
      <c r="U2" s="5">
        <v>17</v>
      </c>
      <c r="V2" s="5">
        <v>18</v>
      </c>
      <c r="W2" s="5">
        <v>19</v>
      </c>
      <c r="X2" s="5">
        <v>20</v>
      </c>
      <c r="Y2" s="5">
        <v>21</v>
      </c>
      <c r="Z2" s="5">
        <v>22</v>
      </c>
      <c r="AA2" s="5">
        <v>23</v>
      </c>
      <c r="AB2" s="5">
        <v>24</v>
      </c>
      <c r="AC2" s="5">
        <v>25</v>
      </c>
    </row>
    <row r="3" spans="1:29" x14ac:dyDescent="0.25">
      <c r="D3" t="s">
        <v>2</v>
      </c>
      <c r="E3" s="4">
        <f t="shared" ref="E3:AC3" si="0">Linf*(EXP(-EXP(-K*(E2-tnot))))</f>
        <v>213.87932284574151</v>
      </c>
      <c r="F3" s="4">
        <f t="shared" si="0"/>
        <v>249.78587936366449</v>
      </c>
      <c r="G3" s="4">
        <f t="shared" si="0"/>
        <v>287.61516104616982</v>
      </c>
      <c r="H3" s="4">
        <f t="shared" si="0"/>
        <v>326.93588755239938</v>
      </c>
      <c r="I3" s="4">
        <f t="shared" si="0"/>
        <v>367.30862716356881</v>
      </c>
      <c r="J3" s="4">
        <f t="shared" si="0"/>
        <v>408.30200580297026</v>
      </c>
      <c r="K3" s="4">
        <f t="shared" si="0"/>
        <v>449.50600640192812</v>
      </c>
      <c r="L3" s="4">
        <f t="shared" si="0"/>
        <v>490.54213925414786</v>
      </c>
      <c r="M3" s="4">
        <f t="shared" si="0"/>
        <v>531.07054344030144</v>
      </c>
      <c r="N3" s="4">
        <f t="shared" si="0"/>
        <v>570.79427726789891</v>
      </c>
      <c r="O3" s="4">
        <f t="shared" si="0"/>
        <v>609.46117757520153</v>
      </c>
      <c r="P3" s="4">
        <f t="shared" si="0"/>
        <v>646.8637258256332</v>
      </c>
      <c r="Q3" s="4">
        <f t="shared" si="0"/>
        <v>682.83736793612661</v>
      </c>
      <c r="R3" s="4">
        <f t="shared" si="0"/>
        <v>717.25770942323197</v>
      </c>
      <c r="S3" s="4">
        <f t="shared" si="0"/>
        <v>750.03696068655802</v>
      </c>
      <c r="T3" s="4">
        <f t="shared" si="0"/>
        <v>781.11994956820502</v>
      </c>
      <c r="U3" s="4">
        <f t="shared" si="0"/>
        <v>810.47995756480827</v>
      </c>
      <c r="V3" s="4">
        <f t="shared" si="0"/>
        <v>838.11457761210272</v>
      </c>
      <c r="W3" s="4">
        <f t="shared" si="0"/>
        <v>864.0417385413399</v>
      </c>
      <c r="X3" s="4">
        <f t="shared" si="0"/>
        <v>888.2959958538712</v>
      </c>
      <c r="Y3" s="4">
        <f t="shared" si="0"/>
        <v>910.92515094622104</v>
      </c>
      <c r="Z3" s="4">
        <f t="shared" si="0"/>
        <v>931.98723113511335</v>
      </c>
      <c r="AA3" s="4">
        <f t="shared" si="0"/>
        <v>951.5478400976649</v>
      </c>
      <c r="AB3" s="4">
        <f t="shared" si="0"/>
        <v>969.67787172813462</v>
      </c>
      <c r="AC3" s="4">
        <f t="shared" si="0"/>
        <v>986.45156890641033</v>
      </c>
    </row>
    <row r="4" spans="1:29" x14ac:dyDescent="0.25">
      <c r="A4" t="s">
        <v>3</v>
      </c>
      <c r="B4" s="5">
        <v>1170</v>
      </c>
      <c r="D4" t="s">
        <v>6</v>
      </c>
      <c r="E4" s="3">
        <f t="shared" ref="E4:AC4" si="1">(a_wl*E3^b_wl)/1000</f>
        <v>7.3331840790904768E-2</v>
      </c>
      <c r="F4" s="3">
        <f t="shared" si="1"/>
        <v>0.11998947082551777</v>
      </c>
      <c r="G4" s="3">
        <f t="shared" si="1"/>
        <v>0.18769983105740143</v>
      </c>
      <c r="H4" s="3">
        <f t="shared" si="1"/>
        <v>0.28186319408379168</v>
      </c>
      <c r="I4" s="3">
        <f t="shared" si="1"/>
        <v>0.4078376062289209</v>
      </c>
      <c r="J4" s="3">
        <f t="shared" si="1"/>
        <v>0.57053625086122084</v>
      </c>
      <c r="K4" s="3">
        <f t="shared" si="1"/>
        <v>0.77404189156472625</v>
      </c>
      <c r="L4" s="3">
        <f t="shared" si="1"/>
        <v>1.0212848698634884</v>
      </c>
      <c r="M4" s="3">
        <f t="shared" si="1"/>
        <v>1.3138187565566632</v>
      </c>
      <c r="N4" s="3">
        <f t="shared" si="1"/>
        <v>1.6517113587315218</v>
      </c>
      <c r="O4" s="3">
        <f t="shared" si="1"/>
        <v>2.0335521337615878</v>
      </c>
      <c r="P4" s="3">
        <f t="shared" si="1"/>
        <v>2.4565631136141848</v>
      </c>
      <c r="Q4" s="3">
        <f t="shared" si="1"/>
        <v>2.9167909013934223</v>
      </c>
      <c r="R4" s="3">
        <f t="shared" si="1"/>
        <v>3.4093526183211367</v>
      </c>
      <c r="S4" s="3">
        <f t="shared" si="1"/>
        <v>3.9287083392521138</v>
      </c>
      <c r="T4" s="3">
        <f t="shared" si="1"/>
        <v>4.4689354795208107</v>
      </c>
      <c r="U4" s="3">
        <f t="shared" si="1"/>
        <v>5.0239855194225944</v>
      </c>
      <c r="V4" s="3">
        <f t="shared" si="1"/>
        <v>5.5879092011442593</v>
      </c>
      <c r="W4" s="3">
        <f t="shared" si="1"/>
        <v>6.1550419850424039</v>
      </c>
      <c r="X4" s="3">
        <f t="shared" si="1"/>
        <v>6.7201464944585894</v>
      </c>
      <c r="Y4" s="3">
        <f t="shared" si="1"/>
        <v>7.2785125878202246</v>
      </c>
      <c r="Z4" s="3">
        <f t="shared" si="1"/>
        <v>7.826018483114292</v>
      </c>
      <c r="AA4" s="3">
        <f t="shared" si="1"/>
        <v>8.3591580932386673</v>
      </c>
      <c r="AB4" s="3">
        <f t="shared" si="1"/>
        <v>8.8750405747352215</v>
      </c>
      <c r="AC4" s="3">
        <f t="shared" si="1"/>
        <v>9.3713682493190156</v>
      </c>
    </row>
    <row r="5" spans="1:29" x14ac:dyDescent="0.25">
      <c r="A5" t="s">
        <v>30</v>
      </c>
      <c r="B5" s="5">
        <v>9.57673E-2</v>
      </c>
      <c r="D5" t="s">
        <v>8</v>
      </c>
      <c r="E5" s="3">
        <f t="shared" ref="E5:AC5" si="2">MAX(0,E4-wmat)</f>
        <v>0</v>
      </c>
      <c r="F5" s="3">
        <f t="shared" si="2"/>
        <v>0</v>
      </c>
      <c r="G5" s="3">
        <f t="shared" si="2"/>
        <v>0</v>
      </c>
      <c r="H5" s="3">
        <f t="shared" si="2"/>
        <v>0</v>
      </c>
      <c r="I5" s="3">
        <f t="shared" si="2"/>
        <v>0</v>
      </c>
      <c r="J5" s="3">
        <f t="shared" si="2"/>
        <v>0</v>
      </c>
      <c r="K5" s="3">
        <f t="shared" si="2"/>
        <v>0.20350564070350541</v>
      </c>
      <c r="L5" s="3">
        <f t="shared" si="2"/>
        <v>0.45074861900226759</v>
      </c>
      <c r="M5" s="3">
        <f t="shared" si="2"/>
        <v>0.74328250569544241</v>
      </c>
      <c r="N5" s="3">
        <f t="shared" si="2"/>
        <v>1.0811751078703009</v>
      </c>
      <c r="O5" s="3">
        <f t="shared" si="2"/>
        <v>1.463015882900367</v>
      </c>
      <c r="P5" s="3">
        <f t="shared" si="2"/>
        <v>1.8860268627529639</v>
      </c>
      <c r="Q5" s="3">
        <f t="shared" si="2"/>
        <v>2.3462546505322015</v>
      </c>
      <c r="R5" s="3">
        <f t="shared" si="2"/>
        <v>2.8388163674599158</v>
      </c>
      <c r="S5" s="3">
        <f t="shared" si="2"/>
        <v>3.358172088390893</v>
      </c>
      <c r="T5" s="3">
        <f t="shared" si="2"/>
        <v>3.8983992286595899</v>
      </c>
      <c r="U5" s="3">
        <f t="shared" si="2"/>
        <v>4.4534492685613731</v>
      </c>
      <c r="V5" s="3">
        <f t="shared" si="2"/>
        <v>5.017372950283038</v>
      </c>
      <c r="W5" s="3">
        <f t="shared" si="2"/>
        <v>5.5845057341811835</v>
      </c>
      <c r="X5" s="3">
        <f t="shared" si="2"/>
        <v>6.149610243597369</v>
      </c>
      <c r="Y5" s="3">
        <f t="shared" si="2"/>
        <v>6.7079763369590033</v>
      </c>
      <c r="Z5" s="3">
        <f t="shared" si="2"/>
        <v>7.2554822322530708</v>
      </c>
      <c r="AA5" s="3">
        <f t="shared" si="2"/>
        <v>7.7886218423774469</v>
      </c>
      <c r="AB5" s="3">
        <f t="shared" si="2"/>
        <v>8.3045043238740011</v>
      </c>
      <c r="AC5" s="3">
        <f t="shared" si="2"/>
        <v>8.8008319984577952</v>
      </c>
    </row>
    <row r="6" spans="1:29" x14ac:dyDescent="0.25">
      <c r="A6" t="s">
        <v>31</v>
      </c>
      <c r="B6" s="5">
        <v>6.5367971000000002</v>
      </c>
      <c r="D6" t="s">
        <v>12</v>
      </c>
      <c r="E6" s="6">
        <v>1</v>
      </c>
      <c r="F6" s="3">
        <f t="shared" ref="F6:AC6" si="3">E6*So</f>
        <v>0.90483741803595952</v>
      </c>
      <c r="G6" s="3">
        <f t="shared" si="3"/>
        <v>0.81873075307798171</v>
      </c>
      <c r="H6" s="3">
        <f t="shared" si="3"/>
        <v>0.74081822068171765</v>
      </c>
      <c r="I6" s="3">
        <f t="shared" si="3"/>
        <v>0.67032004603563911</v>
      </c>
      <c r="J6" s="3">
        <f t="shared" si="3"/>
        <v>0.6065306597126332</v>
      </c>
      <c r="K6" s="3">
        <f t="shared" si="3"/>
        <v>0.54881163609402617</v>
      </c>
      <c r="L6" s="3">
        <f t="shared" si="3"/>
        <v>0.49658530379140925</v>
      </c>
      <c r="M6" s="3">
        <f t="shared" si="3"/>
        <v>0.44932896411722134</v>
      </c>
      <c r="N6" s="3">
        <f t="shared" si="3"/>
        <v>0.40656965974059889</v>
      </c>
      <c r="O6" s="3">
        <f t="shared" si="3"/>
        <v>0.36787944117144211</v>
      </c>
      <c r="P6" s="3">
        <f t="shared" si="3"/>
        <v>0.33287108369807933</v>
      </c>
      <c r="Q6" s="3">
        <f t="shared" si="3"/>
        <v>0.30119421191220186</v>
      </c>
      <c r="R6" s="3">
        <f t="shared" si="3"/>
        <v>0.27253179303401237</v>
      </c>
      <c r="S6" s="3">
        <f t="shared" si="3"/>
        <v>0.24659696394160624</v>
      </c>
      <c r="T6" s="3">
        <f t="shared" si="3"/>
        <v>0.2231301601484296</v>
      </c>
      <c r="U6" s="3">
        <f t="shared" si="3"/>
        <v>0.20189651799465519</v>
      </c>
      <c r="V6" s="3">
        <f t="shared" si="3"/>
        <v>0.18268352405273444</v>
      </c>
      <c r="W6" s="3">
        <f t="shared" si="3"/>
        <v>0.16529888822158634</v>
      </c>
      <c r="X6" s="3">
        <f t="shared" si="3"/>
        <v>0.14956861922263487</v>
      </c>
      <c r="Y6" s="3">
        <f t="shared" si="3"/>
        <v>0.13533528323661251</v>
      </c>
      <c r="Z6" s="3">
        <f t="shared" si="3"/>
        <v>0.12245642825298174</v>
      </c>
      <c r="AA6" s="3">
        <f t="shared" si="3"/>
        <v>0.11080315836233372</v>
      </c>
      <c r="AB6" s="3">
        <f t="shared" si="3"/>
        <v>0.10025884372280358</v>
      </c>
      <c r="AC6" s="3">
        <f t="shared" si="3"/>
        <v>9.0717953289412359E-2</v>
      </c>
    </row>
    <row r="7" spans="1:29" x14ac:dyDescent="0.25">
      <c r="D7" t="s">
        <v>13</v>
      </c>
      <c r="E7" s="6">
        <v>1</v>
      </c>
      <c r="F7" s="3">
        <f t="shared" ref="F7:AC7" si="4">E7*So*(1-u*E11)</f>
        <v>0.90483692355590983</v>
      </c>
      <c r="G7" s="3">
        <f t="shared" si="4"/>
        <v>0.81870761116712953</v>
      </c>
      <c r="H7" s="3">
        <f t="shared" si="4"/>
        <v>0.74027905827144691</v>
      </c>
      <c r="I7" s="3">
        <f t="shared" si="4"/>
        <v>0.66464730211054013</v>
      </c>
      <c r="J7" s="3">
        <f t="shared" si="4"/>
        <v>0.57978882598828241</v>
      </c>
      <c r="K7" s="3">
        <f t="shared" si="4"/>
        <v>0.48454626887274871</v>
      </c>
      <c r="L7" s="3">
        <f t="shared" si="4"/>
        <v>0.39615771643667014</v>
      </c>
      <c r="M7" s="3">
        <f t="shared" si="4"/>
        <v>0.32268316243496675</v>
      </c>
      <c r="N7" s="3">
        <f t="shared" si="4"/>
        <v>0.26277936420072756</v>
      </c>
      <c r="O7" s="3">
        <f t="shared" si="4"/>
        <v>0.21399534828464428</v>
      </c>
      <c r="P7" s="3">
        <f t="shared" si="4"/>
        <v>0.17426847610503543</v>
      </c>
      <c r="Q7" s="3">
        <f t="shared" si="4"/>
        <v>0.14193546161173293</v>
      </c>
      <c r="R7" s="3">
        <f t="shared" si="4"/>
        <v>0.11582473799072934</v>
      </c>
      <c r="S7" s="3">
        <f t="shared" si="4"/>
        <v>9.557481980751481E-2</v>
      </c>
      <c r="T7" s="3">
        <f t="shared" si="4"/>
        <v>8.1087236349505432E-2</v>
      </c>
      <c r="U7" s="3">
        <f t="shared" si="4"/>
        <v>7.1115149412254205E-2</v>
      </c>
      <c r="V7" s="3">
        <f t="shared" si="4"/>
        <v>6.3697639301154643E-2</v>
      </c>
      <c r="W7" s="3">
        <f t="shared" si="4"/>
        <v>5.7505820255093903E-2</v>
      </c>
      <c r="X7" s="3">
        <f t="shared" si="4"/>
        <v>5.2014565486366543E-2</v>
      </c>
      <c r="Y7" s="3">
        <f t="shared" si="4"/>
        <v>4.7062633806851877E-2</v>
      </c>
      <c r="Z7" s="3">
        <f t="shared" si="4"/>
        <v>4.2583842802414687E-2</v>
      </c>
      <c r="AA7" s="3">
        <f t="shared" si="4"/>
        <v>3.8531439535960332E-2</v>
      </c>
      <c r="AB7" s="3">
        <f t="shared" si="4"/>
        <v>3.4864687199978123E-2</v>
      </c>
      <c r="AC7" s="3">
        <f t="shared" si="4"/>
        <v>3.1546873473728483E-2</v>
      </c>
    </row>
    <row r="8" spans="1:29" x14ac:dyDescent="0.25">
      <c r="A8" t="s">
        <v>4</v>
      </c>
      <c r="B8" s="5">
        <f>10^-5.5281</f>
        <v>2.9641487904584014E-6</v>
      </c>
      <c r="D8" t="s">
        <v>16</v>
      </c>
      <c r="E8" s="2">
        <f t="shared" ref="E8:AC8" si="5">_xlfn.NORM.DIST(E3,Min_LL,Min_SD,TRUE)</f>
        <v>5.4648497047504793E-6</v>
      </c>
      <c r="F8" s="2">
        <f t="shared" si="5"/>
        <v>2.7719123921662414E-4</v>
      </c>
      <c r="G8" s="2">
        <f t="shared" si="5"/>
        <v>6.9954730759388831E-3</v>
      </c>
      <c r="H8" s="2">
        <f t="shared" si="5"/>
        <v>7.740579903501428E-2</v>
      </c>
      <c r="I8" s="2">
        <f t="shared" si="5"/>
        <v>0.35931166691317196</v>
      </c>
      <c r="J8" s="2">
        <f t="shared" si="5"/>
        <v>0.76376741294686656</v>
      </c>
      <c r="K8" s="2">
        <f t="shared" si="5"/>
        <v>0.96428937125821901</v>
      </c>
      <c r="L8" s="2">
        <f t="shared" si="5"/>
        <v>0.9980285103744807</v>
      </c>
      <c r="M8" s="2">
        <f t="shared" si="5"/>
        <v>0.99996079765757162</v>
      </c>
      <c r="N8" s="2">
        <f t="shared" si="5"/>
        <v>0.99999970518980708</v>
      </c>
      <c r="O8" s="2">
        <f t="shared" si="5"/>
        <v>0.9999999990845283</v>
      </c>
      <c r="P8" s="2">
        <f t="shared" si="5"/>
        <v>0.99999999999868705</v>
      </c>
      <c r="Q8" s="2">
        <f t="shared" si="5"/>
        <v>0.999999999999999</v>
      </c>
      <c r="R8" s="2">
        <f t="shared" si="5"/>
        <v>1</v>
      </c>
      <c r="S8" s="2">
        <f t="shared" si="5"/>
        <v>1</v>
      </c>
      <c r="T8" s="2">
        <f t="shared" si="5"/>
        <v>1</v>
      </c>
      <c r="U8" s="2">
        <f t="shared" si="5"/>
        <v>1</v>
      </c>
      <c r="V8" s="2">
        <f t="shared" si="5"/>
        <v>1</v>
      </c>
      <c r="W8" s="2">
        <f t="shared" si="5"/>
        <v>1</v>
      </c>
      <c r="X8" s="2">
        <f t="shared" si="5"/>
        <v>1</v>
      </c>
      <c r="Y8" s="2">
        <f t="shared" si="5"/>
        <v>1</v>
      </c>
      <c r="Z8" s="2">
        <f t="shared" si="5"/>
        <v>1</v>
      </c>
      <c r="AA8" s="2">
        <f t="shared" si="5"/>
        <v>1</v>
      </c>
      <c r="AB8" s="2">
        <f t="shared" si="5"/>
        <v>1</v>
      </c>
      <c r="AC8" s="2">
        <f t="shared" si="5"/>
        <v>1</v>
      </c>
    </row>
    <row r="9" spans="1:29" x14ac:dyDescent="0.25">
      <c r="A9" t="s">
        <v>5</v>
      </c>
      <c r="B9" s="5">
        <v>3.1728999999999998</v>
      </c>
      <c r="D9" t="s">
        <v>23</v>
      </c>
      <c r="E9" s="2">
        <f t="shared" ref="E9:AC9" si="6">1-_xlfn.NORM.DIST(E3,Upper_LL,Min_SD,TRUE)</f>
        <v>1</v>
      </c>
      <c r="F9" s="2">
        <f t="shared" si="6"/>
        <v>1</v>
      </c>
      <c r="G9" s="2">
        <f t="shared" si="6"/>
        <v>1</v>
      </c>
      <c r="H9" s="2">
        <f t="shared" si="6"/>
        <v>1</v>
      </c>
      <c r="I9" s="2">
        <f t="shared" si="6"/>
        <v>1</v>
      </c>
      <c r="J9" s="2">
        <f t="shared" si="6"/>
        <v>1</v>
      </c>
      <c r="K9" s="2">
        <f t="shared" si="6"/>
        <v>0.99999999999999989</v>
      </c>
      <c r="L9" s="2">
        <f t="shared" si="6"/>
        <v>0.99999999999954547</v>
      </c>
      <c r="M9" s="2">
        <f t="shared" si="6"/>
        <v>0.99999999938808826</v>
      </c>
      <c r="N9" s="2">
        <f t="shared" si="6"/>
        <v>0.99999975696267118</v>
      </c>
      <c r="O9" s="2">
        <f t="shared" si="6"/>
        <v>0.9999701735354849</v>
      </c>
      <c r="P9" s="2">
        <f t="shared" si="6"/>
        <v>0.99877683429187614</v>
      </c>
      <c r="Q9" s="2">
        <f t="shared" si="6"/>
        <v>0.98138473870266241</v>
      </c>
      <c r="R9" s="2">
        <f t="shared" si="6"/>
        <v>0.88048777973146575</v>
      </c>
      <c r="S9" s="2">
        <f t="shared" si="6"/>
        <v>0.62354963147377751</v>
      </c>
      <c r="T9" s="2">
        <f t="shared" si="6"/>
        <v>0.30742709909767518</v>
      </c>
      <c r="U9" s="2">
        <f t="shared" si="6"/>
        <v>0.10101517222178358</v>
      </c>
      <c r="V9" s="2">
        <f t="shared" si="6"/>
        <v>2.2587828484364469E-2</v>
      </c>
      <c r="W9" s="2">
        <f t="shared" si="6"/>
        <v>3.6231399061641412E-3</v>
      </c>
      <c r="X9" s="2">
        <f t="shared" si="6"/>
        <v>4.4435149432275889E-4</v>
      </c>
      <c r="Y9" s="2">
        <f t="shared" si="6"/>
        <v>4.4443266613347632E-5</v>
      </c>
      <c r="Z9" s="2">
        <f t="shared" si="6"/>
        <v>3.8502117267746883E-6</v>
      </c>
      <c r="AA9" s="2">
        <f t="shared" si="6"/>
        <v>3.0487836466530638E-7</v>
      </c>
      <c r="AB9" s="2">
        <f t="shared" si="6"/>
        <v>2.3118326586413218E-8</v>
      </c>
      <c r="AC9" s="2">
        <f t="shared" si="6"/>
        <v>1.7459873546954441E-9</v>
      </c>
    </row>
    <row r="10" spans="1:29" x14ac:dyDescent="0.25">
      <c r="D10" t="s">
        <v>24</v>
      </c>
      <c r="E10" s="2">
        <f>1-(MIN(E8:E9))</f>
        <v>0.99999453515029524</v>
      </c>
      <c r="F10" s="2">
        <f t="shared" ref="F10:R10" si="7">1-(MIN(F8:F9))</f>
        <v>0.99972280876078334</v>
      </c>
      <c r="G10" s="2">
        <f t="shared" si="7"/>
        <v>0.99300452692406116</v>
      </c>
      <c r="H10" s="2">
        <f t="shared" si="7"/>
        <v>0.92259420096498568</v>
      </c>
      <c r="I10" s="2">
        <f t="shared" si="7"/>
        <v>0.64068833308682804</v>
      </c>
      <c r="J10" s="2">
        <f t="shared" si="7"/>
        <v>0.23623258705313344</v>
      </c>
      <c r="K10" s="2">
        <f t="shared" si="7"/>
        <v>3.5710628741780992E-2</v>
      </c>
      <c r="L10" s="2">
        <f t="shared" si="7"/>
        <v>1.971489625519296E-3</v>
      </c>
      <c r="M10" s="2">
        <f t="shared" si="7"/>
        <v>3.9202342428379389E-5</v>
      </c>
      <c r="N10" s="2">
        <f t="shared" si="7"/>
        <v>2.9481019292454391E-7</v>
      </c>
      <c r="O10" s="2">
        <f t="shared" si="7"/>
        <v>2.9826464515103623E-5</v>
      </c>
      <c r="P10" s="2">
        <f t="shared" si="7"/>
        <v>1.2231657081238634E-3</v>
      </c>
      <c r="Q10" s="2">
        <f t="shared" si="7"/>
        <v>1.8615261297337593E-2</v>
      </c>
      <c r="R10" s="2">
        <f t="shared" si="7"/>
        <v>0.11951222026853425</v>
      </c>
      <c r="S10" s="2">
        <f>1-(MIN(S8:S9))</f>
        <v>0.37645036852622249</v>
      </c>
      <c r="T10" s="2">
        <f t="shared" ref="T10:AC10" si="8">1-(MIN(T8:T9))</f>
        <v>0.69257290090232482</v>
      </c>
      <c r="U10" s="2">
        <f t="shared" si="8"/>
        <v>0.89898482777821642</v>
      </c>
      <c r="V10" s="2">
        <f t="shared" si="8"/>
        <v>0.97741217151563553</v>
      </c>
      <c r="W10" s="2">
        <f t="shared" si="8"/>
        <v>0.99637686009383586</v>
      </c>
      <c r="X10" s="2">
        <f t="shared" si="8"/>
        <v>0.99955564850567724</v>
      </c>
      <c r="Y10" s="2">
        <f t="shared" si="8"/>
        <v>0.99995555673338665</v>
      </c>
      <c r="Z10" s="2">
        <f t="shared" si="8"/>
        <v>0.99999614978827323</v>
      </c>
      <c r="AA10" s="2">
        <f t="shared" si="8"/>
        <v>0.99999969512163533</v>
      </c>
      <c r="AB10" s="2">
        <f t="shared" si="8"/>
        <v>0.99999997688167341</v>
      </c>
      <c r="AC10" s="2">
        <f t="shared" si="8"/>
        <v>0.99999999825401265</v>
      </c>
    </row>
    <row r="11" spans="1:29" x14ac:dyDescent="0.25">
      <c r="A11" t="s">
        <v>7</v>
      </c>
      <c r="B11" s="3">
        <f>J4</f>
        <v>0.57053625086122084</v>
      </c>
      <c r="D11" t="s">
        <v>25</v>
      </c>
      <c r="E11" s="2">
        <f>1-E10</f>
        <v>5.4648497047615763E-6</v>
      </c>
      <c r="F11" s="2">
        <f t="shared" ref="F11:AC11" si="9">1-F10</f>
        <v>2.7719123921665645E-4</v>
      </c>
      <c r="G11" s="2">
        <f t="shared" si="9"/>
        <v>6.9954730759388406E-3</v>
      </c>
      <c r="H11" s="2">
        <f t="shared" si="9"/>
        <v>7.7405799035014322E-2</v>
      </c>
      <c r="I11" s="2">
        <f t="shared" si="9"/>
        <v>0.35931166691317196</v>
      </c>
      <c r="J11" s="2">
        <f t="shared" si="9"/>
        <v>0.76376741294686656</v>
      </c>
      <c r="K11" s="2">
        <f t="shared" si="9"/>
        <v>0.96428937125821901</v>
      </c>
      <c r="L11" s="2">
        <f t="shared" si="9"/>
        <v>0.9980285103744807</v>
      </c>
      <c r="M11" s="2">
        <f t="shared" si="9"/>
        <v>0.99996079765757162</v>
      </c>
      <c r="N11" s="2">
        <f t="shared" si="9"/>
        <v>0.99999970518980708</v>
      </c>
      <c r="O11" s="2">
        <f t="shared" si="9"/>
        <v>0.9999701735354849</v>
      </c>
      <c r="P11" s="2">
        <f t="shared" si="9"/>
        <v>0.99877683429187614</v>
      </c>
      <c r="Q11" s="2">
        <f t="shared" si="9"/>
        <v>0.98138473870266241</v>
      </c>
      <c r="R11" s="2">
        <f t="shared" si="9"/>
        <v>0.88048777973146575</v>
      </c>
      <c r="S11" s="2">
        <f t="shared" si="9"/>
        <v>0.62354963147377751</v>
      </c>
      <c r="T11" s="2">
        <f t="shared" si="9"/>
        <v>0.30742709909767518</v>
      </c>
      <c r="U11" s="2">
        <f t="shared" si="9"/>
        <v>0.10101517222178358</v>
      </c>
      <c r="V11" s="2">
        <f t="shared" si="9"/>
        <v>2.2587828484364469E-2</v>
      </c>
      <c r="W11" s="2">
        <f t="shared" si="9"/>
        <v>3.6231399061641412E-3</v>
      </c>
      <c r="X11" s="2">
        <f t="shared" si="9"/>
        <v>4.4435149432275889E-4</v>
      </c>
      <c r="Y11" s="2">
        <f t="shared" si="9"/>
        <v>4.4443266613347632E-5</v>
      </c>
      <c r="Z11" s="2">
        <f t="shared" si="9"/>
        <v>3.8502117267746883E-6</v>
      </c>
      <c r="AA11" s="2">
        <f t="shared" si="9"/>
        <v>3.0487836466530638E-7</v>
      </c>
      <c r="AB11" s="2">
        <f t="shared" si="9"/>
        <v>2.3118326586413218E-8</v>
      </c>
      <c r="AC11" s="2">
        <f t="shared" si="9"/>
        <v>1.7459873546954441E-9</v>
      </c>
    </row>
    <row r="13" spans="1:29" x14ac:dyDescent="0.25">
      <c r="A13" t="s">
        <v>9</v>
      </c>
      <c r="B13">
        <v>0.1</v>
      </c>
    </row>
    <row r="14" spans="1:29" x14ac:dyDescent="0.25">
      <c r="A14" t="s">
        <v>10</v>
      </c>
      <c r="B14" s="3">
        <f>EXP(-M)</f>
        <v>0.90483741803595952</v>
      </c>
      <c r="E14" t="s">
        <v>19</v>
      </c>
      <c r="F14" t="s">
        <v>18</v>
      </c>
      <c r="H14" t="s">
        <v>19</v>
      </c>
      <c r="I14" t="s">
        <v>17</v>
      </c>
      <c r="J14" t="s">
        <v>20</v>
      </c>
    </row>
    <row r="15" spans="1:29" x14ac:dyDescent="0.25">
      <c r="A15" t="s">
        <v>11</v>
      </c>
      <c r="B15" s="5">
        <v>0.1</v>
      </c>
      <c r="E15">
        <v>0</v>
      </c>
      <c r="F15" s="3">
        <f>YPR_proslot</f>
        <v>0.39985665617200916</v>
      </c>
      <c r="H15">
        <v>0</v>
      </c>
      <c r="I15" s="3">
        <f>B25</f>
        <v>0.41119909858127013</v>
      </c>
    </row>
    <row r="16" spans="1:29" x14ac:dyDescent="0.25">
      <c r="E16" s="3">
        <v>0.02</v>
      </c>
      <c r="F16" s="3">
        <f t="dataTable" ref="F16:F34" dt2D="0" dtr="0" r1="B15"/>
        <v>0.1225883772516161</v>
      </c>
      <c r="H16" s="3">
        <v>0.02</v>
      </c>
      <c r="I16" s="3">
        <f t="dataTable" ref="I16:I34" dt2D="0" dtr="0" r1="B15" ca="1"/>
        <v>0.83870574559785105</v>
      </c>
      <c r="J16">
        <v>0.35</v>
      </c>
    </row>
    <row r="17" spans="1:10" x14ac:dyDescent="0.25">
      <c r="A17" s="1" t="s">
        <v>21</v>
      </c>
      <c r="E17" s="3">
        <v>0.04</v>
      </c>
      <c r="F17" s="3">
        <v>0.21987278340155494</v>
      </c>
      <c r="H17" s="3">
        <v>0.04</v>
      </c>
      <c r="I17" s="3">
        <v>0.7026586718113077</v>
      </c>
      <c r="J17">
        <v>0.35</v>
      </c>
    </row>
    <row r="18" spans="1:10" x14ac:dyDescent="0.25">
      <c r="A18" t="s">
        <v>14</v>
      </c>
      <c r="B18" s="5">
        <v>381</v>
      </c>
      <c r="E18" s="3">
        <v>0.06</v>
      </c>
      <c r="F18" s="3">
        <v>0.29616286728742097</v>
      </c>
      <c r="H18" s="3">
        <v>0.06</v>
      </c>
      <c r="I18" s="3">
        <v>0.58813038788112348</v>
      </c>
      <c r="J18">
        <v>0.35</v>
      </c>
    </row>
    <row r="19" spans="1:10" x14ac:dyDescent="0.25">
      <c r="A19" t="s">
        <v>22</v>
      </c>
      <c r="B19" s="5">
        <v>762</v>
      </c>
      <c r="E19" s="3">
        <v>0.08</v>
      </c>
      <c r="F19" s="3">
        <v>0.35512271958364366</v>
      </c>
      <c r="H19" s="3">
        <v>0.08</v>
      </c>
      <c r="I19" s="3">
        <v>0.49190163799371328</v>
      </c>
      <c r="J19">
        <v>0.35</v>
      </c>
    </row>
    <row r="20" spans="1:10" x14ac:dyDescent="0.25">
      <c r="A20" t="s">
        <v>15</v>
      </c>
      <c r="B20" s="5">
        <v>38</v>
      </c>
      <c r="E20" s="3">
        <v>0.1</v>
      </c>
      <c r="F20" s="3">
        <v>0.39985665617200916</v>
      </c>
      <c r="H20" s="3">
        <v>0.1</v>
      </c>
      <c r="I20" s="3">
        <v>0.41119909858127013</v>
      </c>
      <c r="J20">
        <v>0.35</v>
      </c>
    </row>
    <row r="21" spans="1:10" x14ac:dyDescent="0.25">
      <c r="E21" s="3">
        <v>0.12</v>
      </c>
      <c r="F21" s="3">
        <v>0.43298495142602134</v>
      </c>
      <c r="H21" s="3">
        <v>0.12</v>
      </c>
      <c r="I21" s="3">
        <v>0.34363918643575381</v>
      </c>
      <c r="J21">
        <v>0.35</v>
      </c>
    </row>
    <row r="22" spans="1:10" x14ac:dyDescent="0.25">
      <c r="A22" s="8" t="s">
        <v>26</v>
      </c>
      <c r="B22" s="7"/>
      <c r="E22" s="3">
        <v>0.14000000000000001</v>
      </c>
      <c r="F22" s="3">
        <v>0.45671054550071077</v>
      </c>
      <c r="H22" s="3">
        <v>0.14000000000000001</v>
      </c>
      <c r="I22" s="3">
        <v>0.28717819599611299</v>
      </c>
      <c r="J22">
        <v>0.35</v>
      </c>
    </row>
    <row r="23" spans="1:10" x14ac:dyDescent="0.25">
      <c r="A23" s="7" t="s">
        <v>27</v>
      </c>
      <c r="B23" s="7">
        <f>SUMPRODUCT(Wt,S_fished,Vul_harvslot)</f>
        <v>3.9985665617200916</v>
      </c>
      <c r="E23" s="3">
        <v>0.16</v>
      </c>
      <c r="F23" s="3">
        <v>0.47287766072935761</v>
      </c>
      <c r="H23" s="3">
        <v>0.16</v>
      </c>
      <c r="I23" s="3">
        <v>0.24006814092814571</v>
      </c>
      <c r="J23">
        <v>0.35</v>
      </c>
    </row>
    <row r="24" spans="1:10" x14ac:dyDescent="0.25">
      <c r="A24" s="7" t="s">
        <v>28</v>
      </c>
      <c r="B24" s="7">
        <f>phi_vb_harvslotF*u</f>
        <v>0.39985665617200916</v>
      </c>
      <c r="E24" s="3">
        <v>0.18</v>
      </c>
      <c r="F24" s="3">
        <v>0.48302317965908736</v>
      </c>
      <c r="H24" s="3">
        <v>0.18</v>
      </c>
      <c r="I24" s="3">
        <v>0.20081772794457137</v>
      </c>
      <c r="J24">
        <v>0.35</v>
      </c>
    </row>
    <row r="25" spans="1:10" x14ac:dyDescent="0.25">
      <c r="A25" s="7" t="s">
        <v>29</v>
      </c>
      <c r="B25" s="7">
        <f>SUMPRODUCT(S_fished,Rel_Fec)/SUMPRODUCT(S_unfished,Rel_Fec)</f>
        <v>0.41119909858127013</v>
      </c>
      <c r="E25" s="3">
        <v>0.2</v>
      </c>
      <c r="F25" s="3">
        <v>0.48842156073733439</v>
      </c>
      <c r="H25" s="3">
        <v>0.2</v>
      </c>
      <c r="I25" s="3">
        <v>0.16815793992735054</v>
      </c>
      <c r="J25">
        <v>0.35</v>
      </c>
    </row>
    <row r="26" spans="1:10" x14ac:dyDescent="0.25">
      <c r="E26" s="3">
        <v>0.22</v>
      </c>
      <c r="F26" s="3">
        <v>0.49012399683610947</v>
      </c>
      <c r="H26" s="3">
        <v>0.22</v>
      </c>
      <c r="I26" s="3">
        <v>0.14101175102399444</v>
      </c>
      <c r="J26">
        <v>0.35</v>
      </c>
    </row>
    <row r="27" spans="1:10" x14ac:dyDescent="0.25">
      <c r="E27" s="3">
        <v>0.24</v>
      </c>
      <c r="F27" s="3">
        <v>0.48899245633194827</v>
      </c>
      <c r="H27" s="3">
        <v>0.24</v>
      </c>
      <c r="I27" s="3">
        <v>0.11846753869454263</v>
      </c>
      <c r="J27">
        <v>0.35</v>
      </c>
    </row>
    <row r="28" spans="1:10" x14ac:dyDescent="0.25">
      <c r="E28" s="3">
        <v>0.26</v>
      </c>
      <c r="F28" s="3">
        <v>0.48572918602287629</v>
      </c>
      <c r="H28" s="3">
        <v>0.26</v>
      </c>
      <c r="I28" s="3">
        <v>9.9755796877411873E-2</v>
      </c>
      <c r="J28">
        <v>0.35</v>
      </c>
    </row>
    <row r="29" spans="1:10" x14ac:dyDescent="0.25">
      <c r="E29" s="3">
        <v>0.28000000000000003</v>
      </c>
      <c r="F29" s="3">
        <v>0.48090219945099449</v>
      </c>
      <c r="H29" s="3">
        <v>0.28000000000000003</v>
      </c>
      <c r="I29" s="3">
        <v>8.4228790703358841E-2</v>
      </c>
      <c r="J29">
        <v>0.35</v>
      </c>
    </row>
    <row r="30" spans="1:10" x14ac:dyDescent="0.25">
      <c r="E30" s="3">
        <v>0.3</v>
      </c>
      <c r="F30" s="3">
        <v>0.47496722291609994</v>
      </c>
      <c r="H30" s="3">
        <v>0.3</v>
      </c>
      <c r="I30" s="3">
        <v>7.1342826692156483E-2</v>
      </c>
      <c r="J30">
        <v>0.35</v>
      </c>
    </row>
    <row r="31" spans="1:10" x14ac:dyDescent="0.25">
      <c r="E31" s="3">
        <v>0.32</v>
      </c>
      <c r="F31" s="3">
        <v>0.46828652433161039</v>
      </c>
      <c r="H31" s="3">
        <v>0.32</v>
      </c>
      <c r="I31" s="3">
        <v>6.064284328315895E-2</v>
      </c>
      <c r="J31">
        <v>0.35</v>
      </c>
    </row>
    <row r="32" spans="1:10" x14ac:dyDescent="0.25">
      <c r="E32" s="3">
        <v>0.34</v>
      </c>
      <c r="F32" s="3">
        <v>0.46114500682205933</v>
      </c>
      <c r="H32" s="3">
        <v>0.34</v>
      </c>
      <c r="I32" s="3">
        <v>5.1749055038019992E-2</v>
      </c>
      <c r="J32">
        <v>0.35</v>
      </c>
    </row>
    <row r="33" spans="5:10" x14ac:dyDescent="0.25">
      <c r="E33" s="3">
        <v>0.36</v>
      </c>
      <c r="F33" s="3">
        <v>0.45376390933743344</v>
      </c>
      <c r="H33" s="3">
        <v>0.36</v>
      </c>
      <c r="I33" s="3">
        <v>4.4345410063289167E-2</v>
      </c>
      <c r="J33">
        <v>0.35</v>
      </c>
    </row>
    <row r="34" spans="5:10" x14ac:dyDescent="0.25">
      <c r="E34" s="3">
        <v>0.38</v>
      </c>
      <c r="F34" s="3">
        <v>0.44631242032225588</v>
      </c>
      <c r="H34" s="3">
        <v>0.38</v>
      </c>
      <c r="I34" s="3">
        <v>3.8169644277203603E-2</v>
      </c>
      <c r="J34">
        <v>0.35</v>
      </c>
    </row>
  </sheetData>
  <pageMargins left="0.7" right="0.7" top="0.75" bottom="0.75" header="0.3" footer="0.3"/>
  <pageSetup orientation="portrait"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4</vt:i4>
      </vt:variant>
      <vt:variant>
        <vt:lpstr>Named Ranges</vt:lpstr>
      </vt:variant>
      <vt:variant>
        <vt:i4>120</vt:i4>
      </vt:variant>
    </vt:vector>
  </HeadingPairs>
  <TitlesOfParts>
    <vt:vector size="124" baseType="lpstr">
      <vt:lpstr>artproc</vt:lpstr>
      <vt:lpstr>artsurf</vt:lpstr>
      <vt:lpstr>basal</vt:lpstr>
      <vt:lpstr>otolith</vt:lpstr>
      <vt:lpstr>artproc!a_wl</vt:lpstr>
      <vt:lpstr>artsurf!a_wl</vt:lpstr>
      <vt:lpstr>basal!a_wl</vt:lpstr>
      <vt:lpstr>otolith!a_wl</vt:lpstr>
      <vt:lpstr>artproc!Age</vt:lpstr>
      <vt:lpstr>artsurf!Age</vt:lpstr>
      <vt:lpstr>basal!Age</vt:lpstr>
      <vt:lpstr>otolith!Age</vt:lpstr>
      <vt:lpstr>artproc!b_wl</vt:lpstr>
      <vt:lpstr>artsurf!b_wl</vt:lpstr>
      <vt:lpstr>basal!b_wl</vt:lpstr>
      <vt:lpstr>otolith!b_wl</vt:lpstr>
      <vt:lpstr>artproc!K</vt:lpstr>
      <vt:lpstr>artsurf!K</vt:lpstr>
      <vt:lpstr>basal!K</vt:lpstr>
      <vt:lpstr>otolith!K</vt:lpstr>
      <vt:lpstr>artproc!Linf</vt:lpstr>
      <vt:lpstr>artsurf!Linf</vt:lpstr>
      <vt:lpstr>basal!Linf</vt:lpstr>
      <vt:lpstr>otolith!Linf</vt:lpstr>
      <vt:lpstr>artproc!M</vt:lpstr>
      <vt:lpstr>artsurf!M</vt:lpstr>
      <vt:lpstr>basal!M</vt:lpstr>
      <vt:lpstr>otolith!M</vt:lpstr>
      <vt:lpstr>artproc!Min_LL</vt:lpstr>
      <vt:lpstr>artsurf!Min_LL</vt:lpstr>
      <vt:lpstr>basal!Min_LL</vt:lpstr>
      <vt:lpstr>otolith!Min_LL</vt:lpstr>
      <vt:lpstr>artproc!Min_SD</vt:lpstr>
      <vt:lpstr>artsurf!Min_SD</vt:lpstr>
      <vt:lpstr>basal!Min_SD</vt:lpstr>
      <vt:lpstr>otolith!Min_SD</vt:lpstr>
      <vt:lpstr>artproc!phi_vb_harvslotF</vt:lpstr>
      <vt:lpstr>artsurf!phi_vb_harvslotF</vt:lpstr>
      <vt:lpstr>basal!phi_vb_harvslotF</vt:lpstr>
      <vt:lpstr>otolith!phi_vb_harvslotF</vt:lpstr>
      <vt:lpstr>artproc!phi_vb_proslotF</vt:lpstr>
      <vt:lpstr>artsurf!phi_vb_proslotF</vt:lpstr>
      <vt:lpstr>basal!phi_vb_proslotF</vt:lpstr>
      <vt:lpstr>otolith!phi_vb_proslotF</vt:lpstr>
      <vt:lpstr>artproc!Protected_Slot</vt:lpstr>
      <vt:lpstr>artsurf!Protected_Slot</vt:lpstr>
      <vt:lpstr>basal!Protected_Slot</vt:lpstr>
      <vt:lpstr>otolith!Protected_Slot</vt:lpstr>
      <vt:lpstr>artproc!Rel_Fec</vt:lpstr>
      <vt:lpstr>artsurf!Rel_Fec</vt:lpstr>
      <vt:lpstr>basal!Rel_Fec</vt:lpstr>
      <vt:lpstr>otolith!Rel_Fec</vt:lpstr>
      <vt:lpstr>artproc!S_fished</vt:lpstr>
      <vt:lpstr>artsurf!S_fished</vt:lpstr>
      <vt:lpstr>basal!S_fished</vt:lpstr>
      <vt:lpstr>otolith!S_fished</vt:lpstr>
      <vt:lpstr>artproc!S_unfished</vt:lpstr>
      <vt:lpstr>artsurf!S_unfished</vt:lpstr>
      <vt:lpstr>basal!S_unfished</vt:lpstr>
      <vt:lpstr>otolith!S_unfished</vt:lpstr>
      <vt:lpstr>artproc!So</vt:lpstr>
      <vt:lpstr>artsurf!So</vt:lpstr>
      <vt:lpstr>basal!So</vt:lpstr>
      <vt:lpstr>otolith!So</vt:lpstr>
      <vt:lpstr>artsurf!SPR_harvslot</vt:lpstr>
      <vt:lpstr>basal!SPR_harvslot</vt:lpstr>
      <vt:lpstr>otolith!SPR_harvslot</vt:lpstr>
      <vt:lpstr>SPR_harvslot</vt:lpstr>
      <vt:lpstr>artproc!SPR_proslot</vt:lpstr>
      <vt:lpstr>artsurf!SPR_proslot</vt:lpstr>
      <vt:lpstr>basal!SPR_proslot</vt:lpstr>
      <vt:lpstr>otolith!SPR_proslot</vt:lpstr>
      <vt:lpstr>artproc!TL</vt:lpstr>
      <vt:lpstr>artsurf!TL</vt:lpstr>
      <vt:lpstr>basal!TL</vt:lpstr>
      <vt:lpstr>otolith!TL</vt:lpstr>
      <vt:lpstr>artproc!tnot</vt:lpstr>
      <vt:lpstr>artsurf!tnot</vt:lpstr>
      <vt:lpstr>basal!tnot</vt:lpstr>
      <vt:lpstr>otolith!tnot</vt:lpstr>
      <vt:lpstr>artproc!u</vt:lpstr>
      <vt:lpstr>artsurf!u</vt:lpstr>
      <vt:lpstr>basal!u</vt:lpstr>
      <vt:lpstr>otolith!u</vt:lpstr>
      <vt:lpstr>artproc!Upper_LL</vt:lpstr>
      <vt:lpstr>artsurf!Upper_LL</vt:lpstr>
      <vt:lpstr>basal!Upper_LL</vt:lpstr>
      <vt:lpstr>otolith!Upper_LL</vt:lpstr>
      <vt:lpstr>artproc!Vul_harvslot</vt:lpstr>
      <vt:lpstr>artsurf!Vul_harvslot</vt:lpstr>
      <vt:lpstr>basal!Vul_harvslot</vt:lpstr>
      <vt:lpstr>otolith!Vul_harvslot</vt:lpstr>
      <vt:lpstr>artproc!Vul_minLL</vt:lpstr>
      <vt:lpstr>artsurf!Vul_minLL</vt:lpstr>
      <vt:lpstr>basal!Vul_minLL</vt:lpstr>
      <vt:lpstr>otolith!Vul_minLL</vt:lpstr>
      <vt:lpstr>artproc!Vul_proslot</vt:lpstr>
      <vt:lpstr>artsurf!Vul_proslot</vt:lpstr>
      <vt:lpstr>basal!Vul_proslot</vt:lpstr>
      <vt:lpstr>otolith!Vul_proslot</vt:lpstr>
      <vt:lpstr>artproc!Vul_slot</vt:lpstr>
      <vt:lpstr>artsurf!Vul_slot</vt:lpstr>
      <vt:lpstr>basal!Vul_slot</vt:lpstr>
      <vt:lpstr>otolith!Vul_slot</vt:lpstr>
      <vt:lpstr>artproc!Vul_upLL</vt:lpstr>
      <vt:lpstr>artsurf!Vul_upLL</vt:lpstr>
      <vt:lpstr>basal!Vul_upLL</vt:lpstr>
      <vt:lpstr>otolith!Vul_upLL</vt:lpstr>
      <vt:lpstr>artproc!wmat</vt:lpstr>
      <vt:lpstr>artsurf!wmat</vt:lpstr>
      <vt:lpstr>basal!wmat</vt:lpstr>
      <vt:lpstr>otolith!wmat</vt:lpstr>
      <vt:lpstr>artproc!Wt</vt:lpstr>
      <vt:lpstr>artsurf!Wt</vt:lpstr>
      <vt:lpstr>basal!Wt</vt:lpstr>
      <vt:lpstr>otolith!Wt</vt:lpstr>
      <vt:lpstr>artproc!YPR_harvslot</vt:lpstr>
      <vt:lpstr>artsurf!YPR_harvslot</vt:lpstr>
      <vt:lpstr>basal!YPR_harvslot</vt:lpstr>
      <vt:lpstr>otolith!YPR_harvslot</vt:lpstr>
      <vt:lpstr>artproc!YPR_proslot</vt:lpstr>
      <vt:lpstr>artsurf!YPR_proslot</vt:lpstr>
      <vt:lpstr>basal!YPR_proslot</vt:lpstr>
      <vt:lpstr>otolith!YPR_proslot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Ben.Neely</dc:creator>
  <cp:lastModifiedBy>Neely, Ben [KDWP]</cp:lastModifiedBy>
  <dcterms:created xsi:type="dcterms:W3CDTF">2020-02-21T15:12:57Z</dcterms:created>
  <dcterms:modified xsi:type="dcterms:W3CDTF">2024-01-10T16:37:19Z</dcterms:modified>
</cp:coreProperties>
</file>